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C0FAB495-F19D-4CC9-AF4A-6F6729EF95A0}" xr6:coauthVersionLast="41" xr6:coauthVersionMax="47" xr10:uidLastSave="{00000000-0000-0000-0000-000000000000}"/>
  <bookViews>
    <workbookView xWindow="1230" yWindow="235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</workbook>
</file>

<file path=xl/calcChain.xml><?xml version="1.0" encoding="utf-8"?>
<calcChain xmlns="http://schemas.openxmlformats.org/spreadsheetml/2006/main">
  <c r="NG15" i="32" l="1"/>
  <c r="NG35" i="32"/>
  <c r="NI33" i="32"/>
  <c r="NG12" i="32" l="1"/>
  <c r="NE14" i="32" l="1"/>
  <c r="NG37" i="32" l="1"/>
  <c r="NE2" i="32"/>
  <c r="NI19" i="32"/>
  <c r="NI2" i="32" s="1"/>
  <c r="NE30" i="32"/>
  <c r="NE31" i="32"/>
  <c r="NE32" i="32"/>
  <c r="NE35" i="32"/>
  <c r="NE36" i="32"/>
  <c r="NG5" i="32" l="1"/>
  <c r="NE34" i="32"/>
  <c r="NE33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C21" i="32"/>
  <c r="NC2" i="32" s="1"/>
  <c r="NG2" i="32" s="1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AJ36" i="44" l="1"/>
  <c r="AF36" i="44"/>
  <c r="AF5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4" i="44"/>
  <c r="AJ3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4" i="44"/>
  <c r="AJ35" i="44" l="1"/>
  <c r="AJ37" i="44" s="1"/>
  <c r="AF35" i="44"/>
  <c r="AF37" i="44" s="1"/>
  <c r="MS16" i="32" l="1"/>
  <c r="MS40" i="32"/>
  <c r="MS22" i="32" l="1"/>
  <c r="MU34" i="32" l="1"/>
  <c r="MS37" i="32" s="1"/>
  <c r="MS18" i="32" l="1"/>
  <c r="MS2" i="32" s="1"/>
  <c r="MS36" i="32"/>
  <c r="MO40" i="32"/>
  <c r="MU42" i="32"/>
  <c r="MW3" i="32"/>
  <c r="MS39" i="32"/>
  <c r="MW2" i="32"/>
  <c r="NA2" i="32" s="1"/>
  <c r="MS33" i="32"/>
  <c r="NA4" i="32" l="1"/>
  <c r="NA3" i="32"/>
  <c r="MU5" i="32"/>
  <c r="MO17" i="32"/>
  <c r="MO20" i="32" l="1"/>
  <c r="MO21" i="32"/>
  <c r="MO19" i="32"/>
  <c r="MO29" i="32" l="1"/>
  <c r="MO32" i="32"/>
  <c r="MO23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6" i="44"/>
  <c r="L36" i="44"/>
  <c r="H36" i="44"/>
  <c r="D36" i="44"/>
  <c r="AB33" i="44"/>
  <c r="X33" i="44"/>
  <c r="T33" i="44"/>
  <c r="P33" i="44"/>
  <c r="L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X5" i="44"/>
  <c r="T5" i="44"/>
  <c r="P5" i="44"/>
  <c r="L5" i="44"/>
  <c r="H5" i="44"/>
  <c r="D5" i="44"/>
  <c r="AB4" i="44"/>
  <c r="T4" i="44"/>
  <c r="P4" i="44"/>
  <c r="L4" i="44"/>
  <c r="H4" i="44"/>
  <c r="D4" i="44"/>
  <c r="AB3" i="44"/>
  <c r="T3" i="44"/>
  <c r="P3" i="44"/>
  <c r="L3" i="44"/>
  <c r="H3" i="44"/>
  <c r="D3" i="44"/>
  <c r="B16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2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7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5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23" i="43" l="1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AQ3" i="21" s="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5" i="44"/>
  <c r="L37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5" i="44"/>
  <c r="D37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5" i="44"/>
  <c r="H37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5" i="44"/>
  <c r="P37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5" i="44"/>
  <c r="AB37" i="44" s="1"/>
  <c r="X35" i="44"/>
  <c r="X37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MG48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DU2" i="28" l="1"/>
  <c r="DU3" i="28" s="1"/>
  <c r="DU4" i="28" s="1"/>
  <c r="S3" i="2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S4" i="21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<sst xmlns="http://schemas.openxmlformats.org/spreadsheetml/2006/main" count="8668" uniqueCount="3567">
  <si>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</si>
  <si>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</si>
  <si>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</si>
  <si>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</si>
  <si>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</si>
  <si>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</si>
  <si>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</si>
  <si>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</si>
  <si>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</si>
  <si>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</si>
  <si>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</si>
  <si>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</si>
  <si>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</si>
  <si>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</si>
  <si>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</si>
  <si>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</si>
  <si>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</si>
  <si>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</si>
  <si>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</si>
  <si>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</si>
  <si>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</si>
  <si>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</si>
  <si>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</si>
  <si>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</si>
  <si>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</si>
  <si>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</si>
  <si>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</si>
  <si>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</si>
  <si>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</si>
  <si>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</si>
  <si>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</si>
  <si>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</si>
  <si>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</si>
  <si>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</si>
  <si>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</si>
  <si>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</si>
  <si>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</si>
  <si>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</si>
  <si>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</si>
  <si>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</si>
  <si>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</si>
  <si>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</si>
  <si>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</si>
  <si>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</si>
  <si>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</si>
  <si>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</si>
  <si>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</si>
  <si>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</si>
  <si>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</si>
  <si>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</si>
  <si>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</si>
  <si>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</si>
  <si>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</si>
  <si>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</si>
  <si>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</si>
  <si>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</si>
  <si>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</si>
  <si>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</si>
  <si>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</si>
  <si>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</si>
  <si>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</si>
  <si>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</si>
  <si>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</si>
  <si>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</si>
  <si>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</si>
  <si>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</si>
  <si>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</si>
  <si>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</si>
  <si>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</si>
  <si>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</si>
  <si>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</si>
  <si>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</si>
  <si>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</si>
  <si>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</si>
  <si>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</si>
  <si>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</si>
  <si>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</si>
  <si>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</si>
  <si>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</si>
  <si>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</si>
  <si>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</si>
  <si>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</si>
  <si>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</si>
  <si>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</si>
  <si>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</si>
  <si>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</si>
  <si>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</si>
  <si>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</si>
  <si>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</si>
  <si>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</si>
  <si>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</si>
  <si>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</si>
  <si>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</si>
  <si>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</si>
  <si>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</si>
  <si>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</si>
  <si>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</si>
  <si>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</si>
  <si>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</si>
  <si>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</si>
  <si>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</si>
  <si>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</si>
  <si>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</si>
  <si>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</si>
  <si>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</si>
  <si>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</si>
  <si>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</si>
  <si>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</si>
  <si>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</si>
  <si>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</si>
  <si>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</si>
  <si>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</si>
  <si>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</si>
  <si>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</si>
  <si>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</si>
  <si>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</si>
  <si>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</si>
  <si>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</si>
  <si>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</si>
  <si>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</si>
  <si>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</si>
  <si>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</si>
  <si>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</si>
  <si>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</si>
  <si>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</si>
  <si>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</si>
  <si>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</si>
  <si>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</si>
  <si>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</si>
  <si>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</si>
  <si>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</si>
  <si>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</si>
  <si>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</si>
  <si>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</si>
  <si>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</si>
  <si>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</si>
  <si>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</si>
  <si>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</si>
  <si>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</si>
  <si>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</si>
  <si>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</si>
  <si>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</si>
  <si>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</si>
  <si>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</si>
  <si>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</si>
  <si>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</si>
  <si>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</si>
  <si>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</si>
  <si>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</si>
  <si>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</si>
  <si>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</si>
  <si>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</si>
  <si>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</si>
  <si>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</si>
  <si>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</si>
  <si>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</si>
  <si>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</si>
  <si>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</si>
  <si>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</si>
  <si>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</si>
  <si>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</si>
  <si>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</si>
  <si>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</si>
  <si>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</si>
  <si>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</si>
  <si>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</si>
  <si>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</si>
  <si>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</si>
  <si>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</si>
  <si>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</si>
  <si>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</si>
  <si>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</si>
  <si>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</si>
  <si>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</si>
  <si>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</si>
  <si>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</si>
  <si>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</si>
  <si>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</si>
  <si>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</si>
  <si>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</si>
  <si>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</si>
  <si>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</si>
  <si>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</si>
  <si>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</si>
  <si>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</si>
  <si>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</si>
  <si>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</si>
  <si>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</si>
  <si>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</si>
  <si>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</si>
  <si>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</si>
  <si>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</si>
  <si>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</si>
  <si>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</si>
  <si>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</si>
  <si>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</si>
  <si>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</si>
  <si>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</si>
  <si>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</si>
  <si>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</si>
  <si>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</si>
  <si>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</si>
  <si>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</si>
  <si>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</si>
  <si>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</si>
  <si>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</si>
  <si>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</si>
  <si>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</si>
  <si>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</si>
  <si>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</si>
  <si>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</si>
  <si>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</si>
  <si>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</si>
  <si>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</si>
  <si>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</si>
  <si>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</si>
  <si>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</si>
  <si>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</si>
  <si>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</si>
  <si>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</si>
  <si>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</si>
  <si>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</si>
  <si>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</si>
  <si>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</si>
  <si>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</si>
  <si>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</si>
  <si>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</si>
  <si>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</si>
  <si>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</si>
  <si>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</si>
  <si>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</si>
  <si>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</si>
  <si>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</si>
  <si>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</si>
  <si>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</si>
  <si>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</si>
  <si>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</si>
  <si>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</si>
  <si>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</si>
  <si>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</si>
  <si>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</si>
  <si>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</si>
  <si>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</si>
  <si>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</si>
  <si>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</si>
  <si>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</si>
  <si>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</si>
  <si>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</si>
  <si>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</si>
  <si>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</si>
  <si>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</si>
  <si>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</si>
  <si>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</si>
  <si>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</si>
  <si>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</si>
  <si>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</si>
  <si>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</si>
  <si>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</si>
  <si>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</si>
  <si>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</si>
  <si>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</si>
  <si>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</si>
  <si>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</si>
  <si>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</si>
  <si>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</si>
  <si>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</si>
  <si>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</si>
  <si>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</si>
  <si>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</si>
  <si>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</si>
  <si>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</si>
  <si>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</si>
  <si>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</si>
  <si>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</si>
  <si>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</si>
  <si>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</si>
  <si>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</si>
  <si>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</si>
  <si>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</si>
  <si>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</si>
  <si>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</si>
  <si>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</si>
  <si>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</si>
  <si>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</si>
  <si>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</si>
  <si>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</si>
  <si>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</si>
  <si>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</si>
  <si>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</si>
  <si>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</si>
  <si>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</si>
  <si>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</si>
  <si>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</si>
  <si>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</si>
  <si>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</si>
  <si>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</si>
  <si>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</si>
  <si>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</si>
  <si>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</si>
  <si>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</si>
  <si>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</si>
  <si>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</si>
  <si>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</si>
  <si>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</si>
  <si>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</si>
  <si>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</si>
  <si>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</si>
  <si>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</si>
  <si>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</si>
  <si>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</si>
  <si>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</si>
  <si>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</si>
  <si>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</si>
  <si>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</si>
  <si>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</si>
  <si>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</si>
  <si>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</si>
  <si>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</si>
  <si>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</si>
  <si>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</si>
  <si>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</si>
  <si>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</si>
  <si>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</si>
  <si>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</si>
  <si>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</si>
  <si>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</si>
  <si>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</si>
  <si>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</si>
  <si>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</si>
  <si>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</si>
  <si>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</si>
  <si>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</si>
  <si>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</si>
  <si>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</si>
  <si>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</si>
  <si>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</si>
  <si>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</si>
  <si>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</si>
  <si>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</si>
  <si>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</si>
  <si>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</si>
  <si>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</si>
  <si>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</si>
  <si>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</si>
  <si>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</si>
  <si>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</si>
  <si>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</si>
  <si>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</si>
  <si>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</si>
  <si>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</si>
  <si>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</si>
  <si>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</si>
  <si>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</si>
  <si>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</si>
  <si>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</si>
  <si>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</si>
  <si>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</si>
  <si>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</si>
  <si>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</si>
  <si>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</si>
  <si>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</si>
  <si>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</si>
  <si>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</si>
  <si>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</si>
  <si>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</si>
  <si>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</si>
  <si>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</si>
  <si>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</si>
  <si>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</si>
  <si>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</si>
  <si>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</si>
  <si>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</si>
  <si>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</si>
  <si>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</si>
  <si>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</si>
  <si>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</si>
  <si>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</si>
  <si>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</si>
  <si>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</si>
  <si>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</si>
  <si>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</si>
  <si>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</si>
  <si>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</si>
  <si>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</si>
  <si>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</si>
  <si>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</si>
  <si>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</si>
  <si>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</si>
  <si>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</si>
  <si>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</si>
  <si>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</si>
  <si>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</si>
  <si>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</si>
  <si>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</si>
  <si>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</si>
  <si>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</si>
  <si>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</si>
  <si>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</si>
  <si>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</si>
  <si>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</si>
  <si>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</si>
  <si>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</si>
  <si>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</si>
  <si>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</si>
  <si>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</si>
  <si>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</si>
  <si>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</si>
  <si>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</si>
  <si>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</si>
  <si>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</si>
  <si>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</si>
  <si>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</si>
  <si>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</si>
  <si>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</si>
  <si>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</si>
  <si>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</si>
  <si>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</si>
  <si>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</si>
  <si>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</si>
  <si>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</si>
  <si>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</si>
  <si>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</si>
  <si>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</si>
  <si>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</si>
  <si>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</si>
  <si>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</si>
  <si>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</si>
  <si>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</si>
  <si>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</si>
  <si>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</si>
  <si>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</si>
  <si>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</si>
  <si>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</si>
  <si>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</si>
  <si>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</si>
  <si>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</si>
  <si>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</si>
  <si>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</si>
  <si>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</si>
  <si>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</si>
  <si>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</si>
  <si>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</si>
  <si>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</si>
  <si>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</si>
  <si>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</si>
  <si>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</si>
  <si>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</si>
  <si>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</si>
  <si>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</si>
  <si>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</si>
  <si>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</si>
  <si>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</si>
  <si>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</si>
  <si>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</si>
  <si>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</si>
  <si>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</si>
  <si>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</si>
  <si>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</si>
  <si>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</si>
  <si>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</si>
  <si>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</si>
  <si>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</si>
  <si>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</si>
  <si>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</si>
  <si>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</si>
  <si>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</si>
  <si>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</si>
  <si>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</si>
  <si>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</si>
  <si>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</si>
  <si>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</si>
  <si>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</si>
  <si>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</si>
  <si>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</si>
  <si>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</si>
  <si>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</si>
  <si>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</si>
  <si>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</si>
  <si>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</si>
  <si>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</si>
  <si>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</si>
  <si>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</si>
  <si>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</si>
  <si>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</si>
  <si>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</si>
  <si>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</si>
  <si>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</si>
  <si>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</si>
  <si>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</si>
  <si>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</si>
  <si>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</si>
  <si>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</si>
  <si>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</si>
  <si>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</si>
  <si>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</si>
  <si>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</si>
  <si>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</si>
  <si>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</si>
  <si>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</si>
  <si>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</si>
  <si>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</si>
  <si>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</si>
  <si>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</si>
  <si>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</si>
  <si>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</si>
  <si>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</si>
  <si>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</si>
  <si>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</si>
  <si>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</si>
  <si>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</si>
  <si>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</si>
  <si>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</si>
  <si>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</si>
  <si>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</si>
  <si>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</si>
  <si>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</si>
  <si>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</si>
  <si>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</si>
  <si>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</si>
  <si>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</si>
  <si>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</si>
  <si>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</si>
  <si>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</si>
  <si>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</si>
  <si>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</si>
  <si>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</si>
  <si>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</si>
  <si>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</si>
  <si>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</si>
  <si>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</si>
  <si>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</si>
  <si>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</si>
  <si>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</si>
  <si>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</si>
  <si>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</si>
  <si>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</si>
  <si>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</si>
  <si>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</si>
  <si>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</si>
  <si>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</si>
  <si>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</si>
  <si>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</si>
  <si>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</si>
  <si>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</si>
  <si>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</si>
  <si>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</si>
  <si>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</si>
  <si>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</si>
  <si>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</si>
  <si>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</si>
  <si>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</si>
  <si>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</si>
  <si>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</si>
  <si>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</si>
  <si>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</si>
  <si>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</si>
  <si>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</si>
  <si>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</si>
  <si>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</si>
  <si>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</si>
  <si>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</si>
  <si>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</si>
  <si>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</si>
  <si>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</si>
  <si>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</si>
  <si>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</si>
  <si>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</si>
  <si>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</si>
  <si>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</si>
  <si>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</si>
  <si>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</si>
  <si>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</si>
  <si>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</si>
  <si>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</si>
  <si>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</si>
  <si>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</si>
  <si>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</si>
  <si>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</si>
  <si>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</si>
  <si>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</si>
  <si>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</si>
  <si>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</si>
  <si>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</si>
  <si>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</si>
  <si>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</si>
  <si>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</si>
  <si>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</si>
  <si>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</si>
  <si>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</si>
  <si>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</si>
  <si>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</si>
  <si>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</si>
  <si>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</si>
  <si>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</si>
  <si>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</si>
  <si>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</si>
  <si>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</si>
  <si>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</si>
  <si>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</si>
  <si>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</si>
  <si>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</si>
  <si>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</si>
  <si>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</si>
  <si>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</si>
  <si>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</si>
  <si>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</si>
  <si>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</si>
  <si>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</si>
  <si>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</si>
  <si>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</si>
  <si>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</si>
  <si>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</si>
  <si>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</si>
  <si>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</si>
  <si>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</si>
  <si>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</si>
  <si>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</si>
  <si>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</si>
  <si>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</si>
  <si>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</si>
  <si>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</si>
  <si>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</si>
  <si>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</si>
  <si>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</si>
  <si>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</si>
  <si>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</si>
  <si>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</si>
  <si>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</si>
  <si>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</si>
  <si>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</si>
  <si>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</si>
  <si>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</si>
  <si>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</si>
  <si>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</si>
  <si>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</si>
  <si>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</si>
  <si>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</si>
  <si>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</si>
  <si>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</si>
  <si>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</si>
  <si>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</si>
  <si>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</si>
  <si>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</si>
  <si>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</si>
  <si>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</si>
  <si>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</si>
  <si>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</si>
  <si>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</si>
  <si>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</si>
  <si>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</si>
  <si>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</si>
  <si>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</si>
  <si>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</si>
  <si>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</si>
  <si>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</si>
  <si>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</si>
  <si>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</si>
  <si>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</si>
  <si>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</si>
  <si>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</si>
  <si>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</si>
  <si>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</si>
  <si>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</si>
  <si>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</si>
  <si>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</si>
  <si>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</si>
  <si>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</si>
  <si>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</si>
  <si>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</si>
  <si>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</si>
  <si>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</si>
  <si>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</si>
  <si>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</si>
  <si>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</si>
  <si>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</si>
  <si>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</si>
  <si>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</si>
  <si>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</si>
  <si>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</si>
  <si>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</si>
  <si>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</si>
  <si>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</si>
  <si>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</si>
  <si>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</si>
  <si>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</si>
  <si>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</si>
  <si>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</si>
  <si>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</si>
  <si>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</si>
  <si>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</si>
  <si>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</si>
  <si>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</si>
  <si>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</si>
  <si>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</si>
  <si>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</si>
  <si>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</si>
  <si>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</si>
  <si>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</si>
  <si>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</si>
  <si>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</si>
  <si>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</si>
  <si>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</si>
  <si>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</si>
  <si>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</si>
  <si>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</si>
  <si>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</si>
  <si>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</si>
  <si>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</si>
  <si>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</si>
  <si>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</si>
  <si>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</si>
  <si>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</si>
  <si>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</si>
  <si>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</si>
  <si>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</si>
  <si>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</si>
  <si>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</si>
  <si>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</si>
  <si>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</si>
  <si>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</si>
  <si>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</si>
  <si>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</si>
  <si>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</si>
  <si>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</si>
  <si>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</si>
  <si>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</si>
  <si>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</si>
  <si>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</si>
  <si>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</si>
  <si>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</si>
  <si>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</si>
  <si>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</si>
  <si>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</si>
  <si>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</si>
  <si>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</si>
  <si>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</si>
  <si>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</si>
  <si>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</si>
  <si>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</si>
  <si>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</si>
  <si>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</si>
  <si>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</si>
  <si>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</si>
  <si>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</si>
  <si>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</si>
  <si>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</si>
  <si>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</si>
  <si>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</si>
  <si>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</si>
  <si>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</si>
  <si>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</si>
  <si>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</si>
  <si>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</si>
  <si>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</si>
  <si>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</si>
  <si>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</si>
  <si>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</si>
  <si>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</si>
  <si>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</si>
  <si>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</si>
  <si>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</si>
  <si>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</si>
  <si>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</si>
  <si>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</si>
  <si>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</si>
  <si>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</si>
  <si>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</si>
  <si>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</si>
  <si>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</si>
  <si>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</si>
  <si>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</si>
  <si>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</si>
  <si>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</si>
  <si>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</si>
  <si>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</si>
  <si>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</si>
  <si>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</si>
  <si>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</si>
  <si>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</si>
  <si>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</si>
  <si>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</si>
  <si>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</si>
  <si>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</si>
  <si>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</si>
  <si>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</si>
  <si>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</si>
  <si>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</si>
  <si>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</si>
  <si>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</si>
  <si>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</si>
  <si>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</si>
  <si>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</si>
  <si>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</si>
  <si>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</si>
  <si>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</si>
  <si>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</si>
  <si>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</si>
  <si>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</si>
  <si>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</si>
  <si>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</si>
  <si>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</si>
  <si>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</si>
  <si>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</si>
  <si>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</si>
  <si>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</si>
  <si>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</si>
  <si>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</si>
  <si>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</si>
  <si>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</si>
  <si>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</si>
  <si>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</si>
  <si>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</si>
  <si>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</si>
  <si>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</si>
  <si>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</si>
  <si>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</si>
  <si>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</si>
  <si>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</si>
  <si>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</si>
  <si>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</si>
  <si>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</si>
  <si>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</si>
  <si>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</si>
  <si>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</si>
  <si>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</si>
  <si>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</si>
  <si>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</si>
  <si>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</si>
  <si>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</si>
  <si>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</si>
  <si>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</si>
  <si>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</si>
  <si>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</si>
  <si>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</si>
  <si>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</si>
  <si>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</si>
  <si>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</si>
  <si>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</si>
  <si>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</si>
  <si>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</si>
  <si>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</si>
  <si>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</si>
  <si>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</si>
  <si>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</si>
  <si>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</si>
  <si>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</si>
  <si>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</si>
  <si>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</si>
  <si>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</si>
  <si>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</si>
  <si>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</si>
  <si>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</si>
  <si>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</si>
  <si>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</si>
  <si>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</si>
  <si>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</si>
  <si>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</si>
  <si>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</si>
  <si>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</si>
  <si>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</si>
  <si>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</si>
  <si>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</si>
  <si>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</si>
  <si>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</si>
  <si>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</si>
  <si>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</si>
  <si>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</si>
  <si>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</si>
  <si>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</si>
  <si>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</si>
  <si>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</si>
  <si>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</si>
  <si>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</si>
  <si>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</si>
  <si>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</si>
  <si>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</si>
  <si>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</si>
  <si>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</si>
  <si>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</si>
  <si>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</si>
  <si>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</si>
  <si>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</si>
  <si>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</si>
  <si>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</si>
  <si>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</si>
  <si>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</si>
  <si>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</si>
  <si>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</si>
  <si>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</si>
  <si>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</si>
  <si>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</si>
  <si>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</si>
  <si>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</si>
  <si>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</si>
  <si>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</si>
  <si>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</si>
  <si>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</si>
  <si>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</si>
  <si>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</si>
  <si>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</si>
  <si>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</si>
  <si>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</si>
  <si>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</si>
  <si>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</si>
  <si>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</si>
  <si>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</si>
  <si>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</si>
  <si>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</si>
  <si>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</si>
  <si>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</si>
  <si>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</si>
  <si>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</si>
  <si>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</si>
  <si>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</si>
  <si>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</si>
  <si>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</si>
  <si>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</si>
  <si>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</si>
  <si>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</si>
  <si>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</si>
  <si>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</si>
  <si>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</si>
  <si>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</si>
  <si>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</si>
  <si>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</si>
  <si>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</si>
  <si>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</si>
  <si>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</si>
  <si>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</si>
  <si>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</si>
  <si>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</si>
  <si>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</si>
  <si>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</si>
  <si>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</si>
  <si>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</si>
  <si>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</si>
  <si>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</si>
  <si>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</si>
  <si>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</si>
  <si>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</si>
  <si>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</si>
  <si>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</si>
  <si>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</si>
  <si>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</si>
  <si>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</si>
  <si>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</si>
  <si>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</si>
  <si>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</si>
  <si>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</si>
  <si>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</si>
  <si>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</si>
  <si>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</si>
  <si>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</si>
  <si>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</si>
  <si>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</si>
  <si>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</si>
  <si>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</si>
  <si>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</si>
  <si>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</si>
  <si>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</si>
  <si>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</si>
  <si>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</si>
  <si>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</si>
  <si>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</si>
  <si>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</si>
  <si>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</si>
  <si>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</si>
  <si>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</si>
  <si>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</si>
  <si>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</si>
  <si>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</si>
  <si>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</si>
  <si>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</si>
  <si>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</si>
  <si>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</si>
  <si>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</si>
  <si>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</si>
  <si>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</si>
  <si>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</si>
  <si>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</si>
  <si>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</si>
  <si>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</si>
  <si>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</si>
  <si>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</si>
  <si>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</si>
  <si>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</si>
  <si>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</si>
  <si>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</si>
  <si>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</si>
  <si>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</si>
  <si>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</si>
  <si>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</si>
  <si>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</si>
  <si>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</si>
  <si>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</si>
  <si>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</si>
  <si>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</si>
  <si>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</si>
  <si>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</si>
  <si>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</si>
  <si>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</si>
  <si>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</si>
  <si>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</si>
  <si>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</si>
  <si>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</si>
  <si>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</si>
  <si>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</si>
  <si>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</si>
  <si>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</si>
  <si>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</si>
  <si>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</si>
  <si>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</si>
  <si>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</si>
  <si>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</si>
  <si>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</si>
  <si>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</si>
  <si>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</si>
  <si>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</si>
  <si>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</si>
  <si>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</si>
  <si>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</si>
  <si>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</si>
  <si>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</si>
  <si>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</si>
  <si>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</si>
  <si>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</si>
  <si>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</si>
  <si>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</si>
  <si>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</si>
  <si>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</si>
  <si>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</si>
  <si>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</si>
  <si>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</si>
  <si>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</si>
  <si>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</si>
  <si>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</si>
  <si>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</si>
  <si>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</si>
  <si>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</si>
  <si>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</si>
  <si>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</si>
  <si>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</si>
  <si>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</si>
  <si>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</si>
  <si>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</si>
  <si>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</si>
  <si>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</si>
  <si>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</si>
  <si>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</si>
  <si>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</si>
  <si>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</si>
  <si>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</si>
  <si>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</si>
  <si>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</si>
  <si>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</si>
  <si>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</si>
  <si>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</si>
  <si>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</si>
  <si>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</si>
  <si>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</si>
  <si>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</si>
  <si>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</si>
  <si>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</si>
  <si>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</si>
  <si>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</si>
  <si>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</si>
  <si>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</si>
  <si>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</si>
  <si>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</si>
  <si>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</si>
  <si>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</si>
  <si>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</si>
  <si>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</si>
  <si>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</si>
  <si>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</si>
  <si>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</si>
  <si>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</si>
  <si>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</si>
  <si>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</si>
  <si>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</si>
  <si>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</si>
  <si>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</si>
  <si>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</si>
  <si>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</si>
  <si>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</si>
  <si>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</si>
  <si>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</si>
  <si>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</si>
  <si>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</si>
  <si>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</si>
  <si>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</si>
  <si>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</si>
  <si>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</si>
  <si>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</si>
  <si>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</si>
  <si>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</si>
  <si>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</si>
  <si>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</si>
  <si>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</si>
  <si>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</si>
  <si>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</si>
  <si>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</si>
  <si>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</si>
  <si>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</si>
  <si>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</si>
  <si>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</si>
  <si>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</si>
  <si>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</si>
  <si>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</si>
  <si>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</si>
  <si>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</si>
  <si>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</si>
  <si>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</si>
  <si>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</si>
  <si>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</si>
  <si>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</si>
  <si>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</si>
  <si>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</si>
  <si>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</si>
  <si>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</si>
  <si>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</si>
  <si>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</si>
  <si>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</si>
  <si>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</si>
  <si>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</si>
  <si>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</si>
  <si>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</si>
  <si>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</si>
  <si>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</si>
  <si>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</si>
  <si>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</si>
  <si>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</si>
  <si>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</si>
  <si>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</si>
  <si>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</si>
  <si>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</si>
  <si>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</si>
  <si>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</si>
  <si>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</si>
  <si>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</si>
  <si>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</si>
  <si>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</si>
  <si>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</si>
  <si>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</si>
  <si>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</si>
  <si>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</si>
  <si>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</si>
  <si>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</si>
  <si>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</si>
  <si>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</si>
  <si>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</si>
  <si>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</si>
  <si>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</si>
  <si>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</si>
  <si>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</si>
  <si>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</si>
  <si>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</si>
  <si>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</si>
  <si>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</si>
  <si>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</si>
  <si>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</si>
  <si>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</si>
  <si>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</si>
  <si>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</si>
  <si>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</si>
  <si>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</si>
  <si>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</si>
  <si>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</si>
  <si>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</si>
  <si>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</si>
  <si>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</si>
  <si>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</si>
  <si>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</si>
  <si>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</si>
  <si>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</si>
  <si>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</si>
  <si>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</si>
  <si>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</si>
  <si>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</si>
  <si>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</si>
  <si>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</si>
  <si>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</si>
  <si>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</si>
  <si>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</si>
  <si>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</si>
  <si>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</si>
  <si>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</si>
  <si>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</si>
  <si>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</si>
  <si>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</si>
  <si>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</si>
  <si>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</si>
  <si>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</si>
  <si>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</si>
  <si>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</si>
  <si>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</si>
  <si>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</si>
  <si>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</si>
  <si>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</si>
  <si>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</si>
  <si>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</si>
  <si>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</si>
  <si>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</si>
  <si>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</si>
  <si>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</si>
  <si>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</si>
  <si>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</si>
  <si>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</si>
  <si>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</si>
  <si>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</si>
  <si>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</si>
  <si>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</si>
  <si>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</si>
  <si>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</si>
  <si>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</si>
  <si>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</si>
  <si>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</si>
  <si>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</si>
  <si>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</si>
  <si>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</si>
  <si>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</si>
  <si>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</si>
  <si>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</si>
  <si>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</si>
  <si>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</si>
  <si>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</si>
  <si>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</si>
  <si>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</si>
  <si>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</si>
  <si>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</si>
  <si>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</si>
  <si>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</si>
  <si>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</si>
  <si>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</si>
  <si>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</si>
  <si>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</si>
  <si>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</si>
  <si>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</si>
  <si>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</si>
  <si>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</si>
  <si>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</si>
  <si>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</si>
  <si>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</si>
  <si>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</si>
  <si>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</si>
  <si>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</si>
  <si>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</si>
  <si>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</si>
  <si>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</si>
  <si>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</si>
  <si>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</si>
  <si>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</si>
  <si>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</si>
  <si>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</si>
  <si>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</si>
  <si>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</si>
  <si>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</si>
  <si>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</si>
  <si>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</si>
  <si>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</si>
  <si>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</si>
  <si>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</si>
  <si>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</si>
  <si>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</si>
  <si>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</si>
  <si>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</si>
  <si>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</si>
  <si>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</si>
  <si>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</si>
  <si>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</si>
  <si>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</si>
  <si>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</si>
  <si>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</si>
  <si>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</si>
  <si>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</si>
  <si>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</si>
  <si>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</si>
  <si>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</si>
  <si>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</si>
  <si>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</si>
  <si>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</si>
  <si>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</si>
  <si>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</si>
  <si>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</si>
  <si>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</si>
  <si>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</si>
  <si>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</si>
  <si>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</si>
  <si>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</si>
  <si>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</si>
  <si>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</si>
  <si>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</si>
  <si>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</si>
  <si>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</si>
  <si>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</si>
  <si>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</si>
  <si>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</si>
  <si>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</si>
  <si>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</si>
  <si>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</si>
  <si>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</si>
  <si>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</si>
  <si>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</si>
  <si>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</si>
  <si>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</si>
  <si>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</si>
  <si>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</si>
  <si>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</si>
  <si>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</si>
  <si>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</si>
  <si>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</si>
  <si>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</si>
  <si>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</si>
  <si>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</si>
  <si>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</si>
  <si>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</si>
  <si>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</si>
  <si>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</si>
  <si>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</si>
  <si>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</si>
  <si>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</si>
  <si>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</si>
  <si>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</si>
  <si>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</si>
  <si>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</si>
  <si>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</si>
  <si>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</si>
  <si>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</si>
  <si>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</si>
  <si>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</si>
  <si>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</si>
  <si>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</si>
  <si>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</si>
  <si>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</si>
  <si>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</si>
  <si>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</si>
  <si>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</si>
  <si>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</si>
  <si>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</si>
  <si>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</si>
  <si>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</si>
  <si>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</si>
  <si>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</si>
  <si>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</si>
  <si>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</si>
  <si>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</si>
  <si>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</si>
  <si>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</si>
  <si>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</si>
  <si>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</si>
  <si>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</si>
  <si>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</si>
  <si>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</si>
  <si>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</si>
  <si>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</si>
  <si>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</si>
  <si>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</si>
  <si>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</si>
  <si>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</si>
  <si>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</si>
  <si>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</si>
  <si>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</si>
  <si>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</si>
  <si>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</si>
  <si>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</si>
  <si>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</si>
  <si>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</si>
  <si>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</si>
  <si>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</si>
  <si>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</si>
  <si>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</si>
  <si>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</si>
  <si>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</si>
  <si>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</si>
  <si>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</si>
  <si>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</si>
  <si>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</si>
  <si>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</si>
  <si>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</si>
  <si>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</si>
  <si>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</si>
  <si>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</si>
  <si>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</si>
  <si>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</si>
  <si>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</si>
  <si>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</si>
  <si>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</si>
  <si>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</si>
  <si>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</si>
  <si>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</si>
  <si>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</si>
  <si>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</si>
  <si>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</si>
  <si>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</si>
  <si>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</si>
  <si>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</si>
  <si>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</si>
  <si>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</si>
  <si>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</si>
  <si>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</si>
  <si>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</si>
  <si>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</si>
  <si>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</si>
  <si>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</si>
  <si>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</si>
  <si>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</si>
  <si>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</si>
  <si>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</si>
  <si>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</si>
  <si>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</si>
  <si>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</si>
  <si>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</si>
  <si>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</si>
  <si>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</si>
  <si>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</si>
  <si>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</si>
  <si>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</si>
  <si>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</si>
  <si>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</si>
  <si>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</si>
  <si>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</si>
  <si>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</si>
  <si>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</si>
  <si>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</si>
  <si>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</si>
  <si>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</si>
  <si>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</si>
  <si>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</si>
  <si>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</si>
  <si>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</si>
  <si>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</si>
  <si>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</si>
  <si>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</si>
  <si>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</si>
  <si>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</si>
  <si>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</si>
  <si>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</si>
  <si>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</si>
  <si>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</si>
  <si>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</si>
  <si>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</si>
  <si>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</si>
  <si>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</si>
  <si>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</si>
  <si>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</si>
  <si>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</si>
  <si>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</si>
  <si>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</si>
  <si>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</si>
  <si>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</si>
  <si>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</si>
  <si>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</si>
  <si>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</si>
  <si>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</si>
  <si>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</si>
  <si>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</si>
  <si>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</si>
  <si>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</si>
  <si>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</si>
  <si>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</si>
  <si>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</si>
  <si>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</si>
  <si>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</si>
  <si>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</si>
  <si>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</si>
  <si>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</si>
  <si>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</si>
  <si>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</si>
  <si>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</si>
  <si>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</si>
  <si>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</si>
  <si>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</si>
  <si>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</si>
  <si>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</si>
  <si>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</si>
  <si>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</si>
  <si>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</si>
  <si>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</si>
  <si>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</si>
  <si>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</si>
  <si>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</si>
  <si>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</si>
  <si>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</si>
  <si>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</si>
  <si>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</si>
  <si>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</si>
  <si>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</si>
  <si>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</si>
  <si>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</si>
  <si>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</si>
  <si>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</si>
  <si>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</si>
  <si>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</si>
  <si>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</si>
  <si>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</si>
  <si>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</si>
  <si>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</si>
  <si>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</si>
  <si>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</si>
  <si>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</si>
  <si>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</si>
  <si>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</si>
  <si>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</si>
  <si>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</si>
  <si>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</si>
  <si>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</si>
  <si>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</si>
  <si>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</si>
  <si>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</si>
  <si>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</si>
  <si>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</si>
  <si>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</si>
  <si>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</si>
  <si>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</si>
  <si>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</si>
  <si>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</si>
  <si>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</si>
  <si>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</si>
  <si>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</si>
  <si>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</si>
  <si>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</si>
  <si>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</si>
  <si>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</si>
  <si>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</si>
  <si>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</si>
  <si>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</si>
  <si>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</si>
  <si>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</si>
  <si>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</si>
  <si>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</si>
  <si>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</si>
  <si>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</si>
  <si>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</si>
  <si>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</si>
  <si>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</si>
  <si>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</si>
  <si>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</si>
  <si>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</si>
  <si>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</si>
  <si>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</si>
  <si>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</si>
  <si>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</si>
  <si>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</si>
  <si>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</si>
  <si>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</si>
  <si>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</si>
  <si>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</si>
  <si>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</si>
  <si>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</si>
  <si>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</si>
  <si>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</si>
  <si>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</si>
  <si>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</si>
  <si>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</si>
  <si>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</si>
  <si>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</si>
  <si>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</si>
  <si>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</si>
  <si>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</si>
  <si>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</si>
  <si>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</si>
  <si>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</si>
  <si>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</si>
  <si>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</si>
  <si>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</si>
  <si>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</si>
  <si>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</si>
  <si>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</si>
  <si>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</si>
  <si>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</si>
  <si>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</si>
  <si>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</si>
  <si>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</si>
  <si>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</si>
  <si>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</si>
  <si>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</si>
  <si>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</si>
  <si>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</si>
  <si>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</si>
  <si>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</si>
  <si>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</si>
  <si>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</si>
  <si>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</si>
  <si>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</si>
  <si>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</si>
  <si>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</si>
  <si>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</si>
  <si>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</si>
  <si>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</si>
  <si>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</si>
  <si>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</si>
  <si>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</si>
  <si>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</si>
  <si>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</si>
  <si>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</si>
  <si>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</si>
  <si>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</si>
  <si>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</si>
  <si>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</si>
  <si>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</si>
  <si>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</si>
  <si>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</si>
  <si>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</si>
  <si>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</si>
  <si>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</si>
  <si>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</si>
  <si>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</si>
  <si>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</si>
  <si>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</si>
  <si>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</si>
  <si>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</si>
  <si>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</si>
  <si>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</si>
  <si>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</si>
  <si>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</si>
  <si>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</si>
  <si>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</si>
  <si>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</si>
  <si>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</si>
  <si>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</si>
  <si>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</si>
  <si>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</si>
  <si>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</si>
  <si>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</si>
  <si>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</si>
  <si>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</si>
  <si>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</si>
  <si>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</si>
  <si>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</si>
  <si>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</si>
  <si>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</si>
  <si>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</si>
  <si>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</si>
  <si>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</si>
  <si>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</si>
  <si>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</si>
  <si>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</si>
  <si>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</si>
  <si>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</si>
  <si>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</si>
  <si>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</si>
  <si>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</si>
  <si>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</si>
  <si>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</si>
  <si>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</si>
  <si>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</si>
  <si>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</si>
  <si>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</si>
  <si>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</si>
  <si>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</si>
  <si>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</si>
  <si>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</si>
  <si>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</si>
  <si>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</si>
  <si>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</si>
  <si>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</si>
  <si>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</si>
  <si>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</si>
  <si>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</si>
  <si>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</si>
  <si>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</si>
  <si>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</si>
  <si>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</si>
  <si>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</si>
  <si>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</si>
  <si>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</si>
  <si>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</si>
  <si>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</si>
  <si>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</si>
  <si>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</si>
  <si>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</si>
  <si>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</si>
  <si>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</si>
  <si>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</si>
  <si>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</si>
  <si>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</si>
  <si>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</si>
  <si>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</si>
  <si>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</si>
  <si>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</si>
  <si>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</si>
  <si>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</si>
  <si>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</si>
  <si>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</si>
  <si>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</si>
  <si>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</si>
  <si>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</si>
  <si>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</si>
  <si>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</si>
  <si>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</si>
  <si>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</si>
  <si>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</si>
  <si>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</si>
  <si>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</si>
  <si>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</si>
  <si>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</si>
  <si>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</si>
  <si>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</si>
  <si>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</si>
  <si>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</si>
  <si>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</si>
  <si>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</si>
  <si>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</si>
  <si>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</si>
  <si>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</si>
  <si>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</si>
  <si>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</si>
  <si>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</si>
  <si>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</si>
  <si>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</si>
  <si>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</si>
  <si>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</si>
  <si>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</si>
  <si>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</si>
  <si>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</si>
  <si>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</si>
  <si>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</si>
  <si>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</si>
  <si>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</si>
  <si>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</si>
  <si>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</si>
  <si>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</si>
  <si>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</si>
  <si>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</si>
  <si>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</si>
  <si>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</si>
  <si>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</si>
  <si>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</si>
  <si>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</si>
  <si>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</si>
  <si>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</si>
  <si>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</si>
  <si>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</si>
  <si>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</si>
  <si>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</si>
  <si>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</si>
  <si>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</si>
  <si>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</si>
  <si>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</si>
  <si>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</si>
  <si>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</si>
  <si>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</si>
  <si>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</si>
  <si>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</si>
  <si>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</si>
  <si>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</si>
  <si>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</si>
  <si>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</si>
  <si>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</si>
  <si>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</si>
  <si>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</si>
  <si>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</si>
  <si>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</si>
  <si>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</si>
  <si>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</si>
  <si>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</si>
  <si>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</si>
  <si>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</si>
  <si>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</si>
  <si>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</si>
  <si>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</si>
  <si>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</si>
  <si>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</si>
  <si>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</si>
  <si>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</si>
  <si>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</si>
  <si>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</si>
  <si>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</si>
  <si>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</si>
  <si>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</si>
  <si>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</si>
  <si>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</si>
  <si>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</si>
  <si>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</si>
  <si>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</si>
  <si>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</si>
  <si>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</si>
  <si>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</si>
  <si>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</si>
  <si>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</si>
  <si>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</si>
  <si>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</si>
  <si>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</si>
  <si>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</si>
  <si>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</si>
  <si>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</si>
  <si>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</si>
  <si>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</si>
  <si>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</si>
  <si>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</si>
  <si>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</si>
  <si>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</si>
  <si>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</si>
  <si>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</si>
  <si>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</si>
  <si>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</si>
  <si>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</si>
  <si>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</si>
  <si>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</si>
  <si>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</si>
  <si>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</si>
  <si>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</si>
  <si>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</si>
  <si>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</si>
  <si>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</si>
  <si>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</si>
  <si>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</si>
  <si>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</si>
  <si>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</si>
  <si>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</si>
  <si>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</si>
  <si>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</si>
  <si>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</si>
  <si>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</si>
  <si>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</si>
  <si>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</si>
  <si>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</si>
  <si>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</si>
  <si>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</si>
  <si>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</si>
  <si>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</si>
  <si>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</si>
  <si>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</si>
  <si>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</si>
  <si>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</si>
  <si>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</si>
  <si>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</si>
  <si>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</si>
  <si>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</si>
  <si>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</si>
  <si>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</si>
  <si>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</si>
  <si>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</si>
  <si>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</si>
  <si>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</si>
  <si>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</si>
  <si>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</si>
  <si>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</si>
  <si>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</si>
  <si>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</si>
  <si>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</si>
  <si>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</si>
  <si>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</si>
  <si>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</si>
  <si>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</si>
  <si>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</si>
  <si>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</si>
  <si>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</si>
  <si>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</si>
  <si>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</si>
  <si>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</si>
  <si>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</si>
  <si>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</si>
  <si>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</si>
  <si>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</si>
  <si>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</si>
  <si>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</si>
  <si>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</si>
  <si>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</si>
  <si>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</si>
  <si>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</si>
  <si>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</si>
  <si>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</si>
  <si>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</si>
  <si>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</si>
  <si>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</si>
  <si>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</si>
  <si>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</si>
  <si>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</si>
  <si>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</si>
  <si>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</si>
  <si>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</si>
  <si>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</si>
  <si>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</si>
  <si>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</si>
  <si>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</si>
  <si>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</si>
  <si>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</si>
  <si>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</si>
  <si>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</si>
  <si>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</si>
  <si>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</si>
  <si>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</si>
  <si>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</si>
  <si>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</si>
  <si>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</si>
  <si>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</si>
  <si>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</si>
  <si>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</si>
  <si>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</si>
  <si>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</si>
  <si>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</si>
  <si>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</si>
  <si>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</si>
  <si>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</si>
  <si>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</si>
  <si>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</si>
  <si>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</si>
  <si>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</si>
  <si>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</si>
  <si>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</si>
  <si>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</si>
  <si>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</si>
  <si>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</si>
  <si>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</si>
  <si>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</si>
  <si>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</si>
  <si>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</si>
  <si>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</si>
  <si>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</si>
  <si>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</si>
  <si>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</si>
  <si>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</si>
  <si>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</si>
  <si>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</si>
  <si>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</si>
  <si>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</si>
  <si>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</si>
  <si>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</si>
  <si>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</si>
  <si>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</si>
  <si>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</si>
  <si>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</si>
  <si>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</si>
  <si>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</si>
  <si>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</si>
  <si>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</si>
  <si>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</si>
  <si>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</si>
  <si>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</si>
  <si>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</si>
  <si>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</si>
  <si>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</si>
  <si>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</si>
  <si>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</si>
  <si>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</si>
  <si>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</si>
  <si>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</si>
  <si>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</si>
  <si>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</si>
  <si>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</si>
  <si>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</si>
  <si>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</si>
  <si>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</si>
  <si>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</si>
  <si>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</si>
  <si>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</si>
  <si>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</si>
  <si>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</si>
  <si>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</si>
  <si>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</si>
  <si>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</si>
  <si>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</si>
  <si>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</si>
  <si>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</si>
  <si>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</si>
  <si>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</si>
  <si>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</si>
  <si>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</si>
  <si>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</si>
  <si>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</si>
  <si>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</si>
  <si>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</si>
  <si>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</si>
  <si>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</si>
  <si>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</si>
  <si>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</si>
  <si>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</si>
  <si>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</si>
  <si>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</si>
  <si>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</si>
  <si>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</si>
  <si>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</si>
  <si>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</si>
  <si>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</si>
  <si>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</si>
  <si>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</si>
  <si>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</si>
  <si>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</si>
  <si>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</si>
  <si>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</si>
  <si>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</si>
  <si>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</si>
  <si>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</si>
  <si>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</si>
  <si>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</si>
  <si>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</si>
  <si>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</si>
  <si>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</si>
  <si>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</si>
  <si>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</si>
  <si>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</si>
  <si>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</si>
  <si>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</si>
  <si>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</si>
  <si>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</si>
  <si>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</si>
  <si>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</si>
  <si>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</si>
  <si>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</si>
  <si>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</si>
  <si>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</si>
  <si>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</si>
  <si>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</si>
  <si>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</si>
  <si>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</si>
  <si>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</si>
  <si>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</si>
  <si>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</si>
  <si>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</si>
  <si>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</si>
  <si>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</si>
  <si>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</si>
  <si>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</si>
  <si>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</si>
  <si>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</si>
  <si>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</si>
  <si>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</si>
  <si>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</si>
  <si>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</si>
  <si>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</si>
  <si>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</si>
  <si>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</si>
  <si>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</si>
  <si>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</si>
  <si>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</si>
  <si>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</si>
  <si>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</si>
  <si>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</si>
  <si>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</si>
  <si>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</si>
  <si>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</si>
  <si>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</si>
  <si>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</si>
  <si>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</si>
  <si>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</si>
  <si>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</si>
  <si>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</si>
  <si>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</si>
  <si>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</si>
  <si>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</si>
  <si>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</si>
  <si>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</si>
  <si>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</si>
  <si>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</si>
  <si>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</si>
  <si>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</si>
  <si>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</si>
  <si>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</si>
  <si>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</si>
  <si>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</si>
  <si>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</si>
  <si>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</si>
  <si>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</si>
  <si>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</si>
  <si>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</si>
  <si>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</si>
  <si>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</si>
  <si>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</si>
  <si>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</si>
  <si>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</si>
  <si>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</si>
  <si>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</si>
  <si>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</si>
  <si>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</si>
  <si>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</si>
  <si>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</si>
  <si>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</si>
  <si>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</si>
  <si>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</si>
  <si>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</si>
  <si>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</si>
  <si>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</si>
  <si>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</si>
  <si>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</si>
  <si>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</si>
  <si>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</si>
  <si>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</si>
  <si>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</si>
  <si>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</si>
  <si>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</si>
  <si>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</si>
  <si>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</si>
  <si>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</si>
  <si>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</si>
  <si>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</si>
  <si>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</si>
  <si>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</si>
  <si>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</si>
  <si>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</si>
  <si>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</si>
  <si>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</si>
  <si>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</si>
  <si>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</si>
  <si>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</si>
  <si>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</si>
  <si>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</si>
  <si>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</si>
  <si>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</si>
  <si>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</si>
  <si>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</si>
  <si>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</si>
  <si>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</si>
  <si>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</si>
  <si>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</si>
  <si>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</si>
  <si>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</si>
  <si>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</si>
  <si>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</si>
  <si>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</si>
  <si>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</si>
  <si>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</si>
  <si>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</si>
  <si>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</si>
  <si>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</si>
  <si>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</si>
  <si>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</si>
  <si>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</si>
  <si>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</si>
  <si>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</si>
  <si>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</si>
  <si>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</si>
  <si>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</si>
  <si>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</si>
  <si>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</si>
  <si>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</si>
  <si>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</si>
  <si>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</si>
  <si>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</si>
  <si>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</si>
  <si>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</si>
  <si>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</si>
  <si>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</si>
  <si>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</si>
  <si>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</si>
  <si>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</si>
  <si>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</si>
  <si>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</si>
  <si>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</si>
  <si>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</si>
  <si>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</si>
  <si>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</si>
  <si>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</si>
  <si>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</si>
  <si>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</si>
  <si>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</si>
  <si>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</si>
  <si>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</si>
  <si>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</si>
  <si>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</si>
  <si>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</si>
  <si>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</si>
  <si>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</si>
  <si>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</si>
  <si>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</si>
  <si>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</si>
  <si>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</si>
  <si>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</si>
  <si>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</si>
  <si>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</si>
  <si>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</si>
  <si>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</si>
  <si>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</si>
  <si>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</si>
  <si>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</si>
  <si>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</si>
  <si>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</si>
  <si>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</si>
  <si>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</si>
  <si>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</si>
  <si>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</si>
  <si>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</si>
  <si>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</si>
  <si>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</si>
  <si>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</si>
  <si>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</si>
  <si>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</si>
  <si>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</si>
  <si>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</si>
  <si>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</si>
  <si>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</si>
  <si>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</si>
  <si>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</si>
  <si>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</si>
  <si>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</si>
  <si>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</si>
  <si>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</si>
  <si>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</si>
  <si>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</si>
  <si>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</si>
  <si>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</si>
  <si>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</si>
  <si>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</si>
  <si>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</si>
  <si>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</si>
  <si>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</si>
  <si>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</si>
  <si>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</si>
  <si>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</si>
  <si>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</si>
  <si>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</si>
  <si>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</si>
  <si>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</si>
  <si>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</si>
  <si>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</si>
  <si>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</si>
  <si>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</si>
  <si>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</si>
  <si>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</si>
  <si>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</si>
  <si>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</si>
  <si>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</si>
  <si>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</si>
  <si>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</si>
  <si>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</si>
  <si>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</si>
  <si>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</si>
  <si>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</si>
  <si>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</si>
  <si>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</si>
  <si>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</si>
  <si>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</si>
  <si>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</si>
  <si>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</si>
  <si>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</si>
  <si>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</si>
  <si>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</si>
  <si>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</si>
  <si>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</si>
  <si>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</si>
  <si>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</si>
  <si>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</si>
  <si>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</si>
  <si>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</si>
  <si>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</si>
  <si>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</si>
  <si>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</si>
  <si>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</si>
  <si>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</si>
  <si>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</si>
  <si>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</si>
  <si>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</si>
  <si>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</si>
  <si>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</si>
  <si>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</si>
  <si>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</si>
  <si>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</si>
  <si>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</si>
  <si>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</si>
  <si>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</si>
  <si>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</si>
  <si>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</si>
  <si>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</si>
  <si>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</si>
  <si>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</si>
  <si>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</si>
  <si>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</si>
  <si>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</si>
  <si>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</si>
  <si>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</si>
  <si>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</si>
  <si>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</si>
  <si>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</si>
  <si>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</si>
  <si>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</si>
  <si>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</si>
  <si>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</si>
  <si>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</si>
  <si>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</si>
  <si>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</si>
  <si>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</si>
  <si>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</si>
  <si>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</si>
  <si>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</si>
  <si>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</si>
  <si>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</si>
  <si>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</si>
  <si>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</si>
  <si>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</si>
  <si>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</si>
  <si>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</si>
  <si>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</si>
  <si>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</si>
  <si>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</si>
  <si>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</si>
  <si>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</si>
  <si>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</si>
  <si>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</si>
  <si>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</si>
  <si>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</si>
  <si>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</si>
  <si>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</si>
  <si>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</si>
  <si>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</si>
  <si>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</si>
  <si>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</si>
  <si>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</si>
  <si>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</si>
  <si>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</si>
  <si>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</si>
  <si>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</si>
  <si>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</si>
  <si>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</si>
  <si>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</si>
  <si>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</si>
  <si>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</si>
  <si>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</si>
  <si>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</si>
  <si>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</si>
  <si>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</si>
  <si>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</si>
  <si>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</si>
  <si>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</si>
  <si>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</si>
  <si>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</si>
  <si>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</si>
  <si>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</si>
  <si>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</si>
  <si>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</si>
  <si>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</si>
  <si>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</si>
  <si>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</si>
  <si>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</si>
  <si>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</si>
  <si>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</si>
  <si>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</si>
  <si>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</si>
  <si>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</si>
  <si>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</si>
  <si>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</si>
  <si>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</si>
  <si>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</si>
  <si>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</si>
  <si>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</si>
  <si>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</si>
  <si>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</si>
  <si>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</si>
  <si>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</si>
  <si>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</si>
  <si>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</si>
  <si>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</si>
  <si>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</si>
  <si>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</si>
  <si>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</si>
  <si>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</si>
  <si>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</si>
  <si>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</si>
  <si>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</si>
  <si>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</si>
  <si>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</si>
  <si>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</si>
  <si>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</si>
  <si>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</si>
  <si>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</si>
  <si>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</si>
  <si>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</si>
  <si>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</si>
  <si>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</si>
  <si>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</si>
  <si>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</si>
  <si>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</si>
  <si>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</si>
  <si>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</si>
  <si>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</si>
  <si>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</si>
  <si>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</si>
  <si>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</si>
  <si>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</si>
  <si>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</si>
  <si>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</si>
  <si>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</si>
  <si>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</si>
  <si>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</si>
  <si>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</si>
  <si>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</si>
  <si>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</si>
  <si>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</si>
  <si>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</si>
  <si>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</si>
  <si>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</si>
  <si>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</si>
  <si>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</si>
  <si>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</si>
  <si>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</si>
  <si>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</si>
  <si>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</si>
  <si>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</si>
  <si>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</si>
  <si>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</si>
  <si>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</si>
  <si>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</si>
  <si>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</si>
  <si>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</si>
  <si>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</si>
  <si>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</si>
  <si>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</si>
  <si>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</si>
  <si>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</si>
  <si>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</si>
  <si>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</si>
  <si>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</si>
  <si>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</si>
  <si>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</si>
  <si>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</si>
  <si>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</si>
  <si>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</si>
  <si>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</si>
  <si>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</si>
  <si>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</si>
  <si>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</si>
  <si>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</si>
  <si>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</si>
  <si>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</si>
  <si>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</si>
  <si>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</si>
  <si>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</si>
  <si>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</si>
  <si>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</si>
  <si>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</si>
  <si>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</si>
  <si>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</si>
  <si>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</si>
  <si>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</si>
  <si>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</si>
  <si>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</si>
  <si>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</si>
  <si>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</si>
  <si>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</si>
  <si>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</si>
  <si>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</si>
  <si>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</si>
  <si>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</si>
  <si>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</si>
  <si>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</si>
  <si>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</si>
  <si>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</si>
  <si>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</si>
  <si>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</si>
  <si>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</si>
  <si>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</si>
  <si>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</si>
  <si>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</si>
  <si>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</si>
  <si>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</si>
  <si>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</si>
  <si>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</si>
  <si>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</si>
  <si>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</si>
  <si>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</si>
  <si>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</si>
  <si>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</si>
  <si>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</si>
  <si>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</si>
  <si>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</si>
  <si>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</si>
  <si>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</si>
  <si>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</si>
  <si>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</si>
  <si>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</si>
  <si>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</si>
  <si>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</si>
  <si>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</si>
  <si>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</si>
  <si>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</si>
  <si>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</si>
  <si>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</si>
  <si>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</si>
  <si>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</si>
  <si>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</si>
  <si>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</si>
  <si>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</si>
  <si>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</si>
  <si>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</si>
  <si>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</si>
  <si>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</si>
  <si>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</si>
  <si>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</si>
  <si>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</si>
  <si>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</si>
  <si>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</si>
  <si>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</si>
  <si>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</si>
  <si>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</si>
  <si>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</si>
  <si>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</si>
  <si>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</si>
  <si>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</si>
  <si>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</si>
  <si>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</si>
  <si>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</si>
  <si>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</si>
  <si>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</si>
  <si>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</si>
  <si>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</si>
  <si>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</si>
  <si>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</si>
  <si>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</si>
  <si>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</si>
  <si>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</si>
  <si>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</si>
  <si>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</si>
  <si>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</si>
  <si>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</si>
  <si>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</si>
  <si>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</si>
  <si>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</si>
  <si>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</si>
  <si>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</si>
  <si>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</si>
  <si>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</si>
  <si>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</si>
  <si>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</si>
  <si>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</si>
  <si>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</si>
  <si>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</si>
  <si>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</si>
  <si>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</si>
  <si>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</si>
  <si>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</si>
  <si>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</si>
  <si>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</si>
  <si>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</si>
  <si>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</si>
  <si>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</si>
  <si>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</si>
  <si>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</si>
  <si>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</si>
  <si>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</si>
  <si>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</si>
  <si>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</si>
  <si>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</si>
  <si>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</si>
  <si>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</si>
  <si>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</si>
  <si>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</si>
  <si>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</si>
  <si>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</si>
  <si>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</si>
  <si>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</si>
  <si>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</si>
  <si>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</si>
  <si>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</si>
  <si>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</si>
  <si>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</si>
  <si>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</si>
  <si>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</si>
  <si>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</si>
  <si>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</si>
  <si>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</si>
  <si>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</si>
  <si>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</si>
  <si>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</si>
  <si>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</si>
  <si>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</si>
  <si>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</si>
  <si>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</si>
  <si>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</si>
  <si>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</si>
  <si>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</si>
  <si>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</si>
  <si>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</si>
  <si>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</si>
  <si>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</si>
  <si>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</si>
  <si>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</si>
  <si>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</si>
  <si>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</si>
  <si>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</si>
  <si>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</si>
  <si>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</si>
  <si>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</si>
  <si>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</si>
  <si>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</si>
  <si>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</si>
  <si>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</si>
  <si>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</si>
  <si>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</si>
  <si>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</si>
  <si>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</si>
  <si>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</si>
  <si>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</si>
  <si>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</si>
  <si>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</si>
  <si>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</si>
  <si>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</si>
  <si>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</si>
  <si>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</si>
  <si>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</si>
  <si>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</si>
  <si>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</si>
  <si>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</si>
  <si>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</si>
  <si>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</si>
  <si>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</si>
  <si>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</si>
  <si>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</si>
  <si>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</si>
  <si>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</si>
  <si>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</si>
  <si>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</si>
  <si>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</si>
  <si>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</si>
  <si>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</si>
  <si>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</si>
  <si>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</si>
  <si>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</si>
  <si>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</si>
  <si>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</si>
  <si>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</si>
  <si>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</si>
  <si>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</si>
  <si>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</si>
  <si>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</si>
  <si>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</si>
  <si>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</si>
  <si>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</si>
  <si>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</si>
  <si>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</si>
  <si>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</si>
  <si>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</si>
  <si>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</si>
  <si>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</si>
  <si>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</si>
  <si>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</si>
  <si>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</si>
  <si>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</si>
  <si>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</si>
  <si>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</si>
  <si>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</si>
  <si>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</si>
  <si>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</si>
  <si>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</si>
  <si>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</si>
  <si>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</si>
  <si>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</si>
  <si>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</si>
  <si>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</si>
  <si>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</si>
  <si>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</si>
  <si>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</si>
  <si>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</si>
  <si>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</si>
  <si>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</si>
  <si>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</si>
  <si>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</si>
  <si>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</si>
  <si>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</si>
  <si>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</si>
  <si>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</si>
  <si>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</si>
  <si>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</si>
  <si>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</si>
  <si>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</si>
  <si>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</si>
  <si>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</si>
  <si>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</si>
  <si>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</si>
  <si>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</si>
  <si>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</si>
  <si>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</si>
  <si>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</si>
  <si>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</si>
  <si>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</si>
  <si>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</si>
  <si>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</si>
  <si>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</si>
  <si>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</si>
  <si>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</si>
  <si>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</si>
  <si>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</si>
  <si>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</si>
  <si>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</si>
  <si>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</si>
  <si>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</si>
  <si>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</si>
  <si>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</si>
  <si>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</si>
  <si>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</si>
  <si>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</si>
  <si>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</si>
  <si>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</si>
  <si>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</si>
  <si>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</si>
  <si>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</si>
  <si>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</si>
  <si>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</si>
  <si>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</si>
  <si>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</si>
  <si>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</si>
  <si>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</si>
  <si>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</si>
  <si>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</si>
  <si>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</si>
  <si>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</si>
  <si>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</si>
  <si>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</si>
  <si>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</si>
  <si>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</si>
  <si>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</si>
  <si>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</si>
  <si>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</si>
  <si>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</si>
  <si>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</si>
  <si>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</si>
  <si>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</si>
  <si>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</si>
  <si>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</si>
  <si>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</si>
  <si>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</si>
  <si>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</si>
  <si>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</si>
  <si>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</si>
  <si>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</si>
  <si>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</si>
  <si>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</si>
  <si>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</si>
  <si>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</si>
  <si>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</si>
  <si>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</si>
  <si>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</si>
  <si>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</si>
  <si>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</si>
  <si>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</si>
  <si>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</si>
  <si>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</si>
  <si>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</si>
  <si>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</si>
  <si>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</si>
  <si>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</si>
  <si>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</si>
  <si>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</si>
  <si>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</si>
  <si>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</si>
  <si>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</si>
  <si>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</si>
  <si>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</si>
  <si>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</si>
  <si>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</si>
  <si>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</si>
  <si>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</si>
  <si>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</si>
  <si>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</si>
  <si>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</si>
  <si>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</si>
  <si>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</si>
  <si>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</si>
  <si>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</si>
  <si>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</si>
  <si>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</si>
  <si>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</si>
  <si>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</si>
  <si>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</si>
  <si>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</si>
  <si>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</si>
  <si>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</si>
  <si>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</si>
  <si>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</si>
  <si>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</si>
  <si>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</si>
  <si>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</si>
  <si>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</si>
  <si>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</si>
  <si>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</si>
  <si>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</si>
  <si>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</si>
  <si>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</si>
  <si>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</si>
  <si>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</si>
  <si>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</si>
  <si>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</si>
  <si>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</si>
  <si>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</si>
  <si>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</si>
  <si>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</si>
  <si>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</si>
  <si>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</si>
  <si>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</si>
  <si>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</si>
  <si>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</si>
  <si>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</si>
  <si>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</si>
  <si>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</si>
  <si>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</si>
  <si>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</si>
  <si>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</si>
  <si>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</si>
  <si>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</si>
  <si>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</si>
  <si>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</si>
  <si>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</si>
  <si>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</si>
  <si>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</si>
  <si>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</si>
  <si>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</si>
  <si>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</si>
  <si>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</si>
  <si>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</si>
  <si>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</si>
  <si>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</si>
  <si>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</si>
  <si>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</si>
  <si>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</si>
  <si>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</si>
  <si>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</si>
  <si>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</si>
  <si>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</si>
  <si>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</si>
  <si>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</si>
  <si>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</si>
  <si>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</si>
  <si>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</si>
  <si>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</si>
  <si>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</si>
  <si>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</si>
  <si>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</si>
  <si>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</si>
  <si>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</si>
  <si>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</si>
  <si>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</si>
  <si>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</si>
  <si>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</si>
  <si>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</si>
  <si>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</si>
  <si>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</si>
  <si>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</si>
  <si>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</si>
  <si>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</si>
  <si>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</si>
  <si>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</si>
  <si>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</si>
  <si>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</si>
  <si>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</si>
  <si>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</si>
  <si>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</si>
  <si>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</si>
  <si>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</si>
  <si>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</si>
  <si>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</si>
  <si>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</si>
  <si>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</si>
  <si>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</si>
  <si>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</si>
  <si>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</si>
  <si>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</si>
  <si>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</si>
  <si>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</si>
  <si>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</si>
  <si>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</si>
  <si>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</si>
  <si>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</si>
  <si>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</si>
  <si>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</si>
  <si>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</si>
  <si>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</si>
  <si>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</si>
  <si>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</si>
  <si>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</si>
  <si>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</si>
  <si>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</si>
  <si>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</si>
  <si>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</si>
  <si>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</si>
  <si>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</si>
  <si>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</si>
  <si>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</si>
  <si>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</si>
  <si>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</si>
  <si>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</si>
  <si>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</si>
  <si>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</si>
  <si>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</si>
  <si>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</si>
  <si>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</si>
  <si>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</si>
  <si>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</si>
  <si>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</si>
  <si>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</si>
  <si>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</si>
  <si>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</si>
  <si>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</si>
  <si>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</si>
  <si>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</si>
  <si>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</si>
  <si>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</si>
  <si>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</si>
  <si>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</si>
  <si>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</si>
  <si>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</si>
  <si>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</si>
  <si>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</si>
  <si>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</si>
  <si>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</si>
  <si>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</si>
  <si>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</si>
  <si>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</si>
  <si>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</si>
  <si>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</si>
  <si>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</si>
  <si>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</si>
  <si>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</si>
  <si>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</si>
  <si>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</si>
  <si>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</si>
  <si>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</si>
  <si>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</si>
  <si>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</si>
  <si>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</si>
  <si>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</si>
  <si>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</si>
  <si>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</si>
  <si>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</si>
  <si>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</si>
  <si>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</si>
  <si>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</si>
  <si>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</si>
  <si>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</si>
  <si>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</si>
  <si>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</si>
  <si>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</si>
  <si>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</si>
  <si>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</si>
  <si>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</si>
  <si>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</si>
  <si>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</si>
  <si>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</si>
  <si>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</si>
  <si>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</si>
  <si>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</si>
  <si>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</si>
  <si>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</si>
  <si>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</si>
  <si>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</si>
  <si>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</si>
  <si>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</si>
  <si>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</si>
  <si>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</si>
  <si>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</si>
  <si>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</si>
  <si>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</si>
  <si>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</si>
  <si>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</si>
  <si>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</si>
  <si>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</si>
  <si>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</si>
  <si>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</si>
  <si>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</si>
  <si>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</si>
  <si>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</si>
  <si>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</si>
  <si>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</si>
  <si>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</si>
  <si>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</si>
  <si>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</si>
  <si>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</si>
  <si>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</si>
  <si>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</si>
  <si>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</si>
  <si>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</si>
  <si>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</si>
  <si>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</si>
  <si>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</si>
  <si>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</si>
  <si>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</si>
  <si>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</si>
  <si>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</si>
  <si>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</si>
  <si>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</si>
  <si>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</si>
  <si>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</si>
  <si>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</si>
  <si>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</si>
  <si>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</si>
  <si>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</si>
  <si>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</si>
  <si>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</si>
  <si>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</si>
  <si>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</si>
  <si>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</si>
  <si>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</si>
  <si>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</si>
  <si>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</si>
  <si>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</si>
  <si>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</si>
  <si>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</si>
  <si>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</si>
  <si>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</si>
  <si>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</si>
  <si>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</si>
  <si>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</si>
  <si>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</si>
  <si>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</si>
  <si>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</si>
  <si>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</si>
  <si>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</si>
  <si>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</si>
  <si>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</si>
  <si>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</si>
  <si>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</si>
  <si>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</si>
  <si>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</si>
  <si>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</si>
  <si>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</si>
  <si>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</si>
  <si>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</si>
  <si>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</si>
  <si>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</si>
  <si>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</si>
  <si>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</si>
  <si>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</si>
  <si>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</si>
  <si>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</si>
  <si>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</si>
  <si>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</si>
  <si>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</si>
  <si>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</si>
  <si>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</si>
  <si>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</si>
  <si>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</si>
  <si>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</si>
  <si>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</si>
  <si>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</si>
  <si>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</si>
  <si>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</si>
  <si>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</si>
  <si>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</si>
  <si>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</si>
  <si>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</si>
  <si>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</si>
  <si>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</si>
  <si>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</si>
  <si>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</si>
  <si>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</si>
  <si>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</si>
  <si>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</si>
  <si>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</si>
  <si>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</si>
  <si>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</si>
  <si>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</si>
  <si>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</si>
  <si>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</si>
  <si>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</si>
  <si>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</si>
  <si>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</si>
  <si>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</si>
  <si>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</si>
  <si>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</si>
  <si>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</si>
  <si>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</si>
  <si>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</si>
  <si>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</si>
  <si>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</si>
  <si>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</si>
  <si>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</si>
  <si>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</si>
  <si>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</si>
  <si>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</si>
  <si>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</si>
  <si>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</si>
  <si>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</si>
  <si>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</si>
  <si>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</si>
  <si>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</si>
  <si>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</si>
  <si>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</si>
  <si>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</si>
  <si>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</si>
  <si>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</si>
  <si>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</si>
  <si>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</si>
  <si>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</si>
  <si>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</si>
  <si>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</si>
  <si>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</si>
  <si>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</si>
  <si>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</si>
  <si>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</si>
  <si>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</si>
  <si>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</si>
  <si>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</si>
  <si>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</si>
  <si>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</si>
  <si>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</si>
  <si>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</si>
  <si>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</si>
  <si>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</si>
  <si>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</si>
  <si>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</si>
  <si>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</si>
  <si>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</si>
  <si>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</si>
  <si>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</si>
  <si>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</si>
  <si>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</si>
  <si>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</si>
  <si>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</si>
  <si>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</si>
  <si>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</si>
  <si>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</si>
  <si>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</si>
  <si>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</si>
  <si>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</si>
  <si>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</si>
  <si>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</si>
  <si>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</si>
  <si>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</si>
  <si>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</si>
  <si>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</si>
  <si>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</si>
  <si>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</si>
  <si>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</si>
  <si>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</si>
  <si>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</si>
  <si>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</si>
  <si>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</si>
  <si>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</si>
  <si>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</si>
  <si>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</si>
  <si>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</si>
  <si>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</si>
  <si>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</si>
  <si>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</si>
  <si>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</si>
  <si>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</si>
  <si>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</si>
  <si>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</si>
  <si>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</si>
  <si>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</si>
  <si>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</si>
  <si>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</si>
  <si>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</si>
  <si>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</si>
  <si>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</si>
  <si>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</si>
  <si>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</si>
  <si>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</si>
  <si>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</si>
  <si>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</si>
  <si>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</si>
  <si>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</si>
  <si>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</si>
  <si>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</si>
  <si>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</si>
  <si>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</si>
  <si>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</si>
  <si>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</si>
  <si>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</si>
  <si>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</si>
  <si>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</si>
  <si>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</si>
  <si>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</si>
  <si>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</si>
  <si>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</si>
  <si>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</si>
  <si>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</si>
  <si>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</si>
  <si>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</si>
  <si>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</si>
  <si>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</si>
  <si>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</si>
  <si>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</si>
  <si>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</si>
  <si>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</si>
  <si>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</si>
  <si>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</si>
  <si>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</si>
  <si>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</si>
  <si>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</si>
  <si>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</si>
  <si>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</si>
  <si>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</si>
  <si>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</si>
  <si>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</si>
  <si>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</si>
  <si>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</si>
  <si>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</si>
  <si>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</si>
  <si>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</si>
  <si>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</si>
  <si>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</si>
  <si>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</si>
  <si>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</si>
  <si>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</si>
  <si>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</si>
  <si>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</si>
  <si>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</si>
  <si>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</si>
  <si>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</si>
  <si>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</si>
  <si>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</si>
  <si>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</si>
  <si>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</si>
  <si>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</si>
  <si>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</si>
  <si>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</si>
  <si>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</si>
  <si>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</si>
  <si>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</si>
  <si>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</si>
  <si>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</si>
  <si>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</si>
  <si>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</si>
  <si>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</si>
  <si>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</si>
  <si>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</si>
  <si>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</si>
  <si>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</si>
  <si>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</si>
  <si>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</si>
  <si>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</si>
  <si>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</si>
  <si>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</si>
  <si>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</si>
  <si>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</si>
  <si>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</si>
  <si>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</si>
  <si>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</si>
  <si>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</si>
  <si>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</si>
  <si>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</si>
  <si>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</si>
  <si>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</si>
  <si>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</si>
  <si>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</si>
  <si>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</si>
  <si>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</si>
  <si>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</si>
  <si>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</si>
  <si>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</si>
  <si>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</si>
  <si>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</si>
  <si>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</si>
  <si>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</si>
  <si>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</si>
  <si>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</si>
  <si>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</si>
  <si>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</si>
  <si>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</si>
  <si>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</si>
  <si>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</si>
  <si>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</si>
  <si>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</si>
  <si>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</si>
  <si>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</si>
  <si>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</si>
  <si>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</si>
  <si>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</si>
  <si>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</si>
  <si>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</si>
  <si>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</si>
  <si>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</si>
  <si>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</si>
  <si>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</si>
  <si>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</si>
  <si>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</si>
  <si>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</si>
  <si>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</si>
  <si>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</si>
  <si>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</si>
  <si>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</si>
  <si>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</si>
  <si>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</si>
  <si>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</si>
  <si>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</si>
  <si>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</si>
  <si>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</si>
  <si>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</si>
  <si>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</si>
  <si>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</si>
  <si>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</si>
  <si>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</si>
  <si>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</si>
  <si>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</si>
  <si>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</si>
  <si>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</si>
  <si>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</si>
  <si>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</si>
  <si>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</si>
  <si>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</si>
  <si>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</si>
  <si>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</si>
  <si>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</si>
  <si>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</si>
  <si>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</si>
  <si>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</si>
  <si>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</si>
  <si>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</si>
  <si>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</si>
  <si>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</si>
  <si>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</si>
  <si>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</si>
  <si>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</si>
  <si>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</si>
  <si>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</si>
  <si>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</si>
  <si>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</si>
  <si>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</si>
  <si>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</si>
  <si>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</si>
  <si>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</si>
  <si>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</si>
  <si>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</si>
  <si>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</si>
  <si>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</si>
  <si>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</si>
  <si>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</si>
  <si>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</si>
  <si>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</si>
  <si>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</si>
  <si>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</si>
  <si>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</si>
  <si>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</si>
  <si>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</si>
  <si>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</si>
  <si>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</si>
  <si>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</si>
  <si>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</si>
  <si>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</si>
  <si>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</si>
  <si>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</si>
  <si>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</si>
  <si>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</si>
  <si>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</si>
  <si>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</si>
  <si>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</si>
  <si>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</si>
  <si>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</si>
  <si>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</si>
  <si>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</si>
  <si>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</si>
  <si>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</si>
  <si>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</si>
  <si>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</si>
  <si>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</si>
  <si>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</si>
  <si>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</si>
  <si>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</si>
  <si>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</si>
  <si>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</si>
  <si>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</si>
  <si>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</si>
  <si>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</si>
  <si>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</si>
  <si>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</si>
  <si>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</si>
  <si>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</si>
  <si>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</si>
  <si>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</si>
  <si>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</si>
  <si>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</si>
  <si>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</si>
  <si>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</si>
  <si>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</si>
  <si>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</si>
  <si>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</si>
  <si>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</si>
  <si>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</si>
  <si>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</si>
  <si>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</si>
  <si>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</si>
  <si>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</si>
  <si>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</si>
  <si>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</si>
  <si>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</si>
  <si>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</si>
  <si>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</si>
  <si>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</si>
  <si>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</si>
  <si>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</si>
  <si>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</si>
  <si>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</si>
  <si>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</si>
  <si>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</si>
  <si>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</si>
  <si>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</si>
  <si>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</si>
  <si>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</si>
  <si>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</si>
  <si>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</si>
  <si>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</si>
  <si>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</si>
  <si>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</si>
  <si>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</si>
  <si>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</si>
  <si>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</si>
  <si>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</si>
  <si>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</si>
  <si>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</si>
  <si>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</si>
  <si>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</si>
  <si>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</si>
  <si>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</si>
  <si>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</si>
  <si>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</si>
  <si>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</si>
  <si>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</si>
  <si>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</si>
  <si>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</si>
  <si>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</si>
  <si>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</si>
  <si>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</si>
  <si>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</si>
  <si>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</si>
  <si>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</si>
  <si>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</si>
  <si>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</si>
  <si>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</si>
  <si>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</si>
  <si>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</si>
  <si>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</si>
  <si>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</si>
  <si>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</si>
  <si>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</si>
  <si>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</si>
  <si>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</si>
  <si>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</si>
  <si>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</si>
  <si>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</si>
  <si>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</si>
  <si>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</si>
  <si>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</si>
  <si>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</si>
  <si>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</si>
  <si>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</si>
  <si>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</si>
  <si>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</si>
  <si>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</si>
  <si>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</si>
  <si>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</si>
  <si>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</si>
  <si>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</si>
  <si>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</si>
  <si>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</si>
  <si>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</si>
  <si>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</si>
  <si>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</si>
  <si>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</si>
  <si>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</si>
  <si>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</si>
  <si>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</si>
  <si>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</si>
  <si>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</si>
  <si>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</si>
  <si>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</si>
  <si>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</si>
  <si>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</si>
  <si>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</si>
  <si>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</si>
  <si>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</si>
  <si>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</si>
  <si>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</si>
  <si>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</si>
  <si>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</si>
  <si>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</si>
  <si>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</si>
  <si>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</si>
  <si>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</si>
  <si>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</si>
  <si>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</si>
  <si>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</si>
  <si>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</si>
  <si>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</si>
  <si>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</si>
  <si>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</si>
  <si>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</si>
  <si>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</si>
  <si>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</si>
  <si>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</si>
  <si>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</si>
  <si>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</si>
  <si>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</si>
  <si>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</si>
  <si>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</si>
  <si>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</si>
  <si>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</si>
  <si>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</si>
  <si>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</si>
  <si>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</si>
  <si>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</si>
  <si>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</si>
  <si>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</si>
  <si>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</si>
  <si>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</si>
  <si>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</si>
  <si>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</si>
  <si>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</si>
  <si>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</si>
  <si>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</si>
  <si>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</si>
  <si>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</si>
  <si>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</si>
  <si>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</si>
  <si>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</si>
  <si>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</si>
  <si>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</si>
  <si>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</si>
  <si>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</si>
  <si>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</si>
  <si>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</si>
  <si>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</si>
  <si>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</si>
  <si>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</si>
  <si>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</si>
  <si>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</si>
  <si>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</si>
  <si>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</si>
  <si>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</si>
  <si>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</si>
  <si>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</si>
  <si>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</si>
  <si>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</si>
  <si>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</si>
  <si>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</si>
  <si>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</si>
  <si>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</si>
  <si>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</si>
  <si>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</si>
  <si>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</si>
  <si>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</si>
  <si>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</si>
  <si>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</si>
  <si>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</si>
  <si>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</si>
  <si>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</si>
  <si>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</si>
  <si>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</si>
  <si>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</si>
  <si>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</si>
  <si>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</si>
  <si>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</si>
  <si>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</si>
  <si>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</si>
  <si>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</si>
  <si>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</si>
  <si>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</si>
  <si>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</si>
  <si>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</si>
  <si>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</si>
  <si>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</si>
  <si>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</si>
  <si>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</si>
  <si>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 xml:space="preserve">anyW 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</si>
  <si>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</si>
  <si>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</si>
  <si>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</si>
  <si>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</si>
  <si>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</si>
  <si>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</si>
  <si>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</si>
  <si>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</si>
  <si>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</si>
  <si>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</si>
  <si>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SgPow #BocD</t>
  </si>
  <si>
    <t>&gt;29Aug</t>
  </si>
  <si>
    <t>bondMufu</t>
  </si>
  <si>
    <t>bondMufu#4k</t>
  </si>
  <si>
    <t>Szr Somerset</t>
  </si>
  <si>
    <t>pay off 1 Sep</t>
  </si>
  <si>
    <t>FoodOpera#scsc</t>
  </si>
  <si>
    <t>200!show</t>
  </si>
  <si>
    <t>to boy</t>
  </si>
  <si>
    <t xml:space="preserve">FnF  </t>
  </si>
  <si>
    <t xml:space="preserve">scsc  </t>
  </si>
  <si>
    <t>SOD1/9</t>
  </si>
  <si>
    <t>top up 1k</t>
  </si>
  <si>
    <t>DBS104 #TotBal</t>
  </si>
  <si>
    <t>MCSA TotBal</t>
  </si>
  <si>
    <t>&gt;30Aug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</si>
</sst>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0" fontId="69" fillId="0" borderId="0" xfId="0" applyNumberFormat="1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8">
        <f t="shared" ref="I33:J33" si="2">I30*I31/365*30</f>
        <v>73.972602739726014</v>
      </c>
      <c r="J33" s="628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39">
        <f>SUMPRODUCT(D3:D33,E3:E33)/365</f>
        <v>32.909589041095877</v>
      </c>
      <c r="E35" s="739"/>
      <c r="F35" s="26"/>
    </row>
    <row r="36" spans="2:11">
      <c r="B36" s="16" t="s">
        <v>3381</v>
      </c>
      <c r="D36" s="739" t="s">
        <v>3382</v>
      </c>
      <c r="E36" s="73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74" t="s">
        <v>91</v>
      </c>
      <c r="C1" s="674"/>
      <c r="D1" s="675" t="s">
        <v>92</v>
      </c>
      <c r="E1" s="674"/>
      <c r="F1" s="675" t="s">
        <v>93</v>
      </c>
      <c r="G1" s="674"/>
      <c r="H1" s="676" t="s">
        <v>94</v>
      </c>
      <c r="I1" s="676"/>
      <c r="J1" s="677" t="s">
        <v>92</v>
      </c>
      <c r="K1" s="678"/>
      <c r="L1" s="679" t="s">
        <v>95</v>
      </c>
      <c r="M1" s="680"/>
      <c r="N1" s="676" t="s">
        <v>96</v>
      </c>
      <c r="O1" s="676"/>
      <c r="P1" s="677" t="s">
        <v>97</v>
      </c>
      <c r="Q1" s="678"/>
      <c r="R1" s="679" t="s">
        <v>98</v>
      </c>
      <c r="S1" s="680"/>
      <c r="T1" s="681" t="s">
        <v>99</v>
      </c>
      <c r="U1" s="681"/>
      <c r="V1" s="677" t="s">
        <v>92</v>
      </c>
      <c r="W1" s="678"/>
      <c r="X1" s="682" t="s">
        <v>100</v>
      </c>
      <c r="Y1" s="683"/>
      <c r="Z1" s="681" t="s">
        <v>101</v>
      </c>
      <c r="AA1" s="681"/>
      <c r="AB1" s="684" t="s">
        <v>92</v>
      </c>
      <c r="AC1" s="685"/>
      <c r="AD1" s="686" t="s">
        <v>100</v>
      </c>
      <c r="AE1" s="687"/>
      <c r="AF1" s="681" t="s">
        <v>102</v>
      </c>
      <c r="AG1" s="681"/>
      <c r="AH1" s="684" t="s">
        <v>92</v>
      </c>
      <c r="AI1" s="685"/>
      <c r="AJ1" s="682" t="s">
        <v>103</v>
      </c>
      <c r="AK1" s="683"/>
      <c r="AL1" s="681" t="s">
        <v>104</v>
      </c>
      <c r="AM1" s="681"/>
      <c r="AN1" s="688" t="s">
        <v>92</v>
      </c>
      <c r="AO1" s="689"/>
      <c r="AP1" s="690" t="s">
        <v>105</v>
      </c>
      <c r="AQ1" s="691"/>
      <c r="AR1" s="681" t="s">
        <v>106</v>
      </c>
      <c r="AS1" s="681"/>
      <c r="AV1" s="690" t="s">
        <v>107</v>
      </c>
      <c r="AW1" s="691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00" t="s">
        <v>124</v>
      </c>
      <c r="U4" s="700"/>
      <c r="X4" s="435" t="s">
        <v>123</v>
      </c>
      <c r="Y4" s="461">
        <f>Y3-Y6</f>
        <v>4.9669099999591708</v>
      </c>
      <c r="Z4" s="700" t="s">
        <v>125</v>
      </c>
      <c r="AA4" s="700"/>
      <c r="AD4" s="404" t="s">
        <v>123</v>
      </c>
      <c r="AE4" s="404">
        <f>AE3-AE5</f>
        <v>-52.526899999851594</v>
      </c>
      <c r="AF4" s="700" t="s">
        <v>125</v>
      </c>
      <c r="AG4" s="700"/>
      <c r="AH4" s="72"/>
      <c r="AI4" s="72"/>
      <c r="AJ4" s="404" t="s">
        <v>123</v>
      </c>
      <c r="AK4" s="404">
        <f>AK3-AK5</f>
        <v>94.988909999992757</v>
      </c>
      <c r="AL4" s="700" t="s">
        <v>125</v>
      </c>
      <c r="AM4" s="700"/>
      <c r="AP4" s="58" t="s">
        <v>123</v>
      </c>
      <c r="AQ4" s="57">
        <f>AQ3-AQ5</f>
        <v>33.841989999942598</v>
      </c>
      <c r="AR4" s="700" t="s">
        <v>125</v>
      </c>
      <c r="AS4" s="700"/>
      <c r="AX4" s="700" t="s">
        <v>126</v>
      </c>
      <c r="AY4" s="700"/>
      <c r="BB4" s="700" t="s">
        <v>127</v>
      </c>
      <c r="BC4" s="700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00"/>
      <c r="U5" s="700"/>
      <c r="V5" s="348" t="s">
        <v>132</v>
      </c>
      <c r="W5">
        <v>2050</v>
      </c>
      <c r="X5" s="409"/>
      <c r="Z5" s="700"/>
      <c r="AA5" s="700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00"/>
      <c r="AG5" s="700"/>
      <c r="AH5" s="72"/>
      <c r="AI5" s="72"/>
      <c r="AJ5" s="404" t="s">
        <v>134</v>
      </c>
      <c r="AK5" s="462">
        <f>SUM(AK11:AK59)</f>
        <v>30858.011000000002</v>
      </c>
      <c r="AL5" s="700"/>
      <c r="AM5" s="700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00"/>
      <c r="AS5" s="700"/>
      <c r="AX5" s="700"/>
      <c r="AY5" s="700"/>
      <c r="BB5" s="700"/>
      <c r="BC5" s="700"/>
      <c r="BD5" s="695" t="s">
        <v>136</v>
      </c>
      <c r="BE5" s="695"/>
      <c r="BF5" s="695"/>
      <c r="BG5" s="695"/>
      <c r="BH5" s="695"/>
      <c r="BI5" s="695"/>
      <c r="BJ5" s="695"/>
      <c r="BK5" s="695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96" t="s">
        <v>335</v>
      </c>
      <c r="W23" s="697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98"/>
      <c r="W24" s="699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01" t="s">
        <v>524</v>
      </c>
      <c r="F38" s="702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4" t="s">
        <v>567</v>
      </c>
      <c r="C1" s="674"/>
      <c r="D1" s="686" t="s">
        <v>568</v>
      </c>
      <c r="E1" s="687"/>
      <c r="F1" s="674" t="s">
        <v>569</v>
      </c>
      <c r="G1" s="674"/>
      <c r="H1" s="703" t="s">
        <v>570</v>
      </c>
      <c r="I1" s="704"/>
      <c r="J1" s="686" t="s">
        <v>568</v>
      </c>
      <c r="K1" s="687"/>
      <c r="L1" s="674" t="s">
        <v>571</v>
      </c>
      <c r="M1" s="674"/>
      <c r="N1" s="703" t="s">
        <v>570</v>
      </c>
      <c r="O1" s="704"/>
      <c r="P1" s="686" t="s">
        <v>568</v>
      </c>
      <c r="Q1" s="687"/>
      <c r="R1" s="674" t="s">
        <v>572</v>
      </c>
      <c r="S1" s="674"/>
      <c r="T1" s="703" t="s">
        <v>570</v>
      </c>
      <c r="U1" s="704"/>
      <c r="V1" s="686" t="s">
        <v>568</v>
      </c>
      <c r="W1" s="687"/>
      <c r="X1" s="674" t="s">
        <v>573</v>
      </c>
      <c r="Y1" s="674"/>
      <c r="Z1" s="703" t="s">
        <v>570</v>
      </c>
      <c r="AA1" s="704"/>
      <c r="AB1" s="686" t="s">
        <v>568</v>
      </c>
      <c r="AC1" s="687"/>
      <c r="AD1" s="674" t="s">
        <v>574</v>
      </c>
      <c r="AE1" s="674"/>
      <c r="AF1" s="703" t="s">
        <v>570</v>
      </c>
      <c r="AG1" s="704"/>
      <c r="AH1" s="686" t="s">
        <v>568</v>
      </c>
      <c r="AI1" s="687"/>
      <c r="AJ1" s="674" t="s">
        <v>575</v>
      </c>
      <c r="AK1" s="674"/>
      <c r="AL1" s="703" t="s">
        <v>576</v>
      </c>
      <c r="AM1" s="704"/>
      <c r="AN1" s="686" t="s">
        <v>577</v>
      </c>
      <c r="AO1" s="687"/>
      <c r="AP1" s="674" t="s">
        <v>578</v>
      </c>
      <c r="AQ1" s="674"/>
      <c r="AR1" s="703" t="s">
        <v>570</v>
      </c>
      <c r="AS1" s="704"/>
      <c r="AT1" s="686" t="s">
        <v>568</v>
      </c>
      <c r="AU1" s="687"/>
      <c r="AV1" s="674" t="s">
        <v>579</v>
      </c>
      <c r="AW1" s="674"/>
      <c r="AX1" s="703" t="s">
        <v>570</v>
      </c>
      <c r="AY1" s="704"/>
      <c r="AZ1" s="686" t="s">
        <v>568</v>
      </c>
      <c r="BA1" s="687"/>
      <c r="BB1" s="674" t="s">
        <v>580</v>
      </c>
      <c r="BC1" s="674"/>
      <c r="BD1" s="703" t="s">
        <v>570</v>
      </c>
      <c r="BE1" s="704"/>
      <c r="BF1" s="686" t="s">
        <v>568</v>
      </c>
      <c r="BG1" s="687"/>
      <c r="BH1" s="674" t="s">
        <v>581</v>
      </c>
      <c r="BI1" s="674"/>
      <c r="BJ1" s="703" t="s">
        <v>570</v>
      </c>
      <c r="BK1" s="704"/>
      <c r="BL1" s="686" t="s">
        <v>568</v>
      </c>
      <c r="BM1" s="687"/>
      <c r="BN1" s="674" t="s">
        <v>582</v>
      </c>
      <c r="BO1" s="674"/>
      <c r="BP1" s="703" t="s">
        <v>570</v>
      </c>
      <c r="BQ1" s="704"/>
      <c r="BR1" s="686" t="s">
        <v>568</v>
      </c>
      <c r="BS1" s="687"/>
      <c r="BT1" s="674" t="s">
        <v>583</v>
      </c>
      <c r="BU1" s="674"/>
      <c r="BV1" s="703" t="s">
        <v>584</v>
      </c>
      <c r="BW1" s="704"/>
      <c r="BX1" s="686" t="s">
        <v>585</v>
      </c>
      <c r="BY1" s="687"/>
      <c r="BZ1" s="674" t="s">
        <v>586</v>
      </c>
      <c r="CA1" s="674"/>
      <c r="CB1" s="703" t="s">
        <v>587</v>
      </c>
      <c r="CC1" s="704"/>
      <c r="CD1" s="686" t="s">
        <v>588</v>
      </c>
      <c r="CE1" s="687"/>
      <c r="CF1" s="674" t="s">
        <v>589</v>
      </c>
      <c r="CG1" s="674"/>
      <c r="CH1" s="703" t="s">
        <v>587</v>
      </c>
      <c r="CI1" s="704"/>
      <c r="CJ1" s="686" t="s">
        <v>588</v>
      </c>
      <c r="CK1" s="687"/>
      <c r="CL1" s="674" t="s">
        <v>590</v>
      </c>
      <c r="CM1" s="674"/>
      <c r="CN1" s="703" t="s">
        <v>587</v>
      </c>
      <c r="CO1" s="704"/>
      <c r="CP1" s="686" t="s">
        <v>588</v>
      </c>
      <c r="CQ1" s="687"/>
      <c r="CR1" s="674" t="s">
        <v>591</v>
      </c>
      <c r="CS1" s="674"/>
      <c r="CT1" s="703" t="s">
        <v>587</v>
      </c>
      <c r="CU1" s="704"/>
      <c r="CV1" s="705" t="s">
        <v>588</v>
      </c>
      <c r="CW1" s="706"/>
      <c r="CX1" s="674" t="s">
        <v>592</v>
      </c>
      <c r="CY1" s="674"/>
      <c r="CZ1" s="703" t="s">
        <v>587</v>
      </c>
      <c r="DA1" s="704"/>
      <c r="DB1" s="705" t="s">
        <v>588</v>
      </c>
      <c r="DC1" s="706"/>
      <c r="DD1" s="674" t="s">
        <v>593</v>
      </c>
      <c r="DE1" s="674"/>
      <c r="DF1" s="703" t="s">
        <v>594</v>
      </c>
      <c r="DG1" s="704"/>
      <c r="DH1" s="705" t="s">
        <v>595</v>
      </c>
      <c r="DI1" s="706"/>
      <c r="DJ1" s="674" t="s">
        <v>596</v>
      </c>
      <c r="DK1" s="674"/>
      <c r="DL1" s="703" t="s">
        <v>594</v>
      </c>
      <c r="DM1" s="704"/>
      <c r="DN1" s="705" t="s">
        <v>588</v>
      </c>
      <c r="DO1" s="706"/>
      <c r="DP1" s="674" t="s">
        <v>597</v>
      </c>
      <c r="DQ1" s="674"/>
      <c r="DR1" s="703" t="s">
        <v>594</v>
      </c>
      <c r="DS1" s="704"/>
      <c r="DT1" s="705" t="s">
        <v>588</v>
      </c>
      <c r="DU1" s="706"/>
      <c r="DV1" s="674" t="s">
        <v>598</v>
      </c>
      <c r="DW1" s="674"/>
      <c r="DX1" s="703" t="s">
        <v>594</v>
      </c>
      <c r="DY1" s="704"/>
      <c r="DZ1" s="705" t="s">
        <v>588</v>
      </c>
      <c r="EA1" s="706"/>
      <c r="EB1" s="674" t="s">
        <v>599</v>
      </c>
      <c r="EC1" s="674"/>
      <c r="ED1" s="703" t="s">
        <v>594</v>
      </c>
      <c r="EE1" s="704"/>
      <c r="EF1" s="705" t="s">
        <v>588</v>
      </c>
      <c r="EG1" s="706"/>
      <c r="EH1" s="674" t="s">
        <v>600</v>
      </c>
      <c r="EI1" s="674"/>
      <c r="EJ1" s="703" t="s">
        <v>594</v>
      </c>
      <c r="EK1" s="704"/>
      <c r="EL1" s="705" t="s">
        <v>601</v>
      </c>
      <c r="EM1" s="706"/>
      <c r="EN1" s="674" t="s">
        <v>602</v>
      </c>
      <c r="EO1" s="674"/>
      <c r="EP1" s="703" t="s">
        <v>594</v>
      </c>
      <c r="EQ1" s="704"/>
      <c r="ER1" s="705" t="s">
        <v>603</v>
      </c>
      <c r="ES1" s="706"/>
      <c r="ET1" s="674" t="s">
        <v>604</v>
      </c>
      <c r="EU1" s="674"/>
      <c r="EV1" s="703" t="s">
        <v>594</v>
      </c>
      <c r="EW1" s="704"/>
      <c r="EX1" s="705" t="s">
        <v>103</v>
      </c>
      <c r="EY1" s="706"/>
      <c r="EZ1" s="674" t="s">
        <v>605</v>
      </c>
      <c r="FA1" s="674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07" t="s">
        <v>672</v>
      </c>
      <c r="CU7" s="674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07" t="s">
        <v>702</v>
      </c>
      <c r="DA8" s="674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07" t="s">
        <v>702</v>
      </c>
      <c r="DG8" s="674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07" t="s">
        <v>702</v>
      </c>
      <c r="DM8" s="674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07" t="s">
        <v>702</v>
      </c>
      <c r="DS8" s="674"/>
      <c r="DT8" s="14" t="s">
        <v>700</v>
      </c>
      <c r="DU8" s="14">
        <f>SUM(DU13:DU17)</f>
        <v>32</v>
      </c>
      <c r="DV8" s="9"/>
      <c r="DW8" s="9"/>
      <c r="DX8" s="707" t="s">
        <v>702</v>
      </c>
      <c r="DY8" s="674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07" t="s">
        <v>703</v>
      </c>
      <c r="EK8" s="674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07" t="s">
        <v>703</v>
      </c>
      <c r="EQ9" s="674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07" t="s">
        <v>703</v>
      </c>
      <c r="EW9" s="674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07" t="s">
        <v>703</v>
      </c>
      <c r="EE11" s="674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07" t="s">
        <v>702</v>
      </c>
      <c r="CU12" s="674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81" t="s">
        <v>912</v>
      </c>
      <c r="CU19" s="68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0" t="s">
        <v>943</v>
      </c>
      <c r="FA21" s="710"/>
      <c r="FC21" s="366">
        <f>FC20-FC22</f>
        <v>113457.16899999997</v>
      </c>
      <c r="FD21" s="344"/>
      <c r="FE21" s="711" t="s">
        <v>945</v>
      </c>
      <c r="FF21" s="711"/>
      <c r="FG21" s="711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0" t="s">
        <v>953</v>
      </c>
      <c r="FA22" s="710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0" t="s">
        <v>969</v>
      </c>
      <c r="FA23" s="710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0" t="s">
        <v>979</v>
      </c>
      <c r="FA24" s="710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08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09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08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09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4" bestFit="1" customWidth="1"/>
    <col min="6" max="6" width="11.85546875" style="622" bestFit="1" customWidth="1"/>
    <col min="7" max="7" width="7.42578125" customWidth="1"/>
    <col min="8" max="8" width="74.28515625" customWidth="1"/>
  </cols>
  <sheetData>
    <row r="2" spans="1:8">
      <c r="A2" s="43"/>
      <c r="B2" s="624" t="s">
        <v>1482</v>
      </c>
      <c r="C2" s="9" t="s">
        <v>3347</v>
      </c>
      <c r="D2" s="44" t="s">
        <v>3348</v>
      </c>
      <c r="E2" s="616" t="s">
        <v>3436</v>
      </c>
      <c r="F2" s="616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4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7" t="s">
        <v>3354</v>
      </c>
      <c r="F4" s="623" t="s">
        <v>3352</v>
      </c>
      <c r="G4" s="46" t="s">
        <v>3357</v>
      </c>
      <c r="H4" s="615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4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4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D1" workbookViewId="0">
      <selection activeCell="NJ25" sqref="NJ25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7" customWidth="1"/>
    <col min="357" max="357" width="8.7109375" style="48" customWidth="1"/>
    <col min="358" max="358" width="23.85546875" style="597" customWidth="1"/>
    <col min="359" max="359" width="8" style="597" bestFit="1" customWidth="1"/>
    <col min="360" max="360" width="18.85546875" style="597" customWidth="1"/>
    <col min="361" max="361" width="10.140625" style="597" customWidth="1"/>
    <col min="362" max="362" width="19.140625" style="643" customWidth="1"/>
    <col min="363" max="363" width="9.140625" style="48" customWidth="1"/>
    <col min="364" max="364" width="20" style="643" bestFit="1" customWidth="1"/>
    <col min="365" max="365" width="8.5703125" style="643" customWidth="1"/>
    <col min="366" max="366" width="18.85546875" style="643" customWidth="1"/>
    <col min="367" max="367" width="10.140625" style="643" customWidth="1"/>
    <col min="368" max="368" width="19.140625" style="667" customWidth="1"/>
    <col min="369" max="369" width="9.140625" style="48" bestFit="1" customWidth="1"/>
    <col min="370" max="370" width="20" style="667" bestFit="1" customWidth="1"/>
    <col min="371" max="371" width="9.140625" style="667" customWidth="1"/>
    <col min="372" max="372" width="18.85546875" style="667" customWidth="1"/>
    <col min="373" max="373" width="10.140625" style="667" customWidth="1"/>
    <col min="374" max="374" width="7.140625" style="48" customWidth="1"/>
    <col min="375" max="375" width="8.28515625" style="667" customWidth="1"/>
    <col min="376" max="16384" width="14.5703125" style="14"/>
  </cols>
  <sheetData>
    <row r="1" spans="1:375">
      <c r="A1" s="713" t="s">
        <v>1017</v>
      </c>
      <c r="B1" s="713"/>
      <c r="C1" s="688" t="s">
        <v>92</v>
      </c>
      <c r="D1" s="689"/>
      <c r="E1" s="690" t="s">
        <v>1018</v>
      </c>
      <c r="F1" s="691"/>
      <c r="G1" s="713" t="s">
        <v>1019</v>
      </c>
      <c r="H1" s="713"/>
      <c r="I1" s="688" t="s">
        <v>92</v>
      </c>
      <c r="J1" s="689"/>
      <c r="K1" s="690" t="s">
        <v>1020</v>
      </c>
      <c r="L1" s="691"/>
      <c r="M1" s="713" t="s">
        <v>1021</v>
      </c>
      <c r="N1" s="713"/>
      <c r="O1" s="688" t="s">
        <v>92</v>
      </c>
      <c r="P1" s="689"/>
      <c r="Q1" s="690" t="s">
        <v>1022</v>
      </c>
      <c r="R1" s="691"/>
      <c r="S1" s="713" t="s">
        <v>1023</v>
      </c>
      <c r="T1" s="713"/>
      <c r="U1" s="688" t="s">
        <v>92</v>
      </c>
      <c r="V1" s="689"/>
      <c r="W1" s="690" t="s">
        <v>577</v>
      </c>
      <c r="X1" s="691"/>
      <c r="Y1" s="713" t="s">
        <v>1024</v>
      </c>
      <c r="Z1" s="713"/>
      <c r="AA1" s="688" t="s">
        <v>92</v>
      </c>
      <c r="AB1" s="689"/>
      <c r="AC1" s="690" t="s">
        <v>1025</v>
      </c>
      <c r="AD1" s="691"/>
      <c r="AE1" s="713" t="s">
        <v>1026</v>
      </c>
      <c r="AF1" s="713"/>
      <c r="AG1" s="688" t="s">
        <v>92</v>
      </c>
      <c r="AH1" s="689"/>
      <c r="AI1" s="690" t="s">
        <v>1027</v>
      </c>
      <c r="AJ1" s="691"/>
      <c r="AK1" s="713" t="s">
        <v>1028</v>
      </c>
      <c r="AL1" s="713"/>
      <c r="AM1" s="688" t="s">
        <v>1029</v>
      </c>
      <c r="AN1" s="689"/>
      <c r="AO1" s="690" t="s">
        <v>1030</v>
      </c>
      <c r="AP1" s="691"/>
      <c r="AQ1" s="713" t="s">
        <v>1031</v>
      </c>
      <c r="AR1" s="713"/>
      <c r="AS1" s="688" t="s">
        <v>1029</v>
      </c>
      <c r="AT1" s="689"/>
      <c r="AU1" s="690" t="s">
        <v>1032</v>
      </c>
      <c r="AV1" s="691"/>
      <c r="AW1" s="713" t="s">
        <v>1033</v>
      </c>
      <c r="AX1" s="713"/>
      <c r="AY1" s="690" t="s">
        <v>1034</v>
      </c>
      <c r="AZ1" s="691"/>
      <c r="BA1" s="713" t="s">
        <v>1033</v>
      </c>
      <c r="BB1" s="713"/>
      <c r="BC1" s="688" t="s">
        <v>594</v>
      </c>
      <c r="BD1" s="689"/>
      <c r="BE1" s="690" t="s">
        <v>1035</v>
      </c>
      <c r="BF1" s="691"/>
      <c r="BG1" s="713" t="s">
        <v>1036</v>
      </c>
      <c r="BH1" s="713"/>
      <c r="BI1" s="688" t="s">
        <v>594</v>
      </c>
      <c r="BJ1" s="689"/>
      <c r="BK1" s="690" t="s">
        <v>1035</v>
      </c>
      <c r="BL1" s="691"/>
      <c r="BM1" s="713" t="s">
        <v>1037</v>
      </c>
      <c r="BN1" s="713"/>
      <c r="BO1" s="688" t="s">
        <v>594</v>
      </c>
      <c r="BP1" s="689"/>
      <c r="BQ1" s="690" t="s">
        <v>1038</v>
      </c>
      <c r="BR1" s="691"/>
      <c r="BS1" s="713" t="s">
        <v>1039</v>
      </c>
      <c r="BT1" s="713"/>
      <c r="BU1" s="688" t="s">
        <v>594</v>
      </c>
      <c r="BV1" s="689"/>
      <c r="BW1" s="690" t="s">
        <v>1040</v>
      </c>
      <c r="BX1" s="691"/>
      <c r="BY1" s="713" t="s">
        <v>1041</v>
      </c>
      <c r="BZ1" s="713"/>
      <c r="CA1" s="688" t="s">
        <v>594</v>
      </c>
      <c r="CB1" s="689"/>
      <c r="CC1" s="690" t="s">
        <v>1038</v>
      </c>
      <c r="CD1" s="691"/>
      <c r="CE1" s="713" t="s">
        <v>1042</v>
      </c>
      <c r="CF1" s="713"/>
      <c r="CG1" s="688" t="s">
        <v>594</v>
      </c>
      <c r="CH1" s="689"/>
      <c r="CI1" s="690" t="s">
        <v>1040</v>
      </c>
      <c r="CJ1" s="691"/>
      <c r="CK1" s="713" t="s">
        <v>1043</v>
      </c>
      <c r="CL1" s="713"/>
      <c r="CM1" s="688" t="s">
        <v>594</v>
      </c>
      <c r="CN1" s="689"/>
      <c r="CO1" s="690" t="s">
        <v>1038</v>
      </c>
      <c r="CP1" s="691"/>
      <c r="CQ1" s="713" t="s">
        <v>1044</v>
      </c>
      <c r="CR1" s="713"/>
      <c r="CS1" s="714" t="s">
        <v>594</v>
      </c>
      <c r="CT1" s="715"/>
      <c r="CU1" s="690" t="s">
        <v>1045</v>
      </c>
      <c r="CV1" s="691"/>
      <c r="CW1" s="713" t="s">
        <v>1046</v>
      </c>
      <c r="CX1" s="713"/>
      <c r="CY1" s="714" t="s">
        <v>594</v>
      </c>
      <c r="CZ1" s="715"/>
      <c r="DA1" s="690" t="s">
        <v>1047</v>
      </c>
      <c r="DB1" s="691"/>
      <c r="DC1" s="713" t="s">
        <v>1048</v>
      </c>
      <c r="DD1" s="713"/>
      <c r="DE1" s="714" t="s">
        <v>594</v>
      </c>
      <c r="DF1" s="715"/>
      <c r="DG1" s="690" t="s">
        <v>1049</v>
      </c>
      <c r="DH1" s="691"/>
      <c r="DI1" s="713" t="s">
        <v>1050</v>
      </c>
      <c r="DJ1" s="713"/>
      <c r="DK1" s="714" t="s">
        <v>594</v>
      </c>
      <c r="DL1" s="715"/>
      <c r="DM1" s="690" t="s">
        <v>1045</v>
      </c>
      <c r="DN1" s="691"/>
      <c r="DO1" s="713" t="s">
        <v>1051</v>
      </c>
      <c r="DP1" s="713"/>
      <c r="DQ1" s="714" t="s">
        <v>594</v>
      </c>
      <c r="DR1" s="715"/>
      <c r="DS1" s="690" t="s">
        <v>1052</v>
      </c>
      <c r="DT1" s="691"/>
      <c r="DU1" s="713" t="s">
        <v>1053</v>
      </c>
      <c r="DV1" s="713"/>
      <c r="DW1" s="714" t="s">
        <v>594</v>
      </c>
      <c r="DX1" s="715"/>
      <c r="DY1" s="690" t="s">
        <v>1054</v>
      </c>
      <c r="DZ1" s="691"/>
      <c r="EA1" s="712" t="s">
        <v>1055</v>
      </c>
      <c r="EB1" s="712"/>
      <c r="EC1" s="714" t="s">
        <v>594</v>
      </c>
      <c r="ED1" s="715"/>
      <c r="EE1" s="690" t="s">
        <v>1052</v>
      </c>
      <c r="EF1" s="691"/>
      <c r="EG1" s="53"/>
      <c r="EH1" s="712" t="s">
        <v>1056</v>
      </c>
      <c r="EI1" s="712"/>
      <c r="EJ1" s="714" t="s">
        <v>594</v>
      </c>
      <c r="EK1" s="715"/>
      <c r="EL1" s="690" t="s">
        <v>1057</v>
      </c>
      <c r="EM1" s="691"/>
      <c r="EN1" s="712" t="s">
        <v>1058</v>
      </c>
      <c r="EO1" s="712"/>
      <c r="EP1" s="714" t="s">
        <v>594</v>
      </c>
      <c r="EQ1" s="715"/>
      <c r="ER1" s="690" t="s">
        <v>1059</v>
      </c>
      <c r="ES1" s="691"/>
      <c r="ET1" s="712" t="s">
        <v>1060</v>
      </c>
      <c r="EU1" s="712"/>
      <c r="EV1" s="714" t="s">
        <v>594</v>
      </c>
      <c r="EW1" s="715"/>
      <c r="EX1" s="690" t="s">
        <v>1054</v>
      </c>
      <c r="EY1" s="691"/>
      <c r="EZ1" s="712" t="s">
        <v>1061</v>
      </c>
      <c r="FA1" s="712"/>
      <c r="FB1" s="714" t="s">
        <v>594</v>
      </c>
      <c r="FC1" s="715"/>
      <c r="FD1" s="690" t="s">
        <v>1047</v>
      </c>
      <c r="FE1" s="691"/>
      <c r="FF1" s="712" t="s">
        <v>1062</v>
      </c>
      <c r="FG1" s="712"/>
      <c r="FH1" s="714" t="s">
        <v>594</v>
      </c>
      <c r="FI1" s="715"/>
      <c r="FJ1" s="690" t="s">
        <v>1045</v>
      </c>
      <c r="FK1" s="691"/>
      <c r="FL1" s="712" t="s">
        <v>1063</v>
      </c>
      <c r="FM1" s="712"/>
      <c r="FN1" s="714" t="s">
        <v>594</v>
      </c>
      <c r="FO1" s="715"/>
      <c r="FP1" s="690" t="s">
        <v>1064</v>
      </c>
      <c r="FQ1" s="691"/>
      <c r="FR1" s="712" t="s">
        <v>1065</v>
      </c>
      <c r="FS1" s="712"/>
      <c r="FT1" s="714" t="s">
        <v>594</v>
      </c>
      <c r="FU1" s="715"/>
      <c r="FV1" s="690" t="s">
        <v>1064</v>
      </c>
      <c r="FW1" s="691"/>
      <c r="FX1" s="712" t="s">
        <v>1066</v>
      </c>
      <c r="FY1" s="712"/>
      <c r="FZ1" s="714" t="s">
        <v>594</v>
      </c>
      <c r="GA1" s="715"/>
      <c r="GB1" s="690" t="s">
        <v>1054</v>
      </c>
      <c r="GC1" s="691"/>
      <c r="GD1" s="712" t="s">
        <v>1067</v>
      </c>
      <c r="GE1" s="712"/>
      <c r="GF1" s="714" t="s">
        <v>594</v>
      </c>
      <c r="GG1" s="715"/>
      <c r="GH1" s="690" t="s">
        <v>1052</v>
      </c>
      <c r="GI1" s="691"/>
      <c r="GJ1" s="712" t="s">
        <v>1068</v>
      </c>
      <c r="GK1" s="712"/>
      <c r="GL1" s="714" t="s">
        <v>594</v>
      </c>
      <c r="GM1" s="715"/>
      <c r="GN1" s="690" t="s">
        <v>1052</v>
      </c>
      <c r="GO1" s="691"/>
      <c r="GP1" s="712" t="s">
        <v>1069</v>
      </c>
      <c r="GQ1" s="712"/>
      <c r="GR1" s="714" t="s">
        <v>594</v>
      </c>
      <c r="GS1" s="715"/>
      <c r="GT1" s="690" t="s">
        <v>1057</v>
      </c>
      <c r="GU1" s="691"/>
      <c r="GV1" s="712" t="s">
        <v>1070</v>
      </c>
      <c r="GW1" s="712"/>
      <c r="GX1" s="714" t="s">
        <v>594</v>
      </c>
      <c r="GY1" s="715"/>
      <c r="GZ1" s="690" t="s">
        <v>1071</v>
      </c>
      <c r="HA1" s="691"/>
      <c r="HB1" s="712" t="s">
        <v>1072</v>
      </c>
      <c r="HC1" s="712"/>
      <c r="HD1" s="714" t="s">
        <v>594</v>
      </c>
      <c r="HE1" s="715"/>
      <c r="HF1" s="690" t="s">
        <v>1059</v>
      </c>
      <c r="HG1" s="691"/>
      <c r="HH1" s="712" t="s">
        <v>1073</v>
      </c>
      <c r="HI1" s="712"/>
      <c r="HJ1" s="714" t="s">
        <v>594</v>
      </c>
      <c r="HK1" s="715"/>
      <c r="HL1" s="690" t="s">
        <v>1045</v>
      </c>
      <c r="HM1" s="691"/>
      <c r="HN1" s="712" t="s">
        <v>1074</v>
      </c>
      <c r="HO1" s="712"/>
      <c r="HP1" s="714" t="s">
        <v>594</v>
      </c>
      <c r="HQ1" s="715"/>
      <c r="HR1" s="690" t="s">
        <v>1045</v>
      </c>
      <c r="HS1" s="691"/>
      <c r="HT1" s="712" t="s">
        <v>1075</v>
      </c>
      <c r="HU1" s="712"/>
      <c r="HV1" s="714" t="s">
        <v>594</v>
      </c>
      <c r="HW1" s="715"/>
      <c r="HX1" s="690" t="s">
        <v>1054</v>
      </c>
      <c r="HY1" s="691"/>
      <c r="HZ1" s="712" t="s">
        <v>1076</v>
      </c>
      <c r="IA1" s="712"/>
      <c r="IB1" s="714" t="s">
        <v>594</v>
      </c>
      <c r="IC1" s="715"/>
      <c r="ID1" s="690" t="s">
        <v>1059</v>
      </c>
      <c r="IE1" s="691"/>
      <c r="IF1" s="712" t="s">
        <v>1077</v>
      </c>
      <c r="IG1" s="712"/>
      <c r="IH1" s="714" t="s">
        <v>594</v>
      </c>
      <c r="II1" s="715"/>
      <c r="IJ1" s="690" t="s">
        <v>1052</v>
      </c>
      <c r="IK1" s="691"/>
      <c r="IL1" s="712" t="s">
        <v>1078</v>
      </c>
      <c r="IM1" s="712"/>
      <c r="IN1" s="714" t="s">
        <v>594</v>
      </c>
      <c r="IO1" s="715"/>
      <c r="IP1" s="690" t="s">
        <v>1054</v>
      </c>
      <c r="IQ1" s="691"/>
      <c r="IR1" s="712" t="s">
        <v>1079</v>
      </c>
      <c r="IS1" s="712"/>
      <c r="IT1" s="714" t="s">
        <v>594</v>
      </c>
      <c r="IU1" s="715"/>
      <c r="IV1" s="690" t="s">
        <v>1080</v>
      </c>
      <c r="IW1" s="691"/>
      <c r="IX1" s="712" t="s">
        <v>1081</v>
      </c>
      <c r="IY1" s="712"/>
      <c r="IZ1" s="714" t="s">
        <v>594</v>
      </c>
      <c r="JA1" s="715"/>
      <c r="JB1" s="690" t="s">
        <v>1064</v>
      </c>
      <c r="JC1" s="691"/>
      <c r="JD1" s="712" t="s">
        <v>1082</v>
      </c>
      <c r="JE1" s="712"/>
      <c r="JF1" s="714" t="s">
        <v>594</v>
      </c>
      <c r="JG1" s="715"/>
      <c r="JH1" s="690" t="s">
        <v>1080</v>
      </c>
      <c r="JI1" s="691"/>
      <c r="JJ1" s="712" t="s">
        <v>1083</v>
      </c>
      <c r="JK1" s="712"/>
      <c r="JL1" s="578" t="s">
        <v>594</v>
      </c>
      <c r="JM1" s="110"/>
      <c r="JN1" s="544" t="s">
        <v>1080</v>
      </c>
      <c r="JO1" s="53"/>
      <c r="JP1" s="712" t="s">
        <v>1084</v>
      </c>
      <c r="JQ1" s="712"/>
      <c r="JR1" s="578" t="s">
        <v>594</v>
      </c>
      <c r="JS1" s="110"/>
      <c r="JT1" s="544" t="s">
        <v>1057</v>
      </c>
      <c r="JU1" s="53"/>
      <c r="JV1" s="712" t="s">
        <v>1085</v>
      </c>
      <c r="JW1" s="712"/>
      <c r="JX1" s="578" t="s">
        <v>594</v>
      </c>
      <c r="JY1" s="110"/>
      <c r="JZ1" s="544" t="s">
        <v>1086</v>
      </c>
      <c r="KA1" s="53"/>
      <c r="KB1" s="712" t="s">
        <v>1087</v>
      </c>
      <c r="KC1" s="712"/>
      <c r="KD1" s="578" t="s">
        <v>594</v>
      </c>
      <c r="KE1" s="110"/>
      <c r="KF1" s="544" t="s">
        <v>1045</v>
      </c>
      <c r="KG1" s="53"/>
      <c r="KH1" s="712" t="s">
        <v>1088</v>
      </c>
      <c r="KI1" s="712"/>
      <c r="KJ1" s="578" t="s">
        <v>594</v>
      </c>
      <c r="KK1" s="110"/>
      <c r="KL1" s="544" t="s">
        <v>1052</v>
      </c>
      <c r="KM1" s="53"/>
      <c r="KN1" s="712" t="s">
        <v>1089</v>
      </c>
      <c r="KO1" s="712"/>
      <c r="KP1" s="578" t="s">
        <v>594</v>
      </c>
      <c r="KQ1" s="110"/>
      <c r="KR1" s="544" t="s">
        <v>1052</v>
      </c>
      <c r="KS1" s="53"/>
      <c r="KT1" s="712" t="s">
        <v>1090</v>
      </c>
      <c r="KU1" s="712"/>
      <c r="KV1" s="578" t="s">
        <v>594</v>
      </c>
      <c r="KW1" s="110"/>
      <c r="KX1" s="544" t="s">
        <v>1052</v>
      </c>
      <c r="KY1" s="53"/>
      <c r="KZ1" s="712" t="s">
        <v>1091</v>
      </c>
      <c r="LA1" s="712"/>
      <c r="LB1" s="578" t="s">
        <v>594</v>
      </c>
      <c r="LC1" s="110"/>
      <c r="LD1" s="544" t="s">
        <v>1080</v>
      </c>
      <c r="LE1" s="53"/>
      <c r="LF1" s="712" t="s">
        <v>1092</v>
      </c>
      <c r="LG1" s="712"/>
      <c r="LH1" s="578" t="s">
        <v>594</v>
      </c>
      <c r="LI1" s="110"/>
      <c r="LJ1" s="544" t="s">
        <v>1080</v>
      </c>
      <c r="LK1" s="53"/>
      <c r="LL1" s="712" t="s">
        <v>1093</v>
      </c>
      <c r="LM1" s="712"/>
      <c r="LN1" s="578" t="s">
        <v>594</v>
      </c>
      <c r="LO1" s="308"/>
      <c r="LP1" s="544" t="s">
        <v>1080</v>
      </c>
      <c r="LQ1" s="53"/>
      <c r="LR1" s="712" t="s">
        <v>1094</v>
      </c>
      <c r="LS1" s="712"/>
      <c r="LT1" s="578" t="s">
        <v>594</v>
      </c>
      <c r="LU1" s="308"/>
      <c r="LV1" s="544" t="s">
        <v>1064</v>
      </c>
      <c r="LW1" s="53"/>
      <c r="LX1" s="712" t="s">
        <v>1095</v>
      </c>
      <c r="LY1" s="712"/>
      <c r="LZ1" s="578" t="s">
        <v>594</v>
      </c>
      <c r="MA1" s="308"/>
      <c r="MB1" s="544" t="s">
        <v>1080</v>
      </c>
      <c r="MC1" s="53"/>
      <c r="MD1" s="716" t="s">
        <v>1096</v>
      </c>
      <c r="ME1" s="712"/>
      <c r="MF1" s="578" t="s">
        <v>594</v>
      </c>
      <c r="MG1" s="308"/>
      <c r="MH1" s="544" t="s">
        <v>1080</v>
      </c>
      <c r="MI1" s="53"/>
      <c r="MJ1" s="716" t="s">
        <v>1097</v>
      </c>
      <c r="MK1" s="712"/>
      <c r="ML1" s="578" t="s">
        <v>594</v>
      </c>
      <c r="MM1" s="308"/>
      <c r="MN1" s="544" t="s">
        <v>1080</v>
      </c>
      <c r="MO1" s="53"/>
      <c r="MP1" s="712" t="s">
        <v>3426</v>
      </c>
      <c r="MQ1" s="712"/>
      <c r="MR1" s="595" t="s">
        <v>594</v>
      </c>
      <c r="MS1" s="308"/>
      <c r="MT1" s="592" t="s">
        <v>1080</v>
      </c>
      <c r="MU1" s="593"/>
      <c r="MV1" s="712" t="s">
        <v>3473</v>
      </c>
      <c r="MW1" s="712"/>
      <c r="MX1" s="641" t="s">
        <v>594</v>
      </c>
      <c r="MY1" s="308"/>
      <c r="MZ1" s="638" t="s">
        <v>1080</v>
      </c>
      <c r="NA1" s="639"/>
      <c r="NB1" s="712" t="s">
        <v>3538</v>
      </c>
      <c r="NC1" s="712"/>
      <c r="ND1" s="670" t="s">
        <v>594</v>
      </c>
      <c r="NE1" s="308"/>
      <c r="NF1" s="660" t="s">
        <v>1080</v>
      </c>
      <c r="NG1" s="661"/>
      <c r="NH1" s="712" t="s">
        <v>3479</v>
      </c>
      <c r="NI1" s="712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11198.101000000024</v>
      </c>
      <c r="MP2" s="14" t="s">
        <v>1108</v>
      </c>
      <c r="MQ2" s="50">
        <f>SUM(MQ7:MQ38)</f>
        <v>318462</v>
      </c>
      <c r="MR2" s="597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7" t="s">
        <v>1108</v>
      </c>
      <c r="MW2" s="50">
        <f>SUM(MW6:MW36)</f>
        <v>326922.00099999999</v>
      </c>
      <c r="MX2" s="643" t="s">
        <v>1104</v>
      </c>
      <c r="MY2" s="254">
        <f>SUM(MY4:MY27)</f>
        <v>20893.790999999997</v>
      </c>
      <c r="MZ2" s="75" t="s">
        <v>116</v>
      </c>
      <c r="NA2" s="318">
        <f>MY2+MW2-NC2</f>
        <v>5332.9920000000275</v>
      </c>
      <c r="NB2" s="643" t="s">
        <v>1108</v>
      </c>
      <c r="NC2" s="50">
        <f>SUM(NC8:NC33)</f>
        <v>342482.8</v>
      </c>
      <c r="ND2" s="667" t="s">
        <v>1104</v>
      </c>
      <c r="NE2" s="254">
        <f>SUM(NE4:NE29)</f>
        <v>3994.36</v>
      </c>
      <c r="NF2" s="75" t="s">
        <v>116</v>
      </c>
      <c r="NG2" s="318">
        <f>NE2+NC2-NI2</f>
        <v>215.29999999993015</v>
      </c>
      <c r="NH2" s="667" t="s">
        <v>1108</v>
      </c>
      <c r="NI2" s="50">
        <f>SUM(NI9:NI37)</f>
        <v>346261.86000000004</v>
      </c>
    </row>
    <row r="3" spans="1:375">
      <c r="A3" s="734" t="s">
        <v>1109</v>
      </c>
      <c r="B3" s="734"/>
      <c r="E3" s="58" t="s">
        <v>123</v>
      </c>
      <c r="F3" s="57">
        <f>F2-F4</f>
        <v>17</v>
      </c>
      <c r="G3" s="734" t="s">
        <v>1109</v>
      </c>
      <c r="H3" s="734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7737.9710000000241</v>
      </c>
      <c r="MP3" s="14" t="s">
        <v>1134</v>
      </c>
      <c r="MQ3" s="50">
        <f>SUM(MQ12:MQ13)</f>
        <v>-181579</v>
      </c>
      <c r="MS3" s="254"/>
      <c r="MT3" s="597" t="s">
        <v>3484</v>
      </c>
      <c r="MU3" s="96">
        <f>MU2-MS34-MS33</f>
        <v>4710.650000000036</v>
      </c>
      <c r="MV3" s="597" t="s">
        <v>1134</v>
      </c>
      <c r="MW3" s="50">
        <f>SUM(MW12:MW13)</f>
        <v>-176810</v>
      </c>
      <c r="MY3" s="254"/>
      <c r="MZ3" s="650" t="s">
        <v>3484</v>
      </c>
      <c r="NA3" s="96">
        <f>NA2-MY30-MY29</f>
        <v>3432.9020000000273</v>
      </c>
      <c r="NB3" s="643" t="s">
        <v>3510</v>
      </c>
      <c r="NC3" s="643" t="s">
        <v>3511</v>
      </c>
      <c r="NE3" s="254"/>
      <c r="NF3" s="667" t="s">
        <v>3484</v>
      </c>
      <c r="NG3" s="96">
        <f>NG2-NE31-NE30</f>
        <v>215.29999999993015</v>
      </c>
      <c r="NH3" s="667" t="s">
        <v>3510</v>
      </c>
      <c r="NI3" s="667" t="s">
        <v>3511</v>
      </c>
    </row>
    <row r="4" spans="1:375" ht="12.75" customHeight="1" thickBot="1">
      <c r="A4" s="734"/>
      <c r="B4" s="734"/>
      <c r="E4" s="58" t="s">
        <v>134</v>
      </c>
      <c r="F4" s="57">
        <f>SUM(F14:F57)</f>
        <v>12750</v>
      </c>
      <c r="G4" s="734"/>
      <c r="H4" s="734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20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21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-0.11899999997694977</v>
      </c>
      <c r="MP4" s="297"/>
      <c r="MQ4" s="298"/>
      <c r="MR4" s="597" t="s">
        <v>1131</v>
      </c>
      <c r="MS4" s="124">
        <v>18611.73</v>
      </c>
      <c r="MT4" s="597" t="s">
        <v>3483</v>
      </c>
      <c r="MU4" s="334">
        <f>MU2-MU5</f>
        <v>0.45000000003710738</v>
      </c>
      <c r="MV4" s="39">
        <v>5000</v>
      </c>
      <c r="MW4" s="40">
        <v>45524</v>
      </c>
      <c r="MX4" s="643" t="s">
        <v>1131</v>
      </c>
      <c r="MY4" s="124">
        <v>18611.73</v>
      </c>
      <c r="MZ4" s="650" t="s">
        <v>3483</v>
      </c>
      <c r="NA4" s="334">
        <f>NA2-NA5</f>
        <v>9.1000000026724592E-2</v>
      </c>
      <c r="NB4" s="297">
        <v>5000</v>
      </c>
      <c r="NC4" s="298">
        <v>45538</v>
      </c>
      <c r="ND4" s="667" t="s">
        <v>1131</v>
      </c>
      <c r="NE4" s="124"/>
      <c r="NF4" s="667" t="s">
        <v>3483</v>
      </c>
      <c r="NG4" s="334">
        <f>NG2-NG5</f>
        <v>-0.65000000006983782</v>
      </c>
      <c r="NH4" s="297">
        <v>5000</v>
      </c>
      <c r="NI4" s="298">
        <v>45538</v>
      </c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20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9" t="s">
        <v>1148</v>
      </c>
      <c r="MM5" s="124">
        <v>-200</v>
      </c>
      <c r="MN5" s="14" t="s">
        <v>134</v>
      </c>
      <c r="MO5" s="96">
        <f>SUM(MO6:MO50)</f>
        <v>11198.220000000001</v>
      </c>
      <c r="MP5" s="39">
        <v>5000</v>
      </c>
      <c r="MQ5" s="40">
        <v>45482</v>
      </c>
      <c r="MR5" s="589" t="s">
        <v>1148</v>
      </c>
      <c r="MS5" s="124">
        <v>-200</v>
      </c>
      <c r="MT5" s="597" t="s">
        <v>134</v>
      </c>
      <c r="MU5" s="96">
        <f>SUM(MU6:MU47)</f>
        <v>19306.899999999998</v>
      </c>
      <c r="MV5" s="39">
        <v>5000</v>
      </c>
      <c r="MW5" s="40">
        <v>45538</v>
      </c>
      <c r="MX5" s="589" t="s">
        <v>1148</v>
      </c>
      <c r="MY5" s="124">
        <v>-200</v>
      </c>
      <c r="MZ5" s="643" t="s">
        <v>134</v>
      </c>
      <c r="NA5" s="96">
        <f>SUM(NA6:NA42)</f>
        <v>5332.9010000000007</v>
      </c>
      <c r="NB5" s="39">
        <v>12000</v>
      </c>
      <c r="NC5" s="40">
        <v>45552</v>
      </c>
      <c r="ND5" s="589" t="s">
        <v>1148</v>
      </c>
      <c r="NE5" s="124"/>
      <c r="NF5" s="667" t="s">
        <v>134</v>
      </c>
      <c r="NG5" s="96">
        <f>SUM(NG6:NG45)</f>
        <v>215.95</v>
      </c>
      <c r="NH5" s="39">
        <v>12000</v>
      </c>
      <c r="NI5" s="40">
        <v>45552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9" t="s">
        <v>3482</v>
      </c>
      <c r="MS6" s="629"/>
      <c r="MT6" s="119" t="s">
        <v>1281</v>
      </c>
      <c r="MU6" s="48">
        <v>1900.08</v>
      </c>
      <c r="MV6" s="39" t="s">
        <v>1187</v>
      </c>
      <c r="MW6" s="324">
        <v>99000</v>
      </c>
      <c r="MX6" s="589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589"/>
      <c r="NE6" s="124"/>
      <c r="NF6" s="119" t="s">
        <v>1281</v>
      </c>
      <c r="NG6" s="48"/>
      <c r="NH6" s="39">
        <v>14000</v>
      </c>
      <c r="NI6" s="40">
        <v>45566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2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9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9" t="s">
        <v>3457</v>
      </c>
      <c r="MS7" s="629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9" t="s">
        <v>3532</v>
      </c>
      <c r="MY7" s="124">
        <v>42.6</v>
      </c>
      <c r="MZ7" s="123" t="s">
        <v>3545</v>
      </c>
      <c r="NA7" s="657">
        <v>46.85</v>
      </c>
      <c r="NB7" s="39">
        <v>8000</v>
      </c>
      <c r="NC7" s="40">
        <v>45580</v>
      </c>
      <c r="ND7" s="667" t="s">
        <v>1268</v>
      </c>
      <c r="NE7" s="254"/>
      <c r="NF7" s="162" t="s">
        <v>1544</v>
      </c>
      <c r="NH7" s="39">
        <v>8000</v>
      </c>
      <c r="NI7" s="40">
        <v>45580</v>
      </c>
      <c r="NK7" s="636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2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7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9" t="s">
        <v>3466</v>
      </c>
      <c r="MS8" s="124">
        <v>5684</v>
      </c>
      <c r="MT8" s="119" t="s">
        <v>3471</v>
      </c>
      <c r="MU8" s="48">
        <v>2000</v>
      </c>
      <c r="MV8" s="601" t="s">
        <v>1278</v>
      </c>
      <c r="MW8" s="238">
        <v>50000</v>
      </c>
      <c r="MX8" s="589"/>
      <c r="MY8" s="124"/>
      <c r="MZ8" s="123" t="s">
        <v>3546</v>
      </c>
      <c r="NA8" s="658">
        <v>30.68</v>
      </c>
      <c r="NB8" s="39" t="s">
        <v>1187</v>
      </c>
      <c r="NC8" s="324">
        <v>94000</v>
      </c>
      <c r="ND8" s="667" t="s">
        <v>3450</v>
      </c>
      <c r="NE8" s="254"/>
      <c r="NF8" s="603" t="s">
        <v>3427</v>
      </c>
      <c r="NH8" s="39">
        <v>5000</v>
      </c>
      <c r="NI8" s="40">
        <v>45594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7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7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9"/>
      <c r="MS9" s="124"/>
      <c r="MT9" s="162" t="s">
        <v>1277</v>
      </c>
      <c r="MU9" s="48">
        <f>1000+500</f>
        <v>1500</v>
      </c>
      <c r="MV9" s="601" t="s">
        <v>1326</v>
      </c>
      <c r="MW9" s="238">
        <v>50000</v>
      </c>
      <c r="MX9" s="643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325" t="s">
        <v>1381</v>
      </c>
      <c r="NE9" s="254"/>
      <c r="NF9" s="152" t="s">
        <v>3550</v>
      </c>
      <c r="NG9" s="48"/>
      <c r="NH9" s="41" t="s">
        <v>1187</v>
      </c>
      <c r="NI9" s="299">
        <v>94000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90" t="s">
        <v>646</v>
      </c>
      <c r="MN10" s="591" t="s">
        <v>3425</v>
      </c>
      <c r="MO10" s="609">
        <v>1476</v>
      </c>
      <c r="MP10" s="68" t="s">
        <v>1326</v>
      </c>
      <c r="MQ10" s="238">
        <v>150000</v>
      </c>
      <c r="MR10" s="597" t="s">
        <v>1268</v>
      </c>
      <c r="MS10" s="254"/>
      <c r="MT10" s="162" t="s">
        <v>3522</v>
      </c>
      <c r="MU10" s="62">
        <v>736.62</v>
      </c>
      <c r="MV10" s="625" t="s">
        <v>3446</v>
      </c>
      <c r="MW10" s="50">
        <f>10000+20000</f>
        <v>30000</v>
      </c>
      <c r="MX10" s="643" t="s">
        <v>3450</v>
      </c>
      <c r="MY10" s="254">
        <f>69.7+0.6</f>
        <v>70.3</v>
      </c>
      <c r="MZ10" s="152" t="s">
        <v>3524</v>
      </c>
      <c r="NA10" s="48">
        <v>39.6</v>
      </c>
      <c r="NB10" s="647" t="s">
        <v>1220</v>
      </c>
      <c r="NC10" s="50">
        <v>-4000</v>
      </c>
      <c r="ND10" s="664" t="s">
        <v>1438</v>
      </c>
      <c r="NE10" s="590"/>
      <c r="NF10" s="152" t="s">
        <v>3551</v>
      </c>
      <c r="NG10" s="48" t="s">
        <v>3558</v>
      </c>
      <c r="NH10" s="668" t="s">
        <v>1220</v>
      </c>
      <c r="NI10" s="50">
        <v>-4000</v>
      </c>
      <c r="NJ10" s="336"/>
      <c r="NK10" s="630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7" t="s">
        <v>3450</v>
      </c>
      <c r="MS11" s="254">
        <v>62.000999999999998</v>
      </c>
      <c r="MT11" s="162" t="s">
        <v>3472</v>
      </c>
      <c r="MU11" s="48">
        <v>8000</v>
      </c>
      <c r="MV11" s="601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9" t="s">
        <v>3527</v>
      </c>
      <c r="NC11" s="99">
        <v>-92000</v>
      </c>
      <c r="ND11" s="664"/>
      <c r="NE11" s="254"/>
      <c r="NF11" s="152" t="s">
        <v>2531</v>
      </c>
      <c r="NG11" s="48"/>
      <c r="NH11" s="662" t="s">
        <v>3527</v>
      </c>
      <c r="NI11" s="99">
        <v>-92000</v>
      </c>
      <c r="NJ11" s="24">
        <v>45533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8"/>
      <c r="MS12" s="254"/>
      <c r="MT12" s="123" t="s">
        <v>3469</v>
      </c>
      <c r="MU12" s="61">
        <v>133.52000000000001</v>
      </c>
      <c r="MV12" s="603" t="s">
        <v>3443</v>
      </c>
      <c r="MW12" s="50">
        <v>-63810</v>
      </c>
      <c r="MX12" s="644" t="s">
        <v>1438</v>
      </c>
      <c r="MY12" s="590">
        <v>2.0009999999999999</v>
      </c>
      <c r="MZ12" s="152" t="s">
        <v>1547</v>
      </c>
      <c r="NA12" s="48">
        <f>5</f>
        <v>5</v>
      </c>
      <c r="NB12" s="647" t="s">
        <v>3512</v>
      </c>
      <c r="NC12" s="50">
        <v>30000</v>
      </c>
      <c r="ND12" s="667" t="s">
        <v>1548</v>
      </c>
      <c r="NE12" s="254"/>
      <c r="NF12" s="152" t="s">
        <v>3549</v>
      </c>
      <c r="NG12" s="51">
        <f>91.72</f>
        <v>91.72</v>
      </c>
      <c r="NH12" s="668" t="s">
        <v>3512</v>
      </c>
      <c r="NI12" s="50">
        <v>30000</v>
      </c>
      <c r="NJ12" s="24"/>
      <c r="NK12" s="631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7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7" t="s">
        <v>1548</v>
      </c>
      <c r="MS13" s="254"/>
      <c r="MT13" s="123" t="s">
        <v>3468</v>
      </c>
      <c r="MU13" s="62">
        <v>180.46</v>
      </c>
      <c r="MV13" s="603" t="s">
        <v>3444</v>
      </c>
      <c r="MW13" s="50">
        <v>-113000</v>
      </c>
      <c r="MX13" s="643" t="s">
        <v>1548</v>
      </c>
      <c r="MY13" s="254"/>
      <c r="MZ13" s="152" t="s">
        <v>1612</v>
      </c>
      <c r="NA13" s="48">
        <f>13.57+9+9</f>
        <v>31.57</v>
      </c>
      <c r="NB13" s="603" t="s">
        <v>3443</v>
      </c>
      <c r="NC13" s="586" t="s">
        <v>1952</v>
      </c>
      <c r="ND13" s="662" t="s">
        <v>3539</v>
      </c>
      <c r="NE13" s="254"/>
      <c r="NF13" s="152" t="s">
        <v>1547</v>
      </c>
      <c r="NG13" s="48"/>
      <c r="NH13" s="668" t="s">
        <v>3525</v>
      </c>
      <c r="NI13" s="50">
        <v>208005</v>
      </c>
      <c r="NJ13" s="611">
        <v>45535</v>
      </c>
      <c r="NK13" s="154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17" t="s">
        <v>1631</v>
      </c>
      <c r="DP14" s="718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12" t="s">
        <v>1649</v>
      </c>
      <c r="HK14" s="712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3" t="s">
        <v>3458</v>
      </c>
      <c r="MS14" s="254">
        <v>132.44999999999999</v>
      </c>
      <c r="MT14" s="152" t="s">
        <v>1678</v>
      </c>
      <c r="MU14" s="48">
        <v>73.400000000000006</v>
      </c>
      <c r="MV14" s="601" t="s">
        <v>1220</v>
      </c>
      <c r="MW14" s="50">
        <v>-4000</v>
      </c>
      <c r="MX14" s="645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3" t="s">
        <v>3444</v>
      </c>
      <c r="NC14" s="586" t="s">
        <v>1952</v>
      </c>
      <c r="ND14" s="49" t="s">
        <v>1677</v>
      </c>
      <c r="NE14" s="48">
        <f>32.87+0.59</f>
        <v>33.46</v>
      </c>
      <c r="NF14" s="152" t="s">
        <v>1612</v>
      </c>
      <c r="NG14" s="48"/>
      <c r="NH14" s="668" t="s">
        <v>3565</v>
      </c>
      <c r="NI14" s="50">
        <v>100619</v>
      </c>
      <c r="NJ14" s="611" t="s">
        <v>3562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19" t="s">
        <v>1605</v>
      </c>
      <c r="KE15" s="719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3" t="s">
        <v>3459</v>
      </c>
      <c r="MS15" s="254">
        <v>118.69</v>
      </c>
      <c r="MT15" s="152" t="s">
        <v>1487</v>
      </c>
      <c r="MU15" s="51">
        <f>153.26+10.9</f>
        <v>164.16</v>
      </c>
      <c r="MV15" s="599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4" t="s">
        <v>3518</v>
      </c>
      <c r="NA15" s="48">
        <v>30</v>
      </c>
      <c r="NB15" s="647" t="s">
        <v>3525</v>
      </c>
      <c r="NC15" s="50">
        <v>208005</v>
      </c>
      <c r="ND15" s="49" t="s">
        <v>3548</v>
      </c>
      <c r="NE15" s="254"/>
      <c r="NF15" s="152" t="s">
        <v>1675</v>
      </c>
      <c r="NG15" s="48">
        <f>18.73</f>
        <v>18.73</v>
      </c>
      <c r="NH15" s="665" t="s">
        <v>1670</v>
      </c>
      <c r="NI15" s="249"/>
      <c r="NJ15" s="336"/>
      <c r="NK15" s="50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9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1" t="s">
        <v>1482</v>
      </c>
      <c r="MW16" s="48">
        <v>0</v>
      </c>
      <c r="MX16" s="49" t="s">
        <v>3496</v>
      </c>
      <c r="MY16" s="254">
        <f>746.61+10.67</f>
        <v>757.28</v>
      </c>
      <c r="MZ16" s="604" t="s">
        <v>3481</v>
      </c>
      <c r="NA16" s="48">
        <v>4</v>
      </c>
      <c r="NB16" s="647" t="s">
        <v>1606</v>
      </c>
      <c r="NC16" s="50">
        <v>100686</v>
      </c>
      <c r="ND16" s="603" t="s">
        <v>3506</v>
      </c>
      <c r="NF16" s="604" t="s">
        <v>3540</v>
      </c>
      <c r="NG16" s="48"/>
      <c r="NH16" s="656" t="s">
        <v>3507</v>
      </c>
      <c r="NI16" s="99">
        <v>-1973</v>
      </c>
      <c r="NJ16" s="336"/>
      <c r="NK16" s="99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1" t="s">
        <v>1606</v>
      </c>
      <c r="MW17" s="50">
        <v>101741</v>
      </c>
      <c r="MX17" s="603" t="s">
        <v>3506</v>
      </c>
      <c r="MY17" s="48">
        <v>11.93</v>
      </c>
      <c r="MZ17" s="604" t="s">
        <v>3536</v>
      </c>
      <c r="NA17" s="48">
        <v>16.001000000000001</v>
      </c>
      <c r="NB17" s="646" t="s">
        <v>1670</v>
      </c>
      <c r="NC17" s="249"/>
      <c r="ND17" s="654" t="s">
        <v>3505</v>
      </c>
      <c r="NF17" s="604" t="s">
        <v>3481</v>
      </c>
      <c r="NG17" s="48"/>
      <c r="NH17" s="655">
        <v>34.5</v>
      </c>
      <c r="NI17" s="653" t="s">
        <v>3566</v>
      </c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17" t="s">
        <v>1863</v>
      </c>
      <c r="DJ18" s="718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7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1" t="s">
        <v>1540</v>
      </c>
      <c r="MW18" s="50">
        <v>194001</v>
      </c>
      <c r="MX18" s="642" t="s">
        <v>1605</v>
      </c>
      <c r="MY18" s="642"/>
      <c r="MZ18" s="604" t="s">
        <v>2582</v>
      </c>
      <c r="NA18" s="48">
        <v>80</v>
      </c>
      <c r="NB18" s="656" t="s">
        <v>3507</v>
      </c>
      <c r="NC18" s="99">
        <v>-1807</v>
      </c>
      <c r="ND18" s="669" t="s">
        <v>1605</v>
      </c>
      <c r="NE18" s="669"/>
      <c r="NF18" s="604" t="s">
        <v>1877</v>
      </c>
      <c r="NG18" s="48"/>
      <c r="NH18" s="666" t="s">
        <v>1787</v>
      </c>
      <c r="NI18" s="586">
        <v>-40</v>
      </c>
      <c r="NJ18" s="611">
        <v>45533</v>
      </c>
      <c r="NK18" s="50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3" t="s">
        <v>3489</v>
      </c>
      <c r="MS19" s="48">
        <v>489.97</v>
      </c>
      <c r="MT19" s="152" t="s">
        <v>3495</v>
      </c>
      <c r="MU19" s="48">
        <f>1.3+2.3</f>
        <v>3.5999999999999996</v>
      </c>
      <c r="MV19" s="600" t="s">
        <v>1670</v>
      </c>
      <c r="MW19" s="249"/>
      <c r="MX19" s="587" t="s">
        <v>3509</v>
      </c>
      <c r="MY19" s="328">
        <v>94.9</v>
      </c>
      <c r="MZ19" s="604" t="s">
        <v>3502</v>
      </c>
      <c r="NA19" s="48">
        <v>98.8</v>
      </c>
      <c r="NB19" s="655">
        <v>16</v>
      </c>
      <c r="NC19" s="653" t="s">
        <v>3552</v>
      </c>
      <c r="ND19" s="671" t="s">
        <v>3554</v>
      </c>
      <c r="NE19" s="48">
        <v>3960.9</v>
      </c>
      <c r="NF19" s="604" t="s">
        <v>3555</v>
      </c>
      <c r="NG19" s="48">
        <v>34.5</v>
      </c>
      <c r="NH19" s="664" t="s">
        <v>3497</v>
      </c>
      <c r="NI19" s="50">
        <f>NH20-0.99*195000</f>
        <v>-305</v>
      </c>
      <c r="NJ19" s="611"/>
      <c r="NK19" s="50" t="s">
        <v>3556</v>
      </c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9" t="s">
        <v>1728</v>
      </c>
      <c r="MW20" s="99">
        <v>-1751</v>
      </c>
      <c r="MX20" s="613" t="s">
        <v>3519</v>
      </c>
      <c r="MY20" s="48">
        <v>81.81</v>
      </c>
      <c r="MZ20" s="604" t="s">
        <v>3544</v>
      </c>
      <c r="NA20" s="618">
        <v>29.6</v>
      </c>
      <c r="NB20" s="648" t="s">
        <v>1787</v>
      </c>
      <c r="NC20" s="586">
        <v>-40</v>
      </c>
      <c r="ND20" s="613"/>
      <c r="NF20" s="604" t="s">
        <v>3557</v>
      </c>
      <c r="NG20" s="618"/>
      <c r="NH20" s="288">
        <v>192745</v>
      </c>
      <c r="NI20" s="43" t="s">
        <v>2038</v>
      </c>
      <c r="NJ20" s="336">
        <v>45533</v>
      </c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20" t="s">
        <v>330</v>
      </c>
      <c r="N21" s="720"/>
      <c r="Q21" s="63" t="s">
        <v>355</v>
      </c>
      <c r="S21" s="720" t="s">
        <v>330</v>
      </c>
      <c r="T21" s="720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32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4" t="s">
        <v>3476</v>
      </c>
      <c r="MU21" s="48">
        <v>60</v>
      </c>
      <c r="MV21" s="602" t="s">
        <v>1787</v>
      </c>
      <c r="MW21" s="586">
        <v>10.000999999999999</v>
      </c>
      <c r="MX21" s="587" t="s">
        <v>3508</v>
      </c>
      <c r="MY21" s="328">
        <v>101.1</v>
      </c>
      <c r="MZ21" s="604" t="s">
        <v>3514</v>
      </c>
      <c r="NA21" s="61">
        <v>30.5</v>
      </c>
      <c r="NB21" s="644" t="s">
        <v>3497</v>
      </c>
      <c r="NC21" s="50">
        <f>NB22-0.99*195000</f>
        <v>-305</v>
      </c>
      <c r="ND21" s="587"/>
      <c r="NE21" s="328"/>
      <c r="NF21" s="604" t="s">
        <v>1877</v>
      </c>
      <c r="NG21" s="48"/>
      <c r="NH21" s="664" t="s">
        <v>2087</v>
      </c>
      <c r="NI21" s="50">
        <v>1600</v>
      </c>
      <c r="NJ21" s="336" t="s">
        <v>3562</v>
      </c>
      <c r="NK21" s="50" t="s">
        <v>3563</v>
      </c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2" t="s">
        <v>2091</v>
      </c>
      <c r="N22" s="722"/>
      <c r="Q22" s="63" t="s">
        <v>364</v>
      </c>
      <c r="S22" s="722" t="s">
        <v>2091</v>
      </c>
      <c r="T22" s="722"/>
      <c r="W22" s="71" t="s">
        <v>1736</v>
      </c>
      <c r="X22" s="14">
        <v>0</v>
      </c>
      <c r="Y22" s="720" t="s">
        <v>330</v>
      </c>
      <c r="Z22" s="720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32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13" t="s">
        <v>2117</v>
      </c>
      <c r="IU22" s="713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2238</v>
      </c>
      <c r="MO22" s="610">
        <v>1593.84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4" t="s">
        <v>3494</v>
      </c>
      <c r="MU22" s="48">
        <f>1.5+10</f>
        <v>11.5</v>
      </c>
      <c r="MV22" s="598" t="s">
        <v>1845</v>
      </c>
      <c r="MW22" s="50">
        <f>MV23-0.99*195000</f>
        <v>1</v>
      </c>
      <c r="MX22" s="587" t="s">
        <v>3521</v>
      </c>
      <c r="MY22" s="328">
        <v>87.97</v>
      </c>
      <c r="MZ22" s="604" t="s">
        <v>3526</v>
      </c>
      <c r="NA22" s="48">
        <f>30.5*2</f>
        <v>61</v>
      </c>
      <c r="NB22" s="288">
        <v>192745</v>
      </c>
      <c r="NC22" s="43" t="s">
        <v>2038</v>
      </c>
      <c r="ND22" s="587"/>
      <c r="NE22" s="328"/>
      <c r="NF22" s="604" t="s">
        <v>1877</v>
      </c>
      <c r="NG22" s="61"/>
      <c r="NH22" s="668" t="s">
        <v>3564</v>
      </c>
      <c r="NI22" s="50">
        <v>848</v>
      </c>
      <c r="NJ22" s="336" t="s">
        <v>3562</v>
      </c>
      <c r="NK22" s="50"/>
    </row>
    <row r="23" spans="1:375">
      <c r="A23" s="720" t="s">
        <v>330</v>
      </c>
      <c r="B23" s="720"/>
      <c r="E23" s="565" t="s">
        <v>402</v>
      </c>
      <c r="F23" s="63"/>
      <c r="G23" s="720" t="s">
        <v>330</v>
      </c>
      <c r="H23" s="720"/>
      <c r="K23" s="71" t="s">
        <v>1736</v>
      </c>
      <c r="L23" s="14">
        <v>0</v>
      </c>
      <c r="M23" s="721"/>
      <c r="N23" s="721"/>
      <c r="Q23" s="63" t="s">
        <v>1916</v>
      </c>
      <c r="S23" s="721"/>
      <c r="T23" s="721"/>
      <c r="W23" s="71" t="s">
        <v>1518</v>
      </c>
      <c r="X23" s="66">
        <v>0</v>
      </c>
      <c r="Y23" s="722" t="s">
        <v>2091</v>
      </c>
      <c r="Z23" s="722"/>
      <c r="AE23" s="720" t="s">
        <v>330</v>
      </c>
      <c r="AF23" s="720"/>
      <c r="AK23" s="720" t="s">
        <v>330</v>
      </c>
      <c r="AL23" s="720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23" t="s">
        <v>2149</v>
      </c>
      <c r="EF23" s="723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32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32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13" t="s">
        <v>2117</v>
      </c>
      <c r="HK23" s="713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13" t="s">
        <v>2117</v>
      </c>
      <c r="HW23" s="713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3408</v>
      </c>
      <c r="MO23" s="48">
        <f>92.34+4</f>
        <v>96.34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4" t="s">
        <v>3430</v>
      </c>
      <c r="MU23" s="618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4" t="s">
        <v>3528</v>
      </c>
      <c r="NA23" s="48">
        <f>5.6+38.97</f>
        <v>44.57</v>
      </c>
      <c r="NB23" s="644" t="s">
        <v>2087</v>
      </c>
      <c r="NC23" s="50">
        <v>2600</v>
      </c>
      <c r="ND23" s="320"/>
      <c r="NE23" s="328"/>
      <c r="NF23" s="604" t="s">
        <v>1877</v>
      </c>
      <c r="NG23" s="48"/>
      <c r="NH23" s="668" t="s">
        <v>3452</v>
      </c>
      <c r="NI23" s="50">
        <v>997</v>
      </c>
      <c r="NJ23" s="611" t="s">
        <v>3562</v>
      </c>
      <c r="NK23" s="50"/>
    </row>
    <row r="24" spans="1:375">
      <c r="A24" s="722" t="s">
        <v>2091</v>
      </c>
      <c r="B24" s="722"/>
      <c r="E24" s="565" t="s">
        <v>271</v>
      </c>
      <c r="F24" s="63"/>
      <c r="G24" s="722" t="s">
        <v>2091</v>
      </c>
      <c r="H24" s="722"/>
      <c r="K24" s="71" t="s">
        <v>1518</v>
      </c>
      <c r="L24" s="66">
        <v>0</v>
      </c>
      <c r="M24" s="721"/>
      <c r="N24" s="721"/>
      <c r="Q24" s="71" t="s">
        <v>1617</v>
      </c>
      <c r="R24" s="14">
        <v>0</v>
      </c>
      <c r="S24" s="721"/>
      <c r="T24" s="721"/>
      <c r="W24" s="71" t="s">
        <v>2183</v>
      </c>
      <c r="X24" s="14">
        <v>910.17</v>
      </c>
      <c r="Y24" s="721"/>
      <c r="Z24" s="721"/>
      <c r="AC24" s="78" t="s">
        <v>2184</v>
      </c>
      <c r="AD24" s="14">
        <v>90</v>
      </c>
      <c r="AE24" s="722" t="s">
        <v>2091</v>
      </c>
      <c r="AF24" s="722"/>
      <c r="AI24" s="77" t="s">
        <v>2185</v>
      </c>
      <c r="AJ24" s="14">
        <v>30</v>
      </c>
      <c r="AK24" s="722" t="s">
        <v>2091</v>
      </c>
      <c r="AL24" s="722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2"/>
      <c r="BH24" s="722"/>
      <c r="BK24" s="94" t="s">
        <v>2187</v>
      </c>
      <c r="BL24" s="66">
        <v>48.54</v>
      </c>
      <c r="BM24" s="722"/>
      <c r="BN24" s="722"/>
      <c r="BQ24" s="94" t="s">
        <v>1918</v>
      </c>
      <c r="BR24" s="66">
        <v>50.15</v>
      </c>
      <c r="BS24" s="722" t="s">
        <v>2188</v>
      </c>
      <c r="BT24" s="722"/>
      <c r="BW24" s="94" t="s">
        <v>1918</v>
      </c>
      <c r="BX24" s="66">
        <v>48.54</v>
      </c>
      <c r="BY24" s="722"/>
      <c r="BZ24" s="722"/>
      <c r="CC24" s="94" t="s">
        <v>1918</v>
      </c>
      <c r="CD24" s="66">
        <v>142.91</v>
      </c>
      <c r="CE24" s="722"/>
      <c r="CF24" s="722"/>
      <c r="CI24" s="94" t="s">
        <v>2189</v>
      </c>
      <c r="CJ24" s="66">
        <v>35.049999999999997</v>
      </c>
      <c r="CK24" s="721"/>
      <c r="CL24" s="721"/>
      <c r="CO24" s="94" t="s">
        <v>1866</v>
      </c>
      <c r="CP24" s="66">
        <v>153.41</v>
      </c>
      <c r="CQ24" s="721" t="s">
        <v>2190</v>
      </c>
      <c r="CR24" s="721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32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2582</v>
      </c>
      <c r="MO24" s="48">
        <v>80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4" t="s">
        <v>3449</v>
      </c>
      <c r="MU24" s="48">
        <v>17.100000000000001</v>
      </c>
      <c r="MV24" s="598" t="s">
        <v>2087</v>
      </c>
      <c r="MW24" s="50">
        <v>2600</v>
      </c>
      <c r="MX24" s="320" t="s">
        <v>3523</v>
      </c>
      <c r="MY24" s="328">
        <v>731.39</v>
      </c>
      <c r="MZ24" s="604" t="s">
        <v>3529</v>
      </c>
      <c r="NA24" s="48">
        <v>8.4</v>
      </c>
      <c r="NB24" s="647" t="s">
        <v>3464</v>
      </c>
      <c r="NC24" s="50">
        <v>966</v>
      </c>
      <c r="ND24" s="320"/>
      <c r="NE24" s="328"/>
      <c r="NF24" s="604" t="s">
        <v>1877</v>
      </c>
      <c r="NG24" s="48"/>
      <c r="NH24" s="668" t="s">
        <v>3421</v>
      </c>
      <c r="NI24" s="50">
        <v>10</v>
      </c>
      <c r="NJ24" s="336">
        <v>45535</v>
      </c>
      <c r="NK24" s="50"/>
    </row>
    <row r="25" spans="1:375">
      <c r="A25" s="721"/>
      <c r="B25" s="721"/>
      <c r="E25" s="564" t="s">
        <v>386</v>
      </c>
      <c r="F25" s="58"/>
      <c r="G25" s="721"/>
      <c r="H25" s="721"/>
      <c r="K25" s="71" t="s">
        <v>2239</v>
      </c>
      <c r="L25" s="14">
        <f>910+40</f>
        <v>950</v>
      </c>
      <c r="M25" s="721"/>
      <c r="N25" s="721"/>
      <c r="Q25" s="71" t="s">
        <v>1680</v>
      </c>
      <c r="R25" s="14">
        <v>0</v>
      </c>
      <c r="S25" s="721"/>
      <c r="T25" s="721"/>
      <c r="W25" s="72" t="s">
        <v>2240</v>
      </c>
      <c r="X25" s="14">
        <v>110.58</v>
      </c>
      <c r="Y25" s="721"/>
      <c r="Z25" s="721"/>
      <c r="AE25" s="721"/>
      <c r="AF25" s="721"/>
      <c r="AK25" s="721"/>
      <c r="AL25" s="721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21"/>
      <c r="AX25" s="721"/>
      <c r="AY25" s="72"/>
      <c r="AZ25" s="66"/>
      <c r="BA25" s="721"/>
      <c r="BB25" s="721"/>
      <c r="BE25" s="72" t="s">
        <v>1547</v>
      </c>
      <c r="BF25" s="66">
        <f>6.5*2</f>
        <v>13</v>
      </c>
      <c r="BG25" s="721"/>
      <c r="BH25" s="721"/>
      <c r="BK25" s="94" t="s">
        <v>1547</v>
      </c>
      <c r="BL25" s="66">
        <f>6.5*2</f>
        <v>13</v>
      </c>
      <c r="BM25" s="721"/>
      <c r="BN25" s="721"/>
      <c r="BQ25" s="94" t="s">
        <v>1547</v>
      </c>
      <c r="BR25" s="66">
        <v>13</v>
      </c>
      <c r="BS25" s="721"/>
      <c r="BT25" s="721"/>
      <c r="BW25" s="94" t="s">
        <v>1547</v>
      </c>
      <c r="BX25" s="66">
        <v>13</v>
      </c>
      <c r="BY25" s="721"/>
      <c r="BZ25" s="721"/>
      <c r="CC25" s="94" t="s">
        <v>1547</v>
      </c>
      <c r="CD25" s="66">
        <v>13</v>
      </c>
      <c r="CE25" s="721"/>
      <c r="CF25" s="721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24" t="s">
        <v>2149</v>
      </c>
      <c r="DZ25" s="725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23" t="s">
        <v>2149</v>
      </c>
      <c r="ES25" s="723"/>
      <c r="ET25" s="54" t="s">
        <v>1810</v>
      </c>
      <c r="EU25" s="99">
        <v>20000</v>
      </c>
      <c r="EW25" s="732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13" t="s">
        <v>2117</v>
      </c>
      <c r="IC25" s="713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2283</v>
      </c>
      <c r="MO25" s="48">
        <f>48.32+7.79</f>
        <v>56.11</v>
      </c>
      <c r="MP25" s="68" t="s">
        <v>1528</v>
      </c>
      <c r="MQ25" s="50">
        <v>652</v>
      </c>
      <c r="MT25" s="604" t="s">
        <v>2783</v>
      </c>
      <c r="MU25" s="48">
        <f>38.4+22.6+34+24.9</f>
        <v>119.9</v>
      </c>
      <c r="MV25" s="601" t="s">
        <v>3464</v>
      </c>
      <c r="MW25" s="50">
        <v>615</v>
      </c>
      <c r="MX25" s="320" t="s">
        <v>3547</v>
      </c>
      <c r="MY25" s="328">
        <v>25</v>
      </c>
      <c r="MZ25" s="652" t="s">
        <v>3445</v>
      </c>
      <c r="NA25" s="48">
        <f>749.38+250.7</f>
        <v>1000.0799999999999</v>
      </c>
      <c r="NB25" s="647" t="s">
        <v>3452</v>
      </c>
      <c r="NC25" s="50">
        <v>1082</v>
      </c>
      <c r="ND25" s="320"/>
      <c r="NE25" s="328"/>
      <c r="NF25" s="604" t="s">
        <v>1877</v>
      </c>
      <c r="NG25" s="48"/>
      <c r="NH25" s="662" t="s">
        <v>2176</v>
      </c>
      <c r="NI25" s="50">
        <v>140</v>
      </c>
      <c r="NJ25" s="336">
        <v>45535</v>
      </c>
      <c r="NK25" s="50"/>
    </row>
    <row r="26" spans="1:375">
      <c r="A26" s="721"/>
      <c r="B26" s="721"/>
      <c r="F26" s="67"/>
      <c r="G26" s="721"/>
      <c r="H26" s="721"/>
      <c r="M26" s="726" t="s">
        <v>372</v>
      </c>
      <c r="N26" s="721"/>
      <c r="Q26" s="71" t="s">
        <v>1736</v>
      </c>
      <c r="R26" s="14">
        <v>0</v>
      </c>
      <c r="S26" s="726" t="s">
        <v>372</v>
      </c>
      <c r="T26" s="721"/>
      <c r="W26" s="72" t="s">
        <v>1918</v>
      </c>
      <c r="X26" s="14">
        <v>60.75</v>
      </c>
      <c r="Y26" s="721"/>
      <c r="Z26" s="721"/>
      <c r="AC26" s="21" t="s">
        <v>2284</v>
      </c>
      <c r="AD26" s="21"/>
      <c r="AE26" s="726" t="s">
        <v>372</v>
      </c>
      <c r="AF26" s="721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23" t="s">
        <v>2149</v>
      </c>
      <c r="EY26" s="723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13" t="s">
        <v>2117</v>
      </c>
      <c r="HQ26" s="713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2331</v>
      </c>
      <c r="MO26" s="48">
        <v>60.79</v>
      </c>
      <c r="MP26" s="68" t="s">
        <v>1597</v>
      </c>
      <c r="MQ26" s="50">
        <v>1107</v>
      </c>
      <c r="MR26" s="667"/>
      <c r="MT26" s="604" t="s">
        <v>3456</v>
      </c>
      <c r="MU26" s="48">
        <v>73.86</v>
      </c>
      <c r="MV26" s="601" t="s">
        <v>3452</v>
      </c>
      <c r="MW26" s="50">
        <v>1100</v>
      </c>
      <c r="MX26" s="644"/>
      <c r="MY26" s="254"/>
      <c r="MZ26" s="652" t="s">
        <v>1518</v>
      </c>
      <c r="NA26" s="48">
        <v>588.6</v>
      </c>
      <c r="NB26" s="647" t="s">
        <v>3421</v>
      </c>
      <c r="NC26" s="50">
        <v>10</v>
      </c>
      <c r="ND26" s="320"/>
      <c r="NE26" s="328"/>
      <c r="NF26" s="652" t="s">
        <v>3541</v>
      </c>
      <c r="NG26" s="48"/>
      <c r="NH26" s="662" t="s">
        <v>3499</v>
      </c>
      <c r="NI26" s="50">
        <v>1000</v>
      </c>
      <c r="NJ26" s="336"/>
      <c r="NK26" s="50"/>
    </row>
    <row r="27" spans="1:375" ht="12.75" customHeight="1">
      <c r="A27" s="721"/>
      <c r="B27" s="721"/>
      <c r="E27" s="567" t="s">
        <v>418</v>
      </c>
      <c r="F27" s="67"/>
      <c r="G27" s="721"/>
      <c r="H27" s="721"/>
      <c r="K27" s="72" t="s">
        <v>2332</v>
      </c>
      <c r="L27" s="14">
        <f>60</f>
        <v>60</v>
      </c>
      <c r="M27" s="726" t="s">
        <v>2333</v>
      </c>
      <c r="N27" s="721"/>
      <c r="Q27" s="71" t="s">
        <v>2334</v>
      </c>
      <c r="R27" s="66">
        <v>200</v>
      </c>
      <c r="S27" s="726" t="s">
        <v>2333</v>
      </c>
      <c r="T27" s="721"/>
      <c r="W27" s="72" t="s">
        <v>1986</v>
      </c>
      <c r="X27" s="14">
        <v>61.35</v>
      </c>
      <c r="Y27" s="726" t="s">
        <v>372</v>
      </c>
      <c r="Z27" s="721"/>
      <c r="AC27" s="21" t="s">
        <v>2335</v>
      </c>
      <c r="AD27" s="21">
        <f>53+207+63</f>
        <v>323</v>
      </c>
      <c r="AE27" s="726" t="s">
        <v>2333</v>
      </c>
      <c r="AF27" s="721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23" t="s">
        <v>2355</v>
      </c>
      <c r="FE27" s="723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2392</v>
      </c>
      <c r="MO27" s="48">
        <v>48.8</v>
      </c>
      <c r="MP27" s="68" t="s">
        <v>3421</v>
      </c>
      <c r="MQ27" s="50">
        <v>10</v>
      </c>
      <c r="MR27" s="49"/>
      <c r="MT27" s="604" t="s">
        <v>3487</v>
      </c>
      <c r="MU27" s="48">
        <v>29.6</v>
      </c>
      <c r="MV27" s="601" t="s">
        <v>3421</v>
      </c>
      <c r="MW27" s="50">
        <v>10</v>
      </c>
      <c r="MX27" s="320"/>
      <c r="MY27" s="320"/>
      <c r="MZ27" s="652" t="s">
        <v>3501</v>
      </c>
      <c r="NA27" s="48">
        <v>56.5</v>
      </c>
      <c r="NB27" s="645" t="s">
        <v>2176</v>
      </c>
      <c r="NC27" s="50">
        <v>70</v>
      </c>
      <c r="ND27" s="329"/>
      <c r="NE27" s="328"/>
      <c r="NF27" s="652" t="s">
        <v>3541</v>
      </c>
      <c r="NG27" s="48"/>
      <c r="NH27" s="666" t="s">
        <v>2070</v>
      </c>
      <c r="NI27" s="50">
        <v>2000</v>
      </c>
      <c r="NJ27" s="336">
        <v>45533</v>
      </c>
      <c r="NK27" s="50"/>
    </row>
    <row r="28" spans="1:375">
      <c r="A28" s="726" t="s">
        <v>372</v>
      </c>
      <c r="B28" s="721"/>
      <c r="E28" s="567" t="s">
        <v>427</v>
      </c>
      <c r="F28" s="67"/>
      <c r="G28" s="726" t="s">
        <v>372</v>
      </c>
      <c r="H28" s="721"/>
      <c r="K28" s="72" t="s">
        <v>1986</v>
      </c>
      <c r="L28" s="14">
        <v>0</v>
      </c>
      <c r="M28" s="727" t="s">
        <v>197</v>
      </c>
      <c r="N28" s="727"/>
      <c r="Q28" s="71" t="s">
        <v>2183</v>
      </c>
      <c r="R28" s="14">
        <v>0</v>
      </c>
      <c r="S28" s="727" t="s">
        <v>197</v>
      </c>
      <c r="T28" s="727"/>
      <c r="W28" s="72" t="s">
        <v>2041</v>
      </c>
      <c r="X28" s="14">
        <v>64</v>
      </c>
      <c r="Y28" s="726" t="s">
        <v>2333</v>
      </c>
      <c r="Z28" s="721"/>
      <c r="AC28" s="21" t="s">
        <v>2393</v>
      </c>
      <c r="AD28" s="21">
        <f>63+46</f>
        <v>109</v>
      </c>
      <c r="AE28" s="727" t="s">
        <v>197</v>
      </c>
      <c r="AF28" s="727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23" t="s">
        <v>2149</v>
      </c>
      <c r="EM28" s="723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13" t="s">
        <v>2117</v>
      </c>
      <c r="JA28" s="713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2444</v>
      </c>
      <c r="MO28" s="337">
        <v>27</v>
      </c>
      <c r="MP28" s="54" t="s">
        <v>2176</v>
      </c>
      <c r="MQ28" s="50">
        <v>150</v>
      </c>
      <c r="MR28" s="596"/>
      <c r="MS28" s="596"/>
      <c r="MT28" s="604" t="s">
        <v>3460</v>
      </c>
      <c r="MU28" s="48">
        <v>27.5</v>
      </c>
      <c r="MV28" s="599" t="s">
        <v>2176</v>
      </c>
      <c r="MW28" s="50">
        <v>140</v>
      </c>
      <c r="MX28" s="640" t="s">
        <v>2221</v>
      </c>
      <c r="MY28" s="312"/>
      <c r="MZ28" s="652" t="s">
        <v>2034</v>
      </c>
      <c r="NA28" s="62">
        <f>78.3+25.4</f>
        <v>103.69999999999999</v>
      </c>
      <c r="NB28" s="651" t="s">
        <v>3499</v>
      </c>
      <c r="NC28" s="50">
        <v>1000</v>
      </c>
      <c r="ND28" s="320"/>
      <c r="NE28" s="320"/>
      <c r="NF28" s="652" t="s">
        <v>3541</v>
      </c>
      <c r="NG28" s="48"/>
      <c r="NH28" s="338">
        <v>7940</v>
      </c>
      <c r="NI28" s="285" t="s">
        <v>3467</v>
      </c>
      <c r="NJ28" s="336">
        <v>45533</v>
      </c>
    </row>
    <row r="29" spans="1:375">
      <c r="A29" s="726" t="s">
        <v>2333</v>
      </c>
      <c r="B29" s="721"/>
      <c r="E29" s="567" t="s">
        <v>431</v>
      </c>
      <c r="F29" s="67"/>
      <c r="G29" s="726" t="s">
        <v>2333</v>
      </c>
      <c r="H29" s="721"/>
      <c r="K29" s="72" t="s">
        <v>2041</v>
      </c>
      <c r="L29" s="14">
        <v>64</v>
      </c>
      <c r="M29" s="721" t="s">
        <v>300</v>
      </c>
      <c r="N29" s="721"/>
      <c r="S29" s="721" t="s">
        <v>300</v>
      </c>
      <c r="T29" s="721"/>
      <c r="W29" s="72" t="s">
        <v>2092</v>
      </c>
      <c r="X29" s="14">
        <v>100.01</v>
      </c>
      <c r="Y29" s="727" t="s">
        <v>197</v>
      </c>
      <c r="Z29" s="727"/>
      <c r="AC29" s="14" t="s">
        <v>2445</v>
      </c>
      <c r="AD29" s="14">
        <v>65</v>
      </c>
      <c r="AE29" s="721" t="s">
        <v>300</v>
      </c>
      <c r="AF29" s="721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23" t="s">
        <v>2355</v>
      </c>
      <c r="FK29" s="723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3404</v>
      </c>
      <c r="MO29" s="48">
        <f>12.97+9</f>
        <v>21.97</v>
      </c>
      <c r="MP29" s="70" t="s">
        <v>2070</v>
      </c>
      <c r="MQ29" s="50">
        <v>1000</v>
      </c>
      <c r="MR29" s="325"/>
      <c r="MS29" s="254"/>
      <c r="MT29" s="604" t="s">
        <v>2299</v>
      </c>
      <c r="MU29" s="48">
        <v>62.4</v>
      </c>
      <c r="MV29" s="602" t="s">
        <v>2070</v>
      </c>
      <c r="MW29" s="50">
        <v>1265</v>
      </c>
      <c r="MX29" s="330" t="s">
        <v>1200</v>
      </c>
      <c r="MY29" s="62">
        <f>SUM(NA6:NA6)</f>
        <v>1900.09</v>
      </c>
      <c r="MZ29" s="652" t="s">
        <v>3533</v>
      </c>
      <c r="NA29" s="62">
        <v>57.47</v>
      </c>
      <c r="NB29" s="648" t="s">
        <v>2070</v>
      </c>
      <c r="NC29" s="50">
        <v>2000</v>
      </c>
      <c r="ND29" s="663" t="s">
        <v>2221</v>
      </c>
      <c r="NE29" s="312"/>
      <c r="NF29" s="652" t="s">
        <v>3541</v>
      </c>
      <c r="NG29" s="62"/>
      <c r="NH29" s="213"/>
      <c r="NI29" s="50" t="s">
        <v>2442</v>
      </c>
    </row>
    <row r="30" spans="1:375">
      <c r="A30" s="727" t="s">
        <v>197</v>
      </c>
      <c r="B30" s="727"/>
      <c r="E30" s="567" t="s">
        <v>2488</v>
      </c>
      <c r="F30" s="58"/>
      <c r="G30" s="727" t="s">
        <v>197</v>
      </c>
      <c r="H30" s="727"/>
      <c r="K30" s="72" t="s">
        <v>2092</v>
      </c>
      <c r="L30" s="14">
        <v>50.01</v>
      </c>
      <c r="M30" s="728" t="s">
        <v>2489</v>
      </c>
      <c r="N30" s="728"/>
      <c r="Q30" s="72" t="s">
        <v>1854</v>
      </c>
      <c r="R30" s="14">
        <v>26</v>
      </c>
      <c r="S30" s="728" t="s">
        <v>2489</v>
      </c>
      <c r="T30" s="728"/>
      <c r="Y30" s="721" t="s">
        <v>300</v>
      </c>
      <c r="Z30" s="721"/>
      <c r="AC30" s="14" t="s">
        <v>2490</v>
      </c>
      <c r="AD30" s="14">
        <v>10</v>
      </c>
      <c r="AE30" s="728" t="s">
        <v>2489</v>
      </c>
      <c r="AF30" s="728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3403</v>
      </c>
      <c r="MO30" s="48">
        <v>34</v>
      </c>
      <c r="MP30" s="338">
        <v>1453</v>
      </c>
      <c r="MQ30" s="285" t="s">
        <v>1277</v>
      </c>
      <c r="MR30" s="598"/>
      <c r="MS30" s="590"/>
      <c r="MT30" s="604" t="s">
        <v>3485</v>
      </c>
      <c r="MU30" s="48">
        <v>143.4</v>
      </c>
      <c r="MV30" s="338">
        <v>2212</v>
      </c>
      <c r="MW30" s="285" t="s">
        <v>3467</v>
      </c>
      <c r="MX30" s="160" t="s">
        <v>3543</v>
      </c>
      <c r="MY30" s="62">
        <v>0</v>
      </c>
      <c r="MZ30" s="652" t="s">
        <v>3534</v>
      </c>
      <c r="NA30" s="62">
        <v>3</v>
      </c>
      <c r="NB30" s="338">
        <v>7940</v>
      </c>
      <c r="NC30" s="285" t="s">
        <v>3467</v>
      </c>
      <c r="ND30" s="330" t="s">
        <v>1200</v>
      </c>
      <c r="NE30" s="62">
        <f>SUM(NG6:NG6)</f>
        <v>0</v>
      </c>
      <c r="NF30" s="652" t="s">
        <v>3541</v>
      </c>
      <c r="NG30" s="62"/>
      <c r="NH30" s="665" t="s">
        <v>2218</v>
      </c>
      <c r="NI30" s="48"/>
      <c r="NK30" s="50"/>
    </row>
    <row r="31" spans="1:375" ht="12.75" customHeight="1">
      <c r="A31" s="721" t="s">
        <v>300</v>
      </c>
      <c r="B31" s="721"/>
      <c r="E31" s="58"/>
      <c r="F31" s="58"/>
      <c r="G31" s="721" t="s">
        <v>300</v>
      </c>
      <c r="H31" s="721"/>
      <c r="M31" s="722" t="s">
        <v>363</v>
      </c>
      <c r="N31" s="722"/>
      <c r="Q31" s="72" t="s">
        <v>1918</v>
      </c>
      <c r="R31" s="14">
        <v>55</v>
      </c>
      <c r="S31" s="722" t="s">
        <v>363</v>
      </c>
      <c r="T31" s="722"/>
      <c r="W31" s="73" t="s">
        <v>2539</v>
      </c>
      <c r="X31" s="73">
        <v>0</v>
      </c>
      <c r="Y31" s="728" t="s">
        <v>2489</v>
      </c>
      <c r="Z31" s="728"/>
      <c r="AE31" s="722" t="s">
        <v>363</v>
      </c>
      <c r="AF31" s="722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8" t="s">
        <v>2548</v>
      </c>
      <c r="DP31" s="738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3409</v>
      </c>
      <c r="MO31" s="48">
        <v>8.8000000000000007</v>
      </c>
      <c r="MP31" s="213">
        <v>0</v>
      </c>
      <c r="MQ31" s="50" t="s">
        <v>2442</v>
      </c>
      <c r="MR31" s="320"/>
      <c r="MS31" s="320"/>
      <c r="MT31" s="604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2" t="s">
        <v>3542</v>
      </c>
      <c r="NA31" s="62">
        <v>16</v>
      </c>
      <c r="NB31" s="213">
        <v>0</v>
      </c>
      <c r="NC31" s="50" t="s">
        <v>2442</v>
      </c>
      <c r="ND31" s="160" t="s">
        <v>3543</v>
      </c>
      <c r="NE31" s="62">
        <f>SUM(NG7)</f>
        <v>0</v>
      </c>
      <c r="NF31" s="652" t="s">
        <v>3541</v>
      </c>
      <c r="NG31" s="62"/>
      <c r="NH31" s="671" t="s">
        <v>3553</v>
      </c>
      <c r="NI31" s="48">
        <v>3960.9</v>
      </c>
    </row>
    <row r="32" spans="1:375">
      <c r="A32" s="728" t="s">
        <v>2489</v>
      </c>
      <c r="B32" s="728"/>
      <c r="C32" s="69"/>
      <c r="D32" s="69"/>
      <c r="E32" s="69"/>
      <c r="F32" s="69"/>
      <c r="G32" s="728" t="s">
        <v>2489</v>
      </c>
      <c r="H32" s="728"/>
      <c r="K32" s="73" t="s">
        <v>2588</v>
      </c>
      <c r="L32" s="73"/>
      <c r="M32" s="729" t="s">
        <v>2573</v>
      </c>
      <c r="N32" s="729"/>
      <c r="Q32" s="72" t="s">
        <v>1986</v>
      </c>
      <c r="R32" s="14">
        <v>77.239999999999995</v>
      </c>
      <c r="S32" s="729" t="s">
        <v>2573</v>
      </c>
      <c r="T32" s="729"/>
      <c r="Y32" s="722" t="s">
        <v>363</v>
      </c>
      <c r="Z32" s="722"/>
      <c r="AC32" s="574" t="s">
        <v>1395</v>
      </c>
      <c r="AD32" s="14">
        <v>350</v>
      </c>
      <c r="AE32" s="729" t="s">
        <v>2573</v>
      </c>
      <c r="AF32" s="729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0" t="s">
        <v>2477</v>
      </c>
      <c r="DB32" s="731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13" t="s">
        <v>2117</v>
      </c>
      <c r="IO32" s="713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3412</v>
      </c>
      <c r="MO32" s="48">
        <f>19.69+33.2</f>
        <v>52.89</v>
      </c>
      <c r="MP32" s="74"/>
      <c r="MQ32" s="48"/>
      <c r="MR32" s="594" t="s">
        <v>2221</v>
      </c>
      <c r="MS32" s="312"/>
      <c r="MT32" s="604" t="s">
        <v>3486</v>
      </c>
      <c r="MU32" s="48">
        <v>19.899999999999999</v>
      </c>
      <c r="MV32" s="600" t="s">
        <v>2218</v>
      </c>
      <c r="MW32" s="48"/>
      <c r="MX32" s="152" t="s">
        <v>2678</v>
      </c>
      <c r="MY32" s="48">
        <f>SUM(NA10:NA14)</f>
        <v>197.39</v>
      </c>
      <c r="MZ32" s="652" t="s">
        <v>3515</v>
      </c>
      <c r="NA32" s="643">
        <f>21+41.8</f>
        <v>62.8</v>
      </c>
      <c r="NB32" s="646" t="s">
        <v>2218</v>
      </c>
      <c r="NC32" s="48"/>
      <c r="ND32" s="49" t="s">
        <v>2630</v>
      </c>
      <c r="NE32" s="48">
        <f>SUM(NG8:NG8)</f>
        <v>0</v>
      </c>
      <c r="NF32" s="652" t="s">
        <v>3541</v>
      </c>
      <c r="NG32" s="62"/>
      <c r="NH32" s="673" t="s">
        <v>1787</v>
      </c>
      <c r="NI32" s="48">
        <v>39.96</v>
      </c>
    </row>
    <row r="33" spans="1:375">
      <c r="A33" s="722" t="s">
        <v>363</v>
      </c>
      <c r="B33" s="722"/>
      <c r="E33" s="575" t="s">
        <v>455</v>
      </c>
      <c r="F33" s="58"/>
      <c r="G33" s="722" t="s">
        <v>363</v>
      </c>
      <c r="H33" s="722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9" t="s">
        <v>2573</v>
      </c>
      <c r="Z33" s="729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3415</v>
      </c>
      <c r="MO33" s="48">
        <v>8.3000000000000007</v>
      </c>
      <c r="MP33" s="588"/>
      <c r="MQ33" s="50"/>
      <c r="MR33" s="330" t="s">
        <v>1200</v>
      </c>
      <c r="MS33" s="62">
        <f>SUM(MU6:MU8)</f>
        <v>4360.08</v>
      </c>
      <c r="MT33" s="604" t="s">
        <v>3475</v>
      </c>
      <c r="MU33" s="48">
        <v>73.14</v>
      </c>
      <c r="MV33" s="612" t="s">
        <v>3470</v>
      </c>
      <c r="MW33" s="50">
        <v>40000</v>
      </c>
      <c r="MX33" s="652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3" t="s">
        <v>3530</v>
      </c>
      <c r="NC33" s="48">
        <v>215.8</v>
      </c>
      <c r="ND33" s="152" t="s">
        <v>2678</v>
      </c>
      <c r="NE33" s="48">
        <f>SUM(NG9:NG15)</f>
        <v>110.45</v>
      </c>
      <c r="NF33" s="652" t="s">
        <v>3541</v>
      </c>
      <c r="NH33" s="673" t="s">
        <v>3560</v>
      </c>
      <c r="NI33" s="48">
        <f>30+1300</f>
        <v>1330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2627</v>
      </c>
      <c r="MO34" s="48">
        <v>30.5</v>
      </c>
      <c r="MP34" s="583"/>
      <c r="MR34" s="160" t="s">
        <v>3543</v>
      </c>
      <c r="MS34" s="62">
        <f>SUM(MU9:MU11)</f>
        <v>10236.619999999999</v>
      </c>
      <c r="MT34" s="605" t="s">
        <v>3445</v>
      </c>
      <c r="MU34" s="48">
        <f>250.7+749.38</f>
        <v>1000.0799999999999</v>
      </c>
      <c r="MV34" s="597" t="s">
        <v>3478</v>
      </c>
      <c r="MW34" s="597">
        <v>1000</v>
      </c>
      <c r="MX34" s="326" t="s">
        <v>2428</v>
      </c>
      <c r="MY34" s="590">
        <f>SUM(NA15:NA24)</f>
        <v>402.87099999999998</v>
      </c>
      <c r="MZ34" s="654" t="s">
        <v>2382</v>
      </c>
      <c r="NA34" s="51">
        <f>187+150+349</f>
        <v>686</v>
      </c>
      <c r="NB34" s="646" t="s">
        <v>2686</v>
      </c>
      <c r="ND34" s="652" t="s">
        <v>3504</v>
      </c>
      <c r="NE34" s="48">
        <f>SUM(NG26:NG33)</f>
        <v>0</v>
      </c>
      <c r="NF34" s="49" t="s">
        <v>3531</v>
      </c>
      <c r="NG34" s="62"/>
      <c r="NH34" s="673" t="s">
        <v>3561</v>
      </c>
      <c r="NI34" s="48">
        <v>30</v>
      </c>
    </row>
    <row r="35" spans="1:375" ht="14.25" customHeight="1">
      <c r="A35" s="735"/>
      <c r="B35" s="735"/>
      <c r="E35" s="570" t="s">
        <v>493</v>
      </c>
      <c r="F35" s="58">
        <v>250</v>
      </c>
      <c r="G35" s="735"/>
      <c r="H35" s="735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3418</v>
      </c>
      <c r="MO35" s="48">
        <v>28.74</v>
      </c>
      <c r="MR35" s="49" t="s">
        <v>2630</v>
      </c>
      <c r="MS35" s="48">
        <v>0</v>
      </c>
      <c r="MT35" s="605" t="s">
        <v>3451</v>
      </c>
      <c r="MU35" s="48">
        <v>354.25</v>
      </c>
      <c r="MV35" s="602" t="s">
        <v>2276</v>
      </c>
      <c r="MW35" s="48"/>
      <c r="MX35" s="326" t="s">
        <v>2575</v>
      </c>
      <c r="MY35" s="315">
        <f>SUM(NA19:NA24)</f>
        <v>272.87</v>
      </c>
      <c r="MZ35" s="331">
        <v>26.16</v>
      </c>
      <c r="NA35" s="51" t="s">
        <v>3552</v>
      </c>
      <c r="NB35" s="646" t="s">
        <v>3535</v>
      </c>
      <c r="ND35" s="326" t="s">
        <v>2428</v>
      </c>
      <c r="NE35" s="590">
        <f>SUM(NG16:NG25)</f>
        <v>34.5</v>
      </c>
      <c r="NF35" s="654" t="s">
        <v>2382</v>
      </c>
      <c r="NG35" s="51">
        <f>41</f>
        <v>41</v>
      </c>
      <c r="NH35" s="672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6" t="s">
        <v>2149</v>
      </c>
      <c r="DT36" s="737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326" t="s">
        <v>3419</v>
      </c>
      <c r="MO36" s="48">
        <v>31.53</v>
      </c>
      <c r="MQ36" s="50"/>
      <c r="MR36" s="152" t="s">
        <v>2678</v>
      </c>
      <c r="MS36" s="48">
        <f>SUM(MU12:MU20)</f>
        <v>909.65000000000009</v>
      </c>
      <c r="MT36" s="605" t="s">
        <v>1847</v>
      </c>
      <c r="MU36" s="48">
        <v>47.19</v>
      </c>
      <c r="MV36" s="600" t="s">
        <v>2123</v>
      </c>
      <c r="MZ36" s="177" t="s">
        <v>2477</v>
      </c>
      <c r="NA36" s="22">
        <f>MW28+MY37-NC27</f>
        <v>70</v>
      </c>
      <c r="NB36" s="643" t="s">
        <v>372</v>
      </c>
      <c r="ND36" s="326" t="s">
        <v>2575</v>
      </c>
      <c r="NE36" s="315">
        <f>SUM(NG20:NG25)</f>
        <v>0</v>
      </c>
      <c r="NF36" s="331">
        <v>40</v>
      </c>
      <c r="NG36" s="51"/>
      <c r="NH36" s="666" t="s">
        <v>2276</v>
      </c>
      <c r="NI36" s="50"/>
      <c r="NK36" s="667">
        <v>40</v>
      </c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72" t="s">
        <v>3445</v>
      </c>
      <c r="MO37" s="608">
        <f>1294.38+250.7</f>
        <v>1545.0800000000002</v>
      </c>
      <c r="MP37" s="70"/>
      <c r="MQ37" s="48"/>
      <c r="MR37" s="293" t="s">
        <v>2687</v>
      </c>
      <c r="MS37" s="48">
        <f>SUM(MU34:MU37)</f>
        <v>1990.12</v>
      </c>
      <c r="MT37" s="605" t="s">
        <v>3453</v>
      </c>
      <c r="MU37" s="62">
        <v>588.6</v>
      </c>
      <c r="MV37" s="600" t="s">
        <v>2686</v>
      </c>
      <c r="MX37" s="157" t="s">
        <v>3480</v>
      </c>
      <c r="MY37" s="203">
        <v>0</v>
      </c>
      <c r="MZ37" s="203">
        <v>50</v>
      </c>
      <c r="NA37" s="659" t="s">
        <v>3159</v>
      </c>
      <c r="NB37" s="643" t="s">
        <v>2877</v>
      </c>
      <c r="NF37" s="177" t="s">
        <v>2477</v>
      </c>
      <c r="NG37" s="22">
        <f>NC27+NE38-NI25</f>
        <v>30</v>
      </c>
      <c r="NH37" s="665" t="s">
        <v>2123</v>
      </c>
      <c r="NK37" s="48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2741</v>
      </c>
      <c r="MO38" s="62">
        <v>550</v>
      </c>
      <c r="MP38" s="74"/>
      <c r="MR38" s="120" t="s">
        <v>2789</v>
      </c>
      <c r="MS38" s="254">
        <f>SUM(MU38:MU38)</f>
        <v>27.57</v>
      </c>
      <c r="MT38" s="606" t="s">
        <v>2034</v>
      </c>
      <c r="MU38" s="62">
        <v>27.57</v>
      </c>
      <c r="MV38" s="600" t="s">
        <v>3007</v>
      </c>
      <c r="MZ38" s="203">
        <v>10</v>
      </c>
      <c r="NA38" s="243" t="s">
        <v>3537</v>
      </c>
      <c r="NB38" s="643" t="s">
        <v>2874</v>
      </c>
      <c r="ND38" s="157" t="s">
        <v>3480</v>
      </c>
      <c r="NE38" s="203">
        <v>100</v>
      </c>
      <c r="NF38" s="203">
        <v>10</v>
      </c>
      <c r="NG38" s="659" t="s">
        <v>3559</v>
      </c>
      <c r="NH38" s="665" t="s">
        <v>2686</v>
      </c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8" t="s">
        <v>2548</v>
      </c>
      <c r="DJ39" s="738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SUM(MO37:MO37)</f>
        <v>1545.0800000000002</v>
      </c>
      <c r="MN39" s="120" t="s">
        <v>3411</v>
      </c>
      <c r="MO39" s="62">
        <v>46.48</v>
      </c>
      <c r="MP39" s="74" t="s">
        <v>2686</v>
      </c>
      <c r="MR39" s="326" t="s">
        <v>2428</v>
      </c>
      <c r="MS39" s="590">
        <f>SUM(MU21:MU33)</f>
        <v>710.96</v>
      </c>
      <c r="MT39" s="49" t="s">
        <v>2691</v>
      </c>
      <c r="MU39" s="62">
        <v>5.9</v>
      </c>
      <c r="MV39" s="597" t="s">
        <v>372</v>
      </c>
      <c r="MY39" s="61"/>
      <c r="MZ39" s="648" t="s">
        <v>3516</v>
      </c>
      <c r="NA39" s="62">
        <v>14.4</v>
      </c>
      <c r="NF39" s="203">
        <v>10</v>
      </c>
      <c r="NG39" s="243" t="s">
        <v>3268</v>
      </c>
      <c r="NH39" s="665" t="s">
        <v>3535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13" t="s">
        <v>2117</v>
      </c>
      <c r="II40" s="713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SUM(MO38:MO39)</f>
        <v>596.48</v>
      </c>
      <c r="MN40" s="49" t="s">
        <v>2382</v>
      </c>
      <c r="MO40" s="51">
        <f>157+29+289+60+41+130</f>
        <v>706</v>
      </c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7" t="s">
        <v>2877</v>
      </c>
      <c r="MY40" s="61"/>
      <c r="MZ40" s="643" t="s">
        <v>3517</v>
      </c>
      <c r="NA40" s="244">
        <v>11.9</v>
      </c>
      <c r="NB40" s="643" t="s">
        <v>3001</v>
      </c>
      <c r="NE40" s="61"/>
      <c r="NF40" s="203">
        <v>10</v>
      </c>
      <c r="NG40" s="243" t="s">
        <v>2418</v>
      </c>
      <c r="NH40" s="667" t="s">
        <v>372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7" t="s">
        <v>2954</v>
      </c>
      <c r="KO41" s="727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90">
        <f>SUM(MO20:MO36)</f>
        <v>2258.6099999999997</v>
      </c>
      <c r="MN41" s="331">
        <v>38.130000000000003</v>
      </c>
      <c r="MO41" s="51"/>
      <c r="MP41" s="14" t="s">
        <v>372</v>
      </c>
      <c r="MT41" s="331">
        <v>33.92</v>
      </c>
      <c r="MU41" s="51"/>
      <c r="MV41" s="597" t="s">
        <v>2915</v>
      </c>
      <c r="NA41" s="644"/>
      <c r="NB41" s="643" t="s">
        <v>3026</v>
      </c>
      <c r="NE41" s="61"/>
      <c r="NF41" s="203"/>
      <c r="NG41" s="127"/>
      <c r="NH41" s="667" t="s">
        <v>2877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SUM(MO25:MO36)</f>
        <v>409.42999999999995</v>
      </c>
      <c r="MN42" s="177" t="s">
        <v>2477</v>
      </c>
      <c r="MO42" s="22">
        <f>MK28+MM44-MQ28</f>
        <v>90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F42" s="666"/>
      <c r="NG42" s="62"/>
      <c r="NH42" s="667" t="s">
        <v>2874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40</v>
      </c>
      <c r="MO43" s="22" t="s">
        <v>2914</v>
      </c>
      <c r="MP43" s="14" t="s">
        <v>2915</v>
      </c>
      <c r="MT43" s="203">
        <v>20</v>
      </c>
      <c r="MU43" s="282" t="s">
        <v>3492</v>
      </c>
      <c r="MV43" s="597" t="s">
        <v>3001</v>
      </c>
      <c r="NG43" s="244"/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49" t="s">
        <v>2630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28.7</v>
      </c>
      <c r="MO44" s="282" t="s">
        <v>3405</v>
      </c>
      <c r="MS44" s="61"/>
      <c r="MT44" s="602" t="s">
        <v>3429</v>
      </c>
      <c r="MU44" s="247">
        <v>399</v>
      </c>
      <c r="MV44" s="597" t="s">
        <v>3026</v>
      </c>
      <c r="NG44" s="664"/>
      <c r="NH44" s="667" t="s">
        <v>3001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>
        <v>8</v>
      </c>
      <c r="MO45" s="282" t="s">
        <v>3406</v>
      </c>
      <c r="MP45" s="14" t="s">
        <v>3001</v>
      </c>
      <c r="MS45" s="61"/>
      <c r="MT45" s="602" t="s">
        <v>3428</v>
      </c>
      <c r="MU45" s="598">
        <v>59</v>
      </c>
      <c r="NH45" s="667" t="s">
        <v>3026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203"/>
      <c r="MO46" s="607"/>
      <c r="MP46" s="14" t="s">
        <v>3026</v>
      </c>
      <c r="MT46" s="602"/>
      <c r="MU46" s="247"/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3146</v>
      </c>
      <c r="MO47" s="247">
        <v>425.1</v>
      </c>
      <c r="MT47" s="602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 t="s">
        <v>3413</v>
      </c>
      <c r="MO48" s="66">
        <v>48</v>
      </c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33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247"/>
      <c r="MU49" s="598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33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N50" s="70"/>
      <c r="MO50" s="62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33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244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33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  <c r="MO52" s="66"/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  <c r="NC58" s="20"/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  <c r="NI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7"/>
  <sheetViews>
    <sheetView workbookViewId="0">
      <selection activeCell="B4" sqref="B4:C4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4"/>
    </row>
    <row r="3" spans="2:3">
      <c r="B3" s="39"/>
      <c r="C3" s="634"/>
    </row>
    <row r="4" spans="2:3">
      <c r="B4" s="39"/>
      <c r="C4" s="634"/>
    </row>
    <row r="5" spans="2:3">
      <c r="B5" s="39">
        <v>5000</v>
      </c>
      <c r="C5" s="634">
        <v>45538</v>
      </c>
    </row>
    <row r="6" spans="2:3">
      <c r="B6" s="39">
        <v>12000</v>
      </c>
      <c r="C6" s="634">
        <v>45552</v>
      </c>
    </row>
    <row r="7" spans="2:3">
      <c r="B7" s="39">
        <v>14000</v>
      </c>
      <c r="C7" s="634">
        <v>45566</v>
      </c>
    </row>
    <row r="8" spans="2:3">
      <c r="B8" s="39">
        <v>8000</v>
      </c>
      <c r="C8" s="634">
        <v>45580</v>
      </c>
    </row>
    <row r="9" spans="2:3">
      <c r="B9" s="39">
        <v>5000</v>
      </c>
      <c r="C9" s="634">
        <v>45594</v>
      </c>
    </row>
    <row r="10" spans="2:3">
      <c r="B10" s="39">
        <v>6000</v>
      </c>
      <c r="C10" s="634">
        <v>45608</v>
      </c>
    </row>
    <row r="11" spans="2:3">
      <c r="B11" s="39">
        <v>6000</v>
      </c>
      <c r="C11" s="634">
        <v>45636</v>
      </c>
    </row>
    <row r="12" spans="2:3" s="584" customFormat="1">
      <c r="B12" s="39">
        <v>8000</v>
      </c>
      <c r="C12" s="634">
        <v>45650</v>
      </c>
    </row>
    <row r="13" spans="2:3" s="626" customFormat="1">
      <c r="B13" s="39">
        <v>12000</v>
      </c>
      <c r="C13" s="634">
        <v>45664</v>
      </c>
    </row>
    <row r="14" spans="2:3" s="626" customFormat="1">
      <c r="B14" s="39">
        <v>18000</v>
      </c>
      <c r="C14" s="634">
        <v>45678</v>
      </c>
    </row>
    <row r="15" spans="2:3">
      <c r="B15" s="41"/>
      <c r="C15" s="635"/>
    </row>
    <row r="16" spans="2:3">
      <c r="B16" s="42">
        <f>SUM(B2:B15)</f>
        <v>94000</v>
      </c>
      <c r="C16" t="s">
        <v>1098</v>
      </c>
    </row>
    <row r="17" spans="2:2">
      <c r="B17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46"/>
  <sheetViews>
    <sheetView topLeftCell="W1" workbookViewId="0">
      <selection activeCell="AJ29" sqref="AJ29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3" max="33" width="2.28515625" style="632" customWidth="1"/>
    <col min="34" max="34" width="11.42578125" style="632" customWidth="1"/>
    <col min="35" max="35" width="3.42578125" style="632" bestFit="1" customWidth="1"/>
    <col min="36" max="36" width="7.5703125" style="632" customWidth="1"/>
  </cols>
  <sheetData>
    <row r="1" spans="2:36" ht="5.45" customHeight="1"/>
    <row r="2" spans="2:36">
      <c r="D2" t="s">
        <v>3364</v>
      </c>
      <c r="G2" t="s">
        <v>532</v>
      </c>
      <c r="H2" t="s">
        <v>3364</v>
      </c>
      <c r="K2" t="s">
        <v>532</v>
      </c>
      <c r="L2" t="s">
        <v>3364</v>
      </c>
      <c r="O2" t="s">
        <v>532</v>
      </c>
      <c r="R2" s="29" t="s">
        <v>148</v>
      </c>
      <c r="S2" t="s">
        <v>532</v>
      </c>
      <c r="T2" t="s">
        <v>3364</v>
      </c>
      <c r="V2" s="29" t="s">
        <v>148</v>
      </c>
      <c r="W2" t="s">
        <v>532</v>
      </c>
      <c r="X2" s="30" t="s">
        <v>3364</v>
      </c>
      <c r="Z2" s="29" t="s">
        <v>148</v>
      </c>
      <c r="AA2" t="s">
        <v>532</v>
      </c>
      <c r="AB2" t="s">
        <v>3364</v>
      </c>
      <c r="AD2" s="29" t="s">
        <v>1482</v>
      </c>
      <c r="AE2" s="632" t="s">
        <v>532</v>
      </c>
      <c r="AF2" s="632" t="s">
        <v>3364</v>
      </c>
      <c r="AH2" s="29" t="s">
        <v>1482</v>
      </c>
      <c r="AI2" s="632" t="s">
        <v>532</v>
      </c>
      <c r="AJ2" s="632" t="s">
        <v>3364</v>
      </c>
    </row>
    <row r="3" spans="2:36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>
        <v>241.7</v>
      </c>
      <c r="AB3" s="31">
        <f t="shared" ref="AB3:AB33" si="5">AA3*1000*3.7%/365</f>
        <v>24.501095890410962</v>
      </c>
      <c r="AD3" s="29"/>
      <c r="AE3" s="632"/>
      <c r="AF3" s="31"/>
      <c r="AH3" s="29">
        <v>45443</v>
      </c>
      <c r="AI3" s="632">
        <v>61</v>
      </c>
      <c r="AJ3" s="31">
        <f t="shared" ref="AJ3:AJ33" si="6">AI3*1000*3.45%/365</f>
        <v>5.7657534246575342</v>
      </c>
    </row>
    <row r="4" spans="2:36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>
        <v>241.7</v>
      </c>
      <c r="AB4" s="31">
        <f t="shared" si="5"/>
        <v>24.501095890410962</v>
      </c>
      <c r="AD4" s="29">
        <v>45412</v>
      </c>
      <c r="AE4" s="632">
        <v>43</v>
      </c>
      <c r="AF4" s="31">
        <f>AE4*1000*3.4%/365</f>
        <v>4.0054794520547947</v>
      </c>
      <c r="AH4" s="29">
        <v>45442</v>
      </c>
      <c r="AI4" s="632">
        <v>56</v>
      </c>
      <c r="AJ4" s="31">
        <f>AI4*1000*3.45%/365</f>
        <v>5.2931506849315078</v>
      </c>
    </row>
    <row r="5" spans="2:36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7">W5*1000*3.7%/365</f>
        <v>28.789041095890415</v>
      </c>
      <c r="Z5" s="29">
        <v>45380</v>
      </c>
      <c r="AA5">
        <v>241</v>
      </c>
      <c r="AB5" s="31">
        <f t="shared" si="5"/>
        <v>24.430136986301374</v>
      </c>
      <c r="AD5" s="29">
        <v>45411</v>
      </c>
      <c r="AE5" s="632">
        <v>28</v>
      </c>
      <c r="AF5" s="31">
        <f t="shared" ref="AF5:AF33" si="8">AE5*1000*3.45%/365</f>
        <v>2.6465753424657539</v>
      </c>
      <c r="AH5" s="29">
        <v>45441</v>
      </c>
      <c r="AI5" s="632">
        <v>54</v>
      </c>
      <c r="AJ5" s="31">
        <f t="shared" si="6"/>
        <v>5.1041095890410961</v>
      </c>
    </row>
    <row r="6" spans="2:36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7"/>
        <v>28.282191780821922</v>
      </c>
      <c r="Z6" s="29">
        <v>45379</v>
      </c>
      <c r="AA6">
        <v>241</v>
      </c>
      <c r="AB6" s="31">
        <f t="shared" si="5"/>
        <v>24.430136986301374</v>
      </c>
      <c r="AD6" s="29">
        <v>45410</v>
      </c>
      <c r="AE6" s="632">
        <v>9</v>
      </c>
      <c r="AF6" s="31">
        <f t="shared" si="8"/>
        <v>0.85068493150684932</v>
      </c>
      <c r="AH6" s="29">
        <v>45440</v>
      </c>
      <c r="AI6" s="632">
        <v>54</v>
      </c>
      <c r="AJ6" s="31">
        <f t="shared" si="6"/>
        <v>5.1041095890410961</v>
      </c>
    </row>
    <row r="7" spans="2:36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9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7"/>
        <v>27.369863013698634</v>
      </c>
      <c r="Z7" s="29">
        <v>45378</v>
      </c>
      <c r="AA7">
        <v>241</v>
      </c>
      <c r="AB7" s="31">
        <f t="shared" si="5"/>
        <v>24.430136986301374</v>
      </c>
      <c r="AD7" s="29">
        <v>45409</v>
      </c>
      <c r="AE7" s="632">
        <v>9</v>
      </c>
      <c r="AF7" s="31">
        <f t="shared" si="8"/>
        <v>0.85068493150684932</v>
      </c>
      <c r="AH7" s="29">
        <v>45439</v>
      </c>
      <c r="AI7" s="632">
        <v>44</v>
      </c>
      <c r="AJ7" s="31">
        <f t="shared" si="6"/>
        <v>4.1589041095890416</v>
      </c>
    </row>
    <row r="8" spans="2:36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9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7"/>
        <v>27.572602739726033</v>
      </c>
      <c r="Z8" s="29">
        <v>45377</v>
      </c>
      <c r="AA8">
        <v>231</v>
      </c>
      <c r="AB8" s="31">
        <f t="shared" si="5"/>
        <v>23.416438356164388</v>
      </c>
      <c r="AD8" s="29">
        <v>45408</v>
      </c>
      <c r="AE8" s="632">
        <v>9</v>
      </c>
      <c r="AF8" s="31">
        <f t="shared" si="8"/>
        <v>0.85068493150684932</v>
      </c>
      <c r="AH8" s="29">
        <v>45438</v>
      </c>
      <c r="AI8" s="632">
        <v>42</v>
      </c>
      <c r="AJ8" s="31">
        <f t="shared" si="6"/>
        <v>3.9698630136986308</v>
      </c>
    </row>
    <row r="9" spans="2:36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9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7"/>
        <v>28.079452054794526</v>
      </c>
      <c r="Z9" s="29">
        <v>45376</v>
      </c>
      <c r="AA9">
        <v>269</v>
      </c>
      <c r="AB9" s="31">
        <f t="shared" si="5"/>
        <v>27.268493150684936</v>
      </c>
      <c r="AD9" s="29">
        <v>45407</v>
      </c>
      <c r="AE9" s="632">
        <v>5</v>
      </c>
      <c r="AF9" s="31">
        <f t="shared" si="8"/>
        <v>0.47260273972602745</v>
      </c>
      <c r="AH9" s="29">
        <v>45437</v>
      </c>
      <c r="AI9" s="632">
        <v>42</v>
      </c>
      <c r="AJ9" s="31">
        <f t="shared" si="6"/>
        <v>3.9698630136986308</v>
      </c>
    </row>
    <row r="10" spans="2:36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9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7"/>
        <v>28.079452054794526</v>
      </c>
      <c r="Z10" s="29">
        <v>45375</v>
      </c>
      <c r="AA10">
        <v>373</v>
      </c>
      <c r="AB10" s="31">
        <f t="shared" si="5"/>
        <v>37.810958904109597</v>
      </c>
      <c r="AD10" s="29">
        <v>45406</v>
      </c>
      <c r="AE10" s="632">
        <v>9</v>
      </c>
      <c r="AF10" s="31">
        <f t="shared" si="8"/>
        <v>0.85068493150684932</v>
      </c>
      <c r="AH10" s="29">
        <v>45436</v>
      </c>
      <c r="AI10" s="632">
        <v>42</v>
      </c>
      <c r="AJ10" s="31">
        <f t="shared" si="6"/>
        <v>3.9698630136986308</v>
      </c>
    </row>
    <row r="11" spans="2:36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9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7"/>
        <v>28.484931506849321</v>
      </c>
      <c r="Z11" s="29">
        <v>45374</v>
      </c>
      <c r="AA11">
        <v>386</v>
      </c>
      <c r="AB11" s="31">
        <f t="shared" si="5"/>
        <v>39.128767123287673</v>
      </c>
      <c r="AD11" s="29">
        <v>45405</v>
      </c>
      <c r="AE11" s="632">
        <v>9</v>
      </c>
      <c r="AF11" s="31">
        <f t="shared" si="8"/>
        <v>0.85068493150684932</v>
      </c>
      <c r="AH11" s="29">
        <v>45435</v>
      </c>
      <c r="AI11" s="632">
        <v>44</v>
      </c>
      <c r="AJ11" s="31">
        <f t="shared" si="6"/>
        <v>4.1589041095890416</v>
      </c>
    </row>
    <row r="12" spans="2:36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9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7"/>
        <v>27.775342465753429</v>
      </c>
      <c r="Z12" s="29">
        <v>45373</v>
      </c>
      <c r="AA12">
        <v>386</v>
      </c>
      <c r="AB12" s="31">
        <f t="shared" si="5"/>
        <v>39.128767123287673</v>
      </c>
      <c r="AD12" s="29">
        <v>45404</v>
      </c>
      <c r="AE12" s="632">
        <v>17</v>
      </c>
      <c r="AF12" s="31">
        <f t="shared" si="8"/>
        <v>1.606849315068493</v>
      </c>
      <c r="AH12" s="29">
        <v>45434</v>
      </c>
      <c r="AI12" s="35">
        <v>35</v>
      </c>
      <c r="AJ12" s="31">
        <f t="shared" si="6"/>
        <v>3.3082191780821919</v>
      </c>
    </row>
    <row r="13" spans="2:36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9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7"/>
        <v>27.775342465753429</v>
      </c>
      <c r="Z13" s="29">
        <v>45372</v>
      </c>
      <c r="AA13">
        <v>386</v>
      </c>
      <c r="AB13" s="31">
        <f t="shared" si="5"/>
        <v>39.128767123287673</v>
      </c>
      <c r="AD13" s="29">
        <v>45403</v>
      </c>
      <c r="AE13" s="35">
        <v>84</v>
      </c>
      <c r="AF13" s="31">
        <f t="shared" si="8"/>
        <v>7.9397260273972616</v>
      </c>
      <c r="AH13" s="29">
        <v>45433</v>
      </c>
      <c r="AI13" s="35">
        <v>35</v>
      </c>
      <c r="AJ13" s="31">
        <f t="shared" si="6"/>
        <v>3.3082191780821919</v>
      </c>
    </row>
    <row r="14" spans="2:36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9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10">W14*1000*3.7%/365</f>
        <v>28.079452054794526</v>
      </c>
      <c r="Z14" s="29">
        <v>45371</v>
      </c>
      <c r="AA14">
        <v>386</v>
      </c>
      <c r="AB14" s="31">
        <f t="shared" si="5"/>
        <v>39.128767123287673</v>
      </c>
      <c r="AD14" s="29">
        <v>45402</v>
      </c>
      <c r="AE14" s="35">
        <v>84</v>
      </c>
      <c r="AF14" s="31">
        <f t="shared" si="8"/>
        <v>7.9397260273972616</v>
      </c>
      <c r="AH14" s="29">
        <v>45432</v>
      </c>
      <c r="AI14" s="35">
        <v>35</v>
      </c>
      <c r="AJ14" s="31">
        <f t="shared" si="6"/>
        <v>3.3082191780821919</v>
      </c>
    </row>
    <row r="15" spans="2:36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9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10"/>
        <v>27.673972602739731</v>
      </c>
      <c r="Z15" s="29">
        <v>45370</v>
      </c>
      <c r="AA15" s="35">
        <v>386</v>
      </c>
      <c r="AB15" s="31">
        <f t="shared" si="5"/>
        <v>39.128767123287673</v>
      </c>
      <c r="AD15" s="29">
        <v>45401</v>
      </c>
      <c r="AE15" s="35">
        <v>84</v>
      </c>
      <c r="AF15" s="31">
        <f t="shared" si="8"/>
        <v>7.9397260273972616</v>
      </c>
      <c r="AH15" s="29">
        <v>45431</v>
      </c>
      <c r="AI15" s="35">
        <v>35</v>
      </c>
      <c r="AJ15" s="31">
        <f t="shared" si="6"/>
        <v>3.3082191780821919</v>
      </c>
    </row>
    <row r="16" spans="2:36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9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10"/>
        <v>27.673972602739731</v>
      </c>
      <c r="Z16" s="29">
        <v>45369</v>
      </c>
      <c r="AA16" s="35">
        <v>372.3</v>
      </c>
      <c r="AB16" s="31">
        <f t="shared" si="5"/>
        <v>37.740000000000009</v>
      </c>
      <c r="AD16" s="29">
        <v>45400</v>
      </c>
      <c r="AE16" s="35">
        <v>84</v>
      </c>
      <c r="AF16" s="31">
        <f t="shared" si="8"/>
        <v>7.9397260273972616</v>
      </c>
      <c r="AH16" s="29">
        <v>45430</v>
      </c>
      <c r="AI16" s="35">
        <v>35</v>
      </c>
      <c r="AJ16" s="31">
        <f t="shared" si="6"/>
        <v>3.3082191780821919</v>
      </c>
    </row>
    <row r="17" spans="2:36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9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10"/>
        <v>27.673972602739731</v>
      </c>
      <c r="Z17" s="29">
        <v>45368</v>
      </c>
      <c r="AA17" s="35">
        <v>372.3</v>
      </c>
      <c r="AB17" s="31">
        <f t="shared" si="5"/>
        <v>37.740000000000009</v>
      </c>
      <c r="AD17" s="29">
        <v>45399</v>
      </c>
      <c r="AE17" s="35">
        <v>84</v>
      </c>
      <c r="AF17" s="31">
        <f t="shared" si="8"/>
        <v>7.9397260273972616</v>
      </c>
      <c r="AH17" s="29">
        <v>45429</v>
      </c>
      <c r="AI17" s="35">
        <v>35</v>
      </c>
      <c r="AJ17" s="31">
        <f t="shared" si="6"/>
        <v>3.3082191780821919</v>
      </c>
    </row>
    <row r="18" spans="2:36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9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10"/>
        <v>27.673972602739731</v>
      </c>
      <c r="Z18" s="29">
        <v>45367</v>
      </c>
      <c r="AA18" s="35">
        <v>372.3</v>
      </c>
      <c r="AB18" s="31">
        <f t="shared" si="5"/>
        <v>37.740000000000009</v>
      </c>
      <c r="AD18" s="29">
        <v>45398</v>
      </c>
      <c r="AE18" s="35">
        <v>55</v>
      </c>
      <c r="AF18" s="31">
        <f t="shared" si="8"/>
        <v>5.1986301369863019</v>
      </c>
      <c r="AH18" s="29">
        <v>45428</v>
      </c>
      <c r="AI18" s="35">
        <v>35</v>
      </c>
      <c r="AJ18" s="31">
        <f t="shared" si="6"/>
        <v>3.3082191780821919</v>
      </c>
    </row>
    <row r="19" spans="2:36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9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10"/>
        <v>27.167123287671238</v>
      </c>
      <c r="Z19" s="29">
        <v>45366</v>
      </c>
      <c r="AA19" s="35">
        <v>372.3</v>
      </c>
      <c r="AB19" s="31">
        <f t="shared" si="5"/>
        <v>37.740000000000009</v>
      </c>
      <c r="AD19" s="29">
        <v>45397</v>
      </c>
      <c r="AE19" s="35">
        <v>55</v>
      </c>
      <c r="AF19" s="31">
        <f t="shared" si="8"/>
        <v>5.1986301369863019</v>
      </c>
      <c r="AH19" s="29">
        <v>45427</v>
      </c>
      <c r="AI19" s="35">
        <v>38</v>
      </c>
      <c r="AJ19" s="31">
        <f t="shared" si="6"/>
        <v>3.591780821917808</v>
      </c>
    </row>
    <row r="20" spans="2:36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9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10"/>
        <v>27.167123287671238</v>
      </c>
      <c r="Z20" s="29">
        <v>45365</v>
      </c>
      <c r="AA20" s="35">
        <v>372.3</v>
      </c>
      <c r="AB20" s="31">
        <f t="shared" si="5"/>
        <v>37.740000000000009</v>
      </c>
      <c r="AD20" s="29">
        <v>45396</v>
      </c>
      <c r="AE20" s="35">
        <v>55</v>
      </c>
      <c r="AF20" s="31">
        <f t="shared" si="8"/>
        <v>5.1986301369863019</v>
      </c>
      <c r="AH20" s="29">
        <v>45426</v>
      </c>
      <c r="AI20" s="35">
        <v>38</v>
      </c>
      <c r="AJ20" s="31">
        <f t="shared" si="6"/>
        <v>3.591780821917808</v>
      </c>
    </row>
    <row r="21" spans="2:36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9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10"/>
        <v>27.167123287671238</v>
      </c>
      <c r="Z21" s="29">
        <v>45364</v>
      </c>
      <c r="AA21" s="35">
        <v>361</v>
      </c>
      <c r="AB21" s="31">
        <f t="shared" si="5"/>
        <v>36.594520547945208</v>
      </c>
      <c r="AD21" s="29">
        <v>45395</v>
      </c>
      <c r="AE21" s="35">
        <v>55</v>
      </c>
      <c r="AF21" s="31">
        <f t="shared" si="8"/>
        <v>5.1986301369863019</v>
      </c>
      <c r="AH21" s="29">
        <v>45425</v>
      </c>
      <c r="AI21" s="35">
        <v>38</v>
      </c>
      <c r="AJ21" s="31">
        <f t="shared" si="6"/>
        <v>3.591780821917808</v>
      </c>
    </row>
    <row r="22" spans="2:36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9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10"/>
        <v>27.775342465753429</v>
      </c>
      <c r="Z22" s="29">
        <v>45363</v>
      </c>
      <c r="AA22" s="35">
        <v>361</v>
      </c>
      <c r="AB22" s="31">
        <f t="shared" si="5"/>
        <v>36.594520547945208</v>
      </c>
      <c r="AD22" s="29">
        <v>45394</v>
      </c>
      <c r="AE22" s="35">
        <v>55</v>
      </c>
      <c r="AF22" s="31">
        <f t="shared" si="8"/>
        <v>5.1986301369863019</v>
      </c>
      <c r="AH22" s="29">
        <v>45424</v>
      </c>
      <c r="AI22" s="35">
        <v>38</v>
      </c>
      <c r="AJ22" s="31">
        <f t="shared" si="6"/>
        <v>3.591780821917808</v>
      </c>
    </row>
    <row r="23" spans="2:36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9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10"/>
        <v>27.775342465753429</v>
      </c>
      <c r="Z23" s="29">
        <v>45362</v>
      </c>
      <c r="AA23" s="35">
        <v>413</v>
      </c>
      <c r="AB23" s="31">
        <f t="shared" si="5"/>
        <v>41.865753424657541</v>
      </c>
      <c r="AD23" s="29">
        <v>45393</v>
      </c>
      <c r="AE23" s="35">
        <v>55</v>
      </c>
      <c r="AF23" s="31">
        <f t="shared" si="8"/>
        <v>5.1986301369863019</v>
      </c>
      <c r="AH23" s="29">
        <v>45423</v>
      </c>
      <c r="AI23" s="35">
        <v>38</v>
      </c>
      <c r="AJ23" s="31">
        <f t="shared" si="6"/>
        <v>3.591780821917808</v>
      </c>
    </row>
    <row r="24" spans="2:36">
      <c r="B24" s="29">
        <v>45068</v>
      </c>
      <c r="C24">
        <v>545</v>
      </c>
      <c r="D24" s="31">
        <f t="shared" ref="D24:D32" si="11">C24*1000*0.05%/365</f>
        <v>0.74657534246575341</v>
      </c>
      <c r="F24" s="29">
        <v>45099</v>
      </c>
      <c r="G24">
        <v>585</v>
      </c>
      <c r="H24" s="31">
        <f t="shared" ref="H24:H32" si="12">G24*1000*0.05%/365</f>
        <v>0.80136986301369861</v>
      </c>
      <c r="J24" s="29">
        <v>45129</v>
      </c>
      <c r="K24">
        <v>735</v>
      </c>
      <c r="L24" s="31">
        <f t="shared" ref="L24:L32" si="13">K24*1000*0.05%/365</f>
        <v>1.0068493150684932</v>
      </c>
      <c r="N24" s="29">
        <v>45160</v>
      </c>
      <c r="O24">
        <v>735</v>
      </c>
      <c r="P24" s="31">
        <f t="shared" si="9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10"/>
        <v>27.775342465753429</v>
      </c>
      <c r="Z24" s="29">
        <v>45361</v>
      </c>
      <c r="AA24" s="35">
        <v>428</v>
      </c>
      <c r="AB24" s="31">
        <f t="shared" si="5"/>
        <v>43.38630136986302</v>
      </c>
      <c r="AD24" s="29">
        <v>45392</v>
      </c>
      <c r="AE24" s="35">
        <v>47</v>
      </c>
      <c r="AF24" s="31">
        <f t="shared" si="8"/>
        <v>4.4424657534246581</v>
      </c>
      <c r="AH24" s="29">
        <v>45422</v>
      </c>
      <c r="AI24" s="35">
        <v>38</v>
      </c>
      <c r="AJ24" s="31">
        <f t="shared" si="6"/>
        <v>3.591780821917808</v>
      </c>
    </row>
    <row r="25" spans="2:36" s="28" customFormat="1">
      <c r="B25" s="32">
        <v>45069</v>
      </c>
      <c r="C25" s="28">
        <v>545</v>
      </c>
      <c r="D25" s="33">
        <f t="shared" si="11"/>
        <v>0.74657534246575341</v>
      </c>
      <c r="F25" s="32">
        <v>45100</v>
      </c>
      <c r="G25" s="28">
        <v>585</v>
      </c>
      <c r="H25" s="33">
        <f t="shared" si="12"/>
        <v>0.80136986301369861</v>
      </c>
      <c r="J25" s="32">
        <v>45130</v>
      </c>
      <c r="K25" s="28">
        <v>735</v>
      </c>
      <c r="L25" s="33">
        <f t="shared" si="13"/>
        <v>1.0068493150684932</v>
      </c>
      <c r="N25" s="32">
        <v>45161</v>
      </c>
      <c r="O25" s="28">
        <v>738</v>
      </c>
      <c r="P25" s="33">
        <f t="shared" si="9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10"/>
        <v>27.775342465753429</v>
      </c>
      <c r="Z25" s="29">
        <v>45360</v>
      </c>
      <c r="AA25" s="35">
        <v>428</v>
      </c>
      <c r="AB25" s="31">
        <f t="shared" si="5"/>
        <v>43.38630136986302</v>
      </c>
      <c r="AD25" s="29">
        <v>45391</v>
      </c>
      <c r="AE25" s="35">
        <v>47</v>
      </c>
      <c r="AF25" s="31">
        <f t="shared" si="8"/>
        <v>4.4424657534246581</v>
      </c>
      <c r="AH25" s="29">
        <v>45421</v>
      </c>
      <c r="AI25" s="35">
        <v>31</v>
      </c>
      <c r="AJ25" s="31">
        <f t="shared" si="6"/>
        <v>2.93013698630137</v>
      </c>
    </row>
    <row r="26" spans="2:36">
      <c r="B26" s="29">
        <v>45070</v>
      </c>
      <c r="C26">
        <v>550</v>
      </c>
      <c r="D26" s="31">
        <f t="shared" si="11"/>
        <v>0.75342465753424659</v>
      </c>
      <c r="F26" s="29">
        <v>45101</v>
      </c>
      <c r="G26">
        <v>585</v>
      </c>
      <c r="H26" s="31">
        <f t="shared" si="12"/>
        <v>0.80136986301369861</v>
      </c>
      <c r="J26" s="29">
        <v>45131</v>
      </c>
      <c r="K26" s="35">
        <v>735</v>
      </c>
      <c r="L26" s="31">
        <f t="shared" si="13"/>
        <v>1.0068493150684932</v>
      </c>
      <c r="N26" s="29">
        <v>45162</v>
      </c>
      <c r="O26" s="35">
        <v>738</v>
      </c>
      <c r="P26" s="31">
        <f t="shared" si="9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10"/>
        <v>26.761643835616443</v>
      </c>
      <c r="Z26" s="29">
        <v>45359</v>
      </c>
      <c r="AA26" s="35">
        <v>428</v>
      </c>
      <c r="AB26" s="31">
        <f t="shared" si="5"/>
        <v>43.38630136986302</v>
      </c>
      <c r="AD26" s="29">
        <v>45390</v>
      </c>
      <c r="AE26" s="35">
        <v>47</v>
      </c>
      <c r="AF26" s="31">
        <f t="shared" si="8"/>
        <v>4.4424657534246581</v>
      </c>
      <c r="AH26" s="29">
        <v>45420</v>
      </c>
      <c r="AI26" s="35">
        <v>31</v>
      </c>
      <c r="AJ26" s="31">
        <f t="shared" si="6"/>
        <v>2.93013698630137</v>
      </c>
    </row>
    <row r="27" spans="2:36">
      <c r="B27" s="29">
        <v>45071</v>
      </c>
      <c r="C27">
        <v>550</v>
      </c>
      <c r="D27" s="31">
        <f t="shared" si="11"/>
        <v>0.75342465753424659</v>
      </c>
      <c r="F27" s="29">
        <v>45102</v>
      </c>
      <c r="G27">
        <v>585</v>
      </c>
      <c r="H27" s="31">
        <f t="shared" si="12"/>
        <v>0.80136986301369861</v>
      </c>
      <c r="J27" s="29">
        <v>45132</v>
      </c>
      <c r="K27" s="35">
        <v>740</v>
      </c>
      <c r="L27" s="31">
        <f t="shared" si="13"/>
        <v>1.0136986301369864</v>
      </c>
      <c r="N27" s="29">
        <v>45163</v>
      </c>
      <c r="O27" s="35">
        <v>748</v>
      </c>
      <c r="P27" s="31">
        <f t="shared" si="9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10"/>
        <v>26.660273972602745</v>
      </c>
      <c r="Z27" s="29">
        <v>45358</v>
      </c>
      <c r="AA27" s="35">
        <v>428</v>
      </c>
      <c r="AB27" s="31">
        <f t="shared" si="5"/>
        <v>43.38630136986302</v>
      </c>
      <c r="AD27" s="29">
        <v>45389</v>
      </c>
      <c r="AE27" s="35">
        <v>63.2</v>
      </c>
      <c r="AF27" s="31">
        <f t="shared" si="8"/>
        <v>5.9736986301369868</v>
      </c>
      <c r="AH27" s="29">
        <v>45419</v>
      </c>
      <c r="AI27" s="35">
        <v>31</v>
      </c>
      <c r="AJ27" s="31">
        <f t="shared" si="6"/>
        <v>2.93013698630137</v>
      </c>
    </row>
    <row r="28" spans="2:36">
      <c r="B28" s="29">
        <v>45072</v>
      </c>
      <c r="C28">
        <v>550</v>
      </c>
      <c r="D28" s="31">
        <f t="shared" si="11"/>
        <v>0.75342465753424659</v>
      </c>
      <c r="F28" s="29">
        <v>45103</v>
      </c>
      <c r="G28">
        <v>585</v>
      </c>
      <c r="H28" s="31">
        <f t="shared" si="12"/>
        <v>0.80136986301369861</v>
      </c>
      <c r="J28" s="29">
        <v>45133</v>
      </c>
      <c r="K28" s="35">
        <v>740</v>
      </c>
      <c r="L28" s="31">
        <f t="shared" si="13"/>
        <v>1.0136986301369864</v>
      </c>
      <c r="N28" s="29">
        <v>45164</v>
      </c>
      <c r="O28" s="35">
        <v>749</v>
      </c>
      <c r="P28" s="31">
        <f t="shared" si="9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10"/>
        <v>19.665753424657538</v>
      </c>
      <c r="Z28" s="29">
        <v>45357</v>
      </c>
      <c r="AA28" s="35">
        <v>428</v>
      </c>
      <c r="AB28" s="31">
        <f t="shared" si="5"/>
        <v>43.38630136986302</v>
      </c>
      <c r="AD28" s="29">
        <v>45388</v>
      </c>
      <c r="AE28" s="35">
        <v>63.2</v>
      </c>
      <c r="AF28" s="31">
        <f t="shared" si="8"/>
        <v>5.9736986301369868</v>
      </c>
      <c r="AH28" s="29">
        <v>45418</v>
      </c>
      <c r="AI28" s="632">
        <v>43</v>
      </c>
      <c r="AJ28" s="31">
        <f t="shared" si="6"/>
        <v>4.0643835616438366</v>
      </c>
    </row>
    <row r="29" spans="2:36">
      <c r="B29" s="29">
        <v>45073</v>
      </c>
      <c r="C29">
        <v>550</v>
      </c>
      <c r="D29" s="31">
        <f t="shared" si="11"/>
        <v>0.75342465753424659</v>
      </c>
      <c r="F29" s="29">
        <v>45104</v>
      </c>
      <c r="G29">
        <v>585</v>
      </c>
      <c r="H29" s="31">
        <f t="shared" si="12"/>
        <v>0.80136986301369861</v>
      </c>
      <c r="J29" s="29">
        <v>45134</v>
      </c>
      <c r="K29" s="35">
        <v>740</v>
      </c>
      <c r="L29" s="31">
        <f t="shared" si="13"/>
        <v>1.0136986301369864</v>
      </c>
      <c r="N29" s="29">
        <v>45165</v>
      </c>
      <c r="O29" s="35">
        <v>749</v>
      </c>
      <c r="P29" s="31">
        <f t="shared" si="9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10"/>
        <v>19.665753424657538</v>
      </c>
      <c r="Z29" s="29">
        <v>45356</v>
      </c>
      <c r="AA29" s="35">
        <v>428</v>
      </c>
      <c r="AB29" s="31">
        <f t="shared" si="5"/>
        <v>43.38630136986302</v>
      </c>
      <c r="AD29" s="29">
        <v>45387</v>
      </c>
      <c r="AE29" s="35">
        <v>63.2</v>
      </c>
      <c r="AF29" s="31">
        <f t="shared" si="8"/>
        <v>5.9736986301369868</v>
      </c>
      <c r="AH29" s="29">
        <v>45417</v>
      </c>
      <c r="AI29" s="632">
        <v>43</v>
      </c>
      <c r="AJ29" s="31">
        <f t="shared" si="6"/>
        <v>4.0643835616438366</v>
      </c>
    </row>
    <row r="30" spans="2:36">
      <c r="B30" s="29">
        <v>45074</v>
      </c>
      <c r="C30">
        <v>550</v>
      </c>
      <c r="D30" s="31">
        <f t="shared" si="11"/>
        <v>0.75342465753424659</v>
      </c>
      <c r="F30" s="29">
        <v>45105</v>
      </c>
      <c r="G30">
        <v>600</v>
      </c>
      <c r="H30" s="31">
        <f t="shared" si="12"/>
        <v>0.82191780821917804</v>
      </c>
      <c r="J30" s="29">
        <v>45135</v>
      </c>
      <c r="K30" s="35">
        <v>740</v>
      </c>
      <c r="L30" s="31">
        <f t="shared" si="13"/>
        <v>1.0136986301369864</v>
      </c>
      <c r="N30" s="29">
        <v>45166</v>
      </c>
      <c r="O30">
        <v>740</v>
      </c>
      <c r="P30" s="31">
        <f t="shared" si="9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10"/>
        <v>26.660273972602745</v>
      </c>
      <c r="Z30" s="29">
        <v>45355</v>
      </c>
      <c r="AA30">
        <v>284</v>
      </c>
      <c r="AB30" s="31">
        <f t="shared" si="5"/>
        <v>28.789041095890415</v>
      </c>
      <c r="AD30" s="29">
        <v>45386</v>
      </c>
      <c r="AE30" s="35">
        <v>63.2</v>
      </c>
      <c r="AF30" s="31">
        <f t="shared" si="8"/>
        <v>5.9736986301369868</v>
      </c>
      <c r="AH30" s="29">
        <v>45416</v>
      </c>
      <c r="AI30" s="632">
        <v>43</v>
      </c>
      <c r="AJ30" s="31">
        <f t="shared" si="6"/>
        <v>4.0643835616438366</v>
      </c>
    </row>
    <row r="31" spans="2:36">
      <c r="B31" s="29">
        <v>45075</v>
      </c>
      <c r="C31">
        <v>550</v>
      </c>
      <c r="D31" s="31">
        <f t="shared" si="11"/>
        <v>0.75342465753424659</v>
      </c>
      <c r="F31" s="29">
        <v>45106</v>
      </c>
      <c r="G31">
        <v>600</v>
      </c>
      <c r="H31" s="31">
        <f t="shared" si="12"/>
        <v>0.82191780821917804</v>
      </c>
      <c r="J31" s="29">
        <v>45136</v>
      </c>
      <c r="K31">
        <v>750</v>
      </c>
      <c r="L31" s="31">
        <f t="shared" si="13"/>
        <v>1.0273972602739727</v>
      </c>
      <c r="N31" s="29">
        <v>45167</v>
      </c>
      <c r="O31">
        <v>604</v>
      </c>
      <c r="P31" s="31">
        <f t="shared" si="9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10"/>
        <v>26.660273972602745</v>
      </c>
      <c r="Z31" s="29">
        <v>45354</v>
      </c>
      <c r="AA31">
        <v>284</v>
      </c>
      <c r="AB31" s="31">
        <f t="shared" si="5"/>
        <v>28.789041095890415</v>
      </c>
      <c r="AD31" s="29">
        <v>45385</v>
      </c>
      <c r="AE31" s="35">
        <v>63.2</v>
      </c>
      <c r="AF31" s="31">
        <f t="shared" si="8"/>
        <v>5.9736986301369868</v>
      </c>
      <c r="AH31" s="29">
        <v>45415</v>
      </c>
      <c r="AI31" s="632">
        <v>43</v>
      </c>
      <c r="AJ31" s="31">
        <f t="shared" si="6"/>
        <v>4.0643835616438366</v>
      </c>
    </row>
    <row r="32" spans="2:36">
      <c r="B32" s="29">
        <v>45076</v>
      </c>
      <c r="C32">
        <v>585</v>
      </c>
      <c r="D32" s="31">
        <f t="shared" si="11"/>
        <v>0.80136986301369861</v>
      </c>
      <c r="F32" s="29">
        <v>45107</v>
      </c>
      <c r="G32">
        <v>600</v>
      </c>
      <c r="H32" s="31">
        <f t="shared" si="12"/>
        <v>0.82191780821917804</v>
      </c>
      <c r="J32" s="29">
        <v>45137</v>
      </c>
      <c r="K32">
        <v>750</v>
      </c>
      <c r="L32" s="31">
        <f t="shared" si="13"/>
        <v>1.0273972602739727</v>
      </c>
      <c r="N32" s="29">
        <v>45168</v>
      </c>
      <c r="O32">
        <v>471</v>
      </c>
      <c r="P32" s="31">
        <f t="shared" si="9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10"/>
        <v>26.660273972602745</v>
      </c>
      <c r="Z32" s="29">
        <v>45353</v>
      </c>
      <c r="AA32">
        <v>284</v>
      </c>
      <c r="AB32" s="31">
        <f t="shared" si="5"/>
        <v>28.789041095890415</v>
      </c>
      <c r="AD32" s="29">
        <v>45384</v>
      </c>
      <c r="AE32" s="632">
        <v>45.2</v>
      </c>
      <c r="AF32" s="31">
        <f t="shared" si="8"/>
        <v>4.2723287671232884</v>
      </c>
      <c r="AH32" s="29">
        <v>45414</v>
      </c>
      <c r="AI32" s="632">
        <v>43</v>
      </c>
      <c r="AJ32" s="31">
        <f t="shared" si="6"/>
        <v>4.0643835616438366</v>
      </c>
    </row>
    <row r="33" spans="2:36">
      <c r="B33" s="29">
        <v>45077</v>
      </c>
      <c r="C33">
        <v>585</v>
      </c>
      <c r="D33" s="31">
        <f t="shared" ref="D33" si="14">C33*1000*0.05/100/365</f>
        <v>0.80136986301369861</v>
      </c>
      <c r="J33" s="29">
        <v>45138</v>
      </c>
      <c r="K33">
        <v>750</v>
      </c>
      <c r="L33" s="31">
        <f t="shared" ref="L33" si="15">K33*1000*0.05/100/365</f>
        <v>1.0273972602739727</v>
      </c>
      <c r="N33" s="29">
        <v>45169</v>
      </c>
      <c r="O33">
        <v>480</v>
      </c>
      <c r="P33" s="31">
        <f t="shared" si="9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10"/>
        <v>12.975342465753426</v>
      </c>
      <c r="Z33" s="29">
        <v>45352</v>
      </c>
      <c r="AA33">
        <v>284</v>
      </c>
      <c r="AB33" s="31">
        <f t="shared" si="5"/>
        <v>28.789041095890415</v>
      </c>
      <c r="AD33" s="29">
        <v>45383</v>
      </c>
      <c r="AE33" s="632">
        <v>18.5</v>
      </c>
      <c r="AF33" s="31">
        <f t="shared" si="8"/>
        <v>1.7486301369863013</v>
      </c>
      <c r="AH33" s="29">
        <v>45413</v>
      </c>
      <c r="AI33" s="632">
        <v>43</v>
      </c>
      <c r="AJ33" s="31">
        <f t="shared" si="6"/>
        <v>4.0643835616438366</v>
      </c>
    </row>
    <row r="34" spans="2:36">
      <c r="AD34" s="632"/>
      <c r="AE34" s="632"/>
      <c r="AF34" s="632"/>
    </row>
    <row r="35" spans="2:36">
      <c r="B35" s="29" t="s">
        <v>3365</v>
      </c>
      <c r="D35" s="34">
        <f>SUM(D3:D33)*88</f>
        <v>1895.7128767123286</v>
      </c>
      <c r="F35" s="29" t="s">
        <v>3365</v>
      </c>
      <c r="H35" s="34">
        <f>SUM(H3:H33)*88</f>
        <v>2121.0410958904108</v>
      </c>
      <c r="J35" s="29" t="s">
        <v>3365</v>
      </c>
      <c r="L35" s="34">
        <f>SUM(L3:L33)*88</f>
        <v>2597.8082191780818</v>
      </c>
      <c r="N35" s="29" t="s">
        <v>3365</v>
      </c>
      <c r="P35" s="34">
        <f>SUM(P3:P33)*88</f>
        <v>2650.7287671232875</v>
      </c>
      <c r="R35" s="29" t="s">
        <v>3365</v>
      </c>
      <c r="T35" s="34">
        <v>292.3</v>
      </c>
      <c r="U35" s="34"/>
      <c r="V35" s="29" t="s">
        <v>3365</v>
      </c>
      <c r="X35" s="30">
        <f>SUM(X3:X33)</f>
        <v>769.29589041095926</v>
      </c>
      <c r="Z35" s="29" t="s">
        <v>3365</v>
      </c>
      <c r="AB35" s="36">
        <f>SUM(AB3:AB33)</f>
        <v>1085.6610958904116</v>
      </c>
      <c r="AD35" s="29" t="s">
        <v>3365</v>
      </c>
      <c r="AE35" s="632"/>
      <c r="AF35" s="34">
        <f>SUM(AF3:AF33)</f>
        <v>133.09219178082193</v>
      </c>
      <c r="AH35" s="29" t="s">
        <v>3365</v>
      </c>
      <c r="AJ35" s="34">
        <f>SUM(AJ3:AJ33)</f>
        <v>119.3794520547945</v>
      </c>
    </row>
    <row r="36" spans="2:36">
      <c r="B36" s="29" t="s">
        <v>3366</v>
      </c>
      <c r="D36" s="34">
        <f>'HIS19'!KQ21</f>
        <v>1895.66</v>
      </c>
      <c r="F36" s="29" t="s">
        <v>3366</v>
      </c>
      <c r="H36" s="34">
        <f>'HIS19'!KQ22</f>
        <v>2121.2199999999998</v>
      </c>
      <c r="J36" s="29" t="s">
        <v>3366</v>
      </c>
      <c r="L36" s="34">
        <f>'HIS19'!KQ23</f>
        <v>2597.87</v>
      </c>
      <c r="N36" s="29" t="s">
        <v>3366</v>
      </c>
      <c r="P36" s="34">
        <f>'HIS19'!KQ24</f>
        <v>2650.71</v>
      </c>
      <c r="R36" s="29" t="s">
        <v>3366</v>
      </c>
      <c r="T36" s="34">
        <v>292</v>
      </c>
      <c r="U36" s="34"/>
      <c r="V36" s="29" t="s">
        <v>3366</v>
      </c>
      <c r="X36" s="30">
        <v>767</v>
      </c>
      <c r="Z36" s="29" t="s">
        <v>3366</v>
      </c>
      <c r="AB36" s="30">
        <v>1083</v>
      </c>
      <c r="AD36" s="29" t="s">
        <v>3366</v>
      </c>
      <c r="AE36" s="632"/>
      <c r="AF36" s="254">
        <f>132.45</f>
        <v>132.44999999999999</v>
      </c>
      <c r="AH36" s="29" t="s">
        <v>3366</v>
      </c>
      <c r="AJ36" s="254">
        <f>118.69</f>
        <v>118.69</v>
      </c>
    </row>
    <row r="37" spans="2:36">
      <c r="B37" s="29" t="s">
        <v>3367</v>
      </c>
      <c r="D37" s="34">
        <f>D36-D35</f>
        <v>-5.2876712328497888E-2</v>
      </c>
      <c r="F37" s="29" t="s">
        <v>3367</v>
      </c>
      <c r="H37" s="34">
        <f>H36-H35</f>
        <v>0.17890410958898428</v>
      </c>
      <c r="J37" s="29" t="s">
        <v>3367</v>
      </c>
      <c r="L37" s="34">
        <f>L36-L35</f>
        <v>6.1780821918091533E-2</v>
      </c>
      <c r="N37" s="29" t="s">
        <v>3367</v>
      </c>
      <c r="P37" s="34">
        <f>P36-P35</f>
        <v>-1.8767123287489085E-2</v>
      </c>
      <c r="R37" s="29" t="s">
        <v>3367</v>
      </c>
      <c r="T37" s="34">
        <v>-0.29999999999995502</v>
      </c>
      <c r="U37" s="34"/>
      <c r="V37" s="29" t="s">
        <v>3367</v>
      </c>
      <c r="X37" s="30">
        <f>X36-X35</f>
        <v>-2.2958904109592595</v>
      </c>
      <c r="Z37" s="29" t="s">
        <v>3367</v>
      </c>
      <c r="AB37" s="30">
        <f>AB36-AB35</f>
        <v>-2.661095890411616</v>
      </c>
      <c r="AD37" s="29" t="s">
        <v>3367</v>
      </c>
      <c r="AE37" s="632"/>
      <c r="AF37" s="30">
        <f>AF36-AF35</f>
        <v>-0.64219178082194617</v>
      </c>
      <c r="AH37" s="29" t="s">
        <v>3367</v>
      </c>
      <c r="AJ37" s="30">
        <f>AJ36-AJ35</f>
        <v>-0.68945205479450067</v>
      </c>
    </row>
    <row r="45" spans="2:36">
      <c r="AF45" s="254"/>
    </row>
    <row r="46" spans="2:36">
      <c r="AF46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2024-09-01T02:48:55Z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