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E01CD265-09E4-4C2A-9676-9CE8477AAE1C}" xr6:coauthVersionLast="38" xr6:coauthVersionMax="47" xr10:uidLastSave="{00000000-0000-0000-0000-000000000000}"/>
  <bookViews>
    <workbookView xWindow="35475" yWindow="1365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Q24" i="32" l="1"/>
  <c r="LQ35" i="32"/>
  <c r="LQ37" i="32"/>
  <c r="LS19" i="32"/>
  <c r="LQ31" i="32"/>
  <c r="LS3" i="32" l="1"/>
  <c r="LQ28" i="32"/>
  <c r="LQ27" i="32"/>
  <c r="LO32" i="32"/>
  <c r="LQ14" i="32"/>
  <c r="LQ22" i="32" l="1"/>
  <c r="LQ25" i="32" l="1"/>
  <c r="LQ5" i="32" s="1"/>
  <c r="LO19" i="32"/>
  <c r="K34" i="42" s="1"/>
  <c r="LS2" i="32" l="1"/>
  <c r="LS4" i="32" s="1"/>
  <c r="LO2" i="32" l="1"/>
  <c r="LO35" i="32"/>
  <c r="LO30" i="32"/>
  <c r="LO31" i="32"/>
  <c r="LO37" i="32"/>
  <c r="LO34" i="32"/>
  <c r="LK33" i="32"/>
  <c r="LO36" i="32" l="1"/>
  <c r="LO33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<sst xmlns="http://schemas.openxmlformats.org/spreadsheetml/2006/main" count="8013" uniqueCount="3289">
  <si>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</si>
  <si>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</si>
  <si>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</si>
  <si>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</si>
  <si>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</si>
  <si>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</si>
  <si>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</si>
  <si>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</si>
  <si>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</si>
  <si>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</si>
  <si>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</si>
  <si>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</si>
  <si>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</si>
  <si>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</si>
  <si>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</si>
  <si>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</si>
  <si>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</si>
  <si>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</si>
  <si>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</si>
  <si>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</si>
  <si>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</si>
  <si>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</si>
  <si>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</si>
  <si>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</si>
  <si>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</si>
  <si>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</si>
  <si>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</si>
  <si>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</si>
  <si>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</si>
  <si>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</si>
  <si>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</si>
  <si>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</si>
  <si>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</si>
  <si>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</si>
  <si>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</si>
  <si>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</si>
  <si>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</si>
  <si>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</si>
  <si>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</si>
  <si>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</si>
  <si>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</si>
  <si>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</si>
  <si>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</si>
  <si>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</si>
  <si>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</si>
  <si>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</si>
  <si>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</si>
  <si>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</si>
  <si>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</si>
  <si>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</si>
  <si>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</si>
  <si>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</si>
  <si>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</si>
  <si>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</si>
  <si>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</si>
  <si>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</si>
  <si>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</si>
  <si>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</si>
  <si>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</si>
  <si>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</si>
  <si>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</si>
  <si>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</si>
  <si>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</si>
  <si>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</si>
  <si>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</si>
  <si>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</si>
  <si>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</si>
  <si>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</si>
  <si>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</si>
  <si>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</si>
  <si>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</si>
  <si>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</si>
  <si>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</si>
  <si>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</si>
  <si>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</si>
  <si>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</si>
  <si>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</si>
  <si>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</si>
  <si>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</si>
  <si>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</si>
  <si>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</si>
  <si>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</si>
  <si>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</si>
  <si>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</si>
  <si>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</si>
  <si>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</si>
  <si>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</si>
  <si>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</si>
  <si>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</si>
  <si>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</si>
  <si>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</si>
  <si>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</si>
  <si>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</si>
  <si>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</si>
  <si>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</si>
  <si>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</si>
  <si>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</si>
  <si>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</si>
  <si>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</si>
  <si>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</si>
  <si>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</si>
  <si>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</si>
  <si>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</si>
  <si>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</si>
  <si>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</si>
  <si>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</si>
  <si>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</si>
  <si>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</si>
  <si>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</si>
  <si>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</si>
  <si>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</si>
  <si>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</si>
  <si>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</si>
  <si>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</si>
  <si>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</si>
  <si>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</si>
  <si>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</si>
  <si>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</si>
  <si>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</si>
  <si>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</si>
  <si>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</si>
  <si>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</si>
  <si>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</si>
  <si>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</si>
  <si>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</si>
  <si>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</si>
  <si>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</si>
  <si>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</si>
  <si>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</si>
  <si>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</si>
  <si>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</si>
  <si>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</si>
  <si>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</si>
  <si>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</si>
  <si>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</si>
  <si>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</si>
  <si>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</si>
  <si>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</si>
  <si>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</si>
  <si>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</si>
  <si>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</si>
  <si>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</si>
  <si>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</si>
  <si>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</si>
  <si>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</si>
  <si>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</si>
  <si>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</si>
  <si>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</si>
  <si>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</si>
  <si>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</si>
  <si>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</si>
  <si>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</si>
  <si>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</si>
  <si>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</si>
  <si>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</si>
  <si>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</si>
  <si>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</si>
  <si>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</si>
  <si>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</si>
  <si>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</si>
  <si>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</si>
  <si>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</si>
  <si>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</si>
  <si>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</si>
  <si>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</si>
  <si>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</si>
  <si>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</si>
  <si>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</si>
  <si>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</si>
  <si>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</si>
  <si>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</si>
  <si>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</si>
  <si>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</si>
  <si>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</si>
  <si>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</si>
  <si>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</si>
  <si>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</si>
  <si>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</si>
  <si>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</si>
  <si>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</si>
  <si>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</si>
  <si>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</si>
  <si>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</si>
  <si>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</si>
  <si>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</si>
  <si>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</si>
  <si>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</si>
  <si>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</si>
  <si>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</si>
  <si>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</si>
  <si>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</si>
  <si>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</si>
  <si>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</si>
  <si>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</si>
  <si>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</si>
  <si>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</si>
  <si>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</si>
  <si>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</si>
  <si>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</si>
  <si>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</si>
  <si>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</si>
  <si>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</si>
  <si>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</si>
  <si>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</si>
  <si>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</si>
  <si>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</si>
  <si>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</si>
  <si>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</si>
  <si>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</si>
  <si>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</si>
  <si>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</si>
  <si>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</si>
  <si>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</si>
  <si>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</si>
  <si>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</si>
  <si>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</si>
  <si>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</si>
  <si>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</si>
  <si>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</si>
  <si>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</si>
  <si>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</si>
  <si>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</si>
  <si>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</si>
  <si>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</si>
  <si>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</si>
  <si>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</si>
  <si>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</si>
  <si>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</si>
  <si>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</si>
  <si>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</si>
  <si>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</si>
  <si>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</si>
  <si>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</si>
  <si>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</si>
  <si>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</si>
  <si>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</si>
  <si>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</si>
  <si>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</si>
  <si>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</si>
  <si>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</si>
  <si>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</si>
  <si>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</si>
  <si>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</si>
  <si>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</si>
  <si>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</si>
  <si>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</si>
  <si>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</si>
  <si>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</si>
  <si>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</si>
  <si>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</si>
  <si>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</si>
  <si>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</si>
  <si>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</si>
  <si>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</si>
  <si>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</si>
  <si>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</si>
  <si>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</si>
  <si>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</si>
  <si>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</si>
  <si>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</si>
  <si>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</si>
  <si>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</si>
  <si>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</si>
  <si>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</si>
  <si>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</si>
  <si>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</si>
  <si>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</si>
  <si>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</si>
  <si>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</si>
  <si>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</si>
  <si>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</si>
  <si>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</si>
  <si>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</si>
  <si>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</si>
  <si>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</si>
  <si>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</si>
  <si>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</si>
  <si>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</si>
  <si>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</si>
  <si>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</si>
  <si>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</si>
  <si>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</si>
  <si>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</si>
  <si>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</si>
  <si>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</si>
  <si>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</si>
  <si>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</si>
  <si>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</si>
  <si>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</si>
  <si>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</si>
  <si>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</si>
  <si>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</si>
  <si>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</si>
  <si>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</si>
  <si>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</si>
  <si>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</si>
  <si>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</si>
  <si>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</si>
  <si>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</si>
  <si>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</si>
  <si>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</si>
  <si>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</si>
  <si>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</si>
  <si>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</si>
  <si>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</si>
  <si>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</si>
  <si>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</si>
  <si>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</si>
  <si>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</si>
  <si>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</si>
  <si>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</si>
  <si>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</si>
  <si>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</si>
  <si>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</si>
  <si>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</si>
  <si>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</si>
  <si>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</si>
  <si>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</si>
  <si>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</si>
  <si>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</si>
  <si>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</si>
  <si>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</si>
  <si>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</si>
  <si>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</si>
  <si>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</si>
  <si>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</si>
  <si>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</si>
  <si>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</si>
  <si>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</si>
  <si>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</si>
  <si>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</si>
  <si>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</si>
  <si>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</si>
  <si>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</si>
  <si>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</si>
  <si>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</si>
  <si>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</si>
  <si>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</si>
  <si>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</si>
  <si>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</si>
  <si>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</si>
  <si>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</si>
  <si>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</si>
  <si>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</si>
  <si>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</si>
  <si>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</si>
  <si>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</si>
  <si>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</si>
  <si>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</si>
  <si>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</si>
  <si>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</si>
  <si>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</si>
  <si>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</si>
  <si>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</si>
  <si>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</si>
  <si>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</si>
  <si>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</si>
  <si>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</si>
  <si>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</si>
  <si>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</si>
  <si>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</si>
  <si>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</si>
  <si>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</si>
  <si>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</si>
  <si>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</si>
  <si>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</si>
  <si>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</si>
  <si>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</si>
  <si>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</si>
  <si>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</si>
  <si>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</si>
  <si>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</si>
  <si>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</si>
  <si>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</si>
  <si>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</si>
  <si>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</si>
  <si>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</si>
  <si>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</si>
  <si>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</si>
  <si>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</si>
  <si>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</si>
  <si>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</si>
  <si>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</si>
  <si>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</si>
  <si>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</si>
  <si>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</si>
  <si>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</si>
  <si>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</si>
  <si>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</si>
  <si>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</si>
  <si>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</si>
  <si>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</si>
  <si>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</si>
  <si>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</si>
  <si>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</si>
  <si>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</si>
  <si>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</si>
  <si>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</si>
  <si>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</si>
  <si>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</si>
  <si>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</si>
  <si>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</si>
  <si>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</si>
  <si>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</si>
  <si>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</si>
  <si>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</si>
  <si>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</si>
  <si>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</si>
  <si>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</si>
  <si>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</si>
  <si>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</si>
  <si>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</si>
  <si>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</si>
  <si>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</si>
  <si>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</si>
  <si>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</si>
  <si>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</si>
  <si>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</si>
  <si>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</si>
  <si>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</si>
  <si>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</si>
  <si>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</si>
  <si>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</si>
  <si>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</si>
  <si>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</si>
  <si>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</si>
  <si>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</si>
  <si>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</si>
  <si>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</si>
  <si>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</si>
  <si>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</si>
  <si>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</si>
  <si>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</si>
  <si>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</si>
  <si>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</si>
  <si>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</si>
  <si>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</si>
  <si>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</si>
  <si>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</si>
  <si>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</si>
  <si>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</si>
  <si>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</si>
  <si>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</si>
  <si>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</si>
  <si>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</si>
  <si>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</si>
  <si>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</si>
  <si>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</si>
  <si>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</si>
  <si>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</si>
  <si>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</si>
  <si>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</si>
  <si>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</si>
  <si>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</si>
  <si>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</si>
  <si>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</si>
  <si>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</si>
  <si>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</si>
  <si>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</si>
  <si>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</si>
  <si>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</si>
  <si>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</si>
  <si>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</si>
  <si>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</si>
  <si>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</si>
  <si>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</si>
  <si>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</si>
  <si>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</si>
  <si>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</si>
  <si>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</si>
  <si>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</si>
  <si>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</si>
  <si>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</si>
  <si>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</si>
  <si>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</si>
  <si>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</si>
  <si>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</si>
  <si>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</si>
  <si>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</si>
  <si>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</si>
  <si>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</si>
  <si>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</si>
  <si>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</si>
  <si>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</si>
  <si>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</si>
  <si>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</si>
  <si>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</si>
  <si>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</si>
  <si>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</si>
  <si>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</si>
  <si>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</si>
  <si>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</si>
  <si>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</si>
  <si>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</si>
  <si>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</si>
  <si>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</si>
  <si>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</si>
  <si>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</si>
  <si>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</si>
  <si>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</si>
  <si>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</si>
  <si>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</si>
  <si>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</si>
  <si>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</si>
  <si>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</si>
  <si>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</si>
  <si>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</si>
  <si>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</si>
  <si>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</si>
  <si>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</si>
  <si>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</si>
  <si>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</si>
  <si>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</si>
  <si>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</si>
  <si>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</si>
  <si>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</si>
  <si>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</si>
  <si>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</si>
  <si>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</si>
  <si>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</si>
  <si>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</si>
  <si>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</si>
  <si>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</si>
  <si>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</si>
  <si>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</si>
  <si>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</si>
  <si>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</si>
  <si>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</si>
  <si>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</si>
  <si>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</si>
  <si>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</si>
  <si>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</si>
  <si>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</si>
  <si>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</si>
  <si>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</si>
  <si>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</si>
  <si>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</si>
  <si>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</si>
  <si>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</si>
  <si>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</si>
  <si>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</si>
  <si>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</si>
  <si>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</si>
  <si>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</si>
  <si>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</si>
  <si>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</si>
  <si>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</si>
  <si>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</si>
  <si>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</si>
  <si>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</si>
  <si>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</si>
  <si>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</si>
  <si>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</si>
  <si>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</si>
  <si>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</si>
  <si>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</si>
  <si>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</si>
  <si>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</si>
  <si>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</si>
  <si>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</si>
  <si>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</si>
  <si>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</si>
  <si>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</si>
  <si>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</si>
  <si>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</si>
  <si>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</si>
  <si>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</si>
  <si>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</si>
  <si>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</si>
  <si>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</si>
  <si>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</si>
  <si>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</si>
  <si>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</si>
  <si>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</si>
  <si>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</si>
  <si>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</si>
  <si>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</si>
  <si>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</si>
  <si>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</si>
  <si>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</si>
  <si>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</si>
  <si>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</si>
  <si>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</si>
  <si>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</si>
  <si>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</si>
  <si>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</si>
  <si>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</si>
  <si>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</si>
  <si>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</si>
  <si>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</si>
  <si>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</si>
  <si>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</si>
  <si>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</si>
  <si>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</si>
  <si>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</si>
  <si>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</si>
  <si>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</si>
  <si>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</si>
  <si>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</si>
  <si>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</si>
  <si>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</si>
  <si>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</si>
  <si>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</si>
  <si>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</si>
  <si>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</si>
  <si>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</si>
  <si>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</si>
  <si>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</si>
  <si>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</si>
  <si>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</si>
  <si>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</si>
  <si>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</si>
  <si>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</si>
  <si>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</si>
  <si>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</si>
  <si>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</si>
  <si>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</si>
  <si>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</si>
  <si>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</si>
  <si>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</si>
  <si>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</si>
  <si>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</si>
  <si>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</si>
  <si>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</si>
  <si>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</si>
  <si>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</si>
  <si>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</si>
  <si>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</si>
  <si>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</si>
  <si>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</si>
  <si>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</si>
  <si>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</si>
  <si>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</si>
  <si>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</si>
  <si>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</si>
  <si>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</si>
  <si>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</si>
  <si>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</si>
  <si>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</si>
  <si>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</si>
  <si>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</si>
  <si>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</si>
  <si>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</si>
  <si>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</si>
  <si>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</si>
  <si>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</si>
  <si>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</si>
  <si>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</si>
  <si>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</si>
  <si>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</si>
  <si>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</si>
  <si>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</si>
  <si>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</si>
  <si>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</si>
  <si>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</si>
  <si>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</si>
  <si>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</si>
  <si>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</si>
  <si>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</si>
  <si>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</si>
  <si>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</si>
  <si>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</si>
  <si>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</si>
  <si>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</si>
  <si>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</si>
  <si>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</si>
  <si>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</si>
  <si>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</si>
  <si>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</si>
  <si>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</si>
  <si>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</si>
  <si>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</si>
  <si>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</si>
  <si>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</si>
  <si>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</si>
  <si>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</si>
  <si>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</si>
  <si>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</si>
  <si>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</si>
  <si>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</si>
  <si>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</si>
  <si>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</si>
  <si>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</si>
  <si>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</si>
  <si>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</si>
  <si>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</si>
  <si>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</si>
  <si>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</si>
  <si>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</si>
  <si>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</si>
  <si>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</si>
  <si>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</si>
  <si>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</si>
  <si>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</si>
  <si>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</si>
  <si>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</si>
  <si>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</si>
  <si>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</si>
  <si>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</si>
  <si>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</si>
  <si>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</si>
  <si>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</si>
  <si>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</si>
  <si>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</si>
  <si>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</si>
  <si>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</si>
  <si>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</si>
  <si>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</si>
  <si>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</si>
  <si>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</si>
  <si>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</si>
  <si>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</si>
  <si>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</si>
  <si>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</si>
  <si>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</si>
  <si>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</si>
  <si>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</si>
  <si>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</si>
  <si>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</si>
  <si>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</si>
  <si>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</si>
  <si>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</si>
  <si>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</si>
  <si>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</si>
  <si>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</si>
  <si>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</si>
  <si>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</si>
  <si>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</si>
  <si>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</si>
  <si>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</si>
  <si>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</si>
  <si>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</si>
  <si>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</si>
  <si>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</si>
  <si>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</si>
  <si>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</si>
  <si>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</si>
  <si>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</si>
  <si>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</si>
  <si>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</si>
  <si>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</si>
  <si>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</si>
  <si>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</si>
  <si>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</si>
  <si>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</si>
  <si>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</si>
  <si>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</si>
  <si>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</si>
  <si>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</si>
  <si>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</si>
  <si>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</si>
  <si>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</si>
  <si>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</si>
  <si>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</si>
  <si>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</si>
  <si>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</si>
  <si>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</si>
  <si>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</si>
  <si>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</si>
  <si>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</si>
  <si>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</si>
  <si>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</si>
  <si>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</si>
  <si>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</si>
  <si>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</si>
  <si>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</si>
  <si>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</si>
  <si>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</si>
  <si>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</si>
  <si>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</si>
  <si>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</si>
  <si>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</si>
  <si>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</si>
  <si>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</si>
  <si>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</si>
  <si>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</si>
  <si>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</si>
  <si>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</si>
  <si>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</si>
  <si>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</si>
  <si>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</si>
  <si>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</si>
  <si>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</si>
  <si>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</si>
  <si>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</si>
  <si>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</si>
  <si>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</si>
  <si>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</si>
  <si>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</si>
  <si>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</si>
  <si>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</si>
  <si>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</si>
  <si>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</si>
  <si>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</si>
  <si>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</si>
  <si>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</si>
  <si>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</si>
  <si>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</si>
  <si>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</si>
  <si>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</si>
  <si>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</si>
  <si>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</si>
  <si>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</si>
  <si>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</si>
  <si>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</si>
  <si>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</si>
  <si>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</si>
  <si>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</si>
  <si>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</si>
  <si>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</si>
  <si>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</si>
  <si>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</si>
  <si>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</si>
  <si>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</si>
  <si>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</si>
  <si>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</si>
  <si>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</si>
  <si>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</si>
  <si>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</si>
  <si>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</si>
  <si>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</si>
  <si>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</si>
  <si>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</si>
  <si>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</si>
  <si>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</si>
  <si>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</si>
  <si>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</si>
  <si>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</si>
  <si>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</si>
  <si>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</si>
  <si>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</si>
  <si>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</si>
  <si>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</si>
  <si>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</si>
  <si>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</si>
  <si>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</si>
  <si>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</si>
  <si>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</si>
  <si>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</si>
  <si>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</si>
  <si>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</si>
  <si>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</si>
  <si>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</si>
  <si>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</si>
  <si>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</si>
  <si>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</si>
  <si>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</si>
  <si>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</si>
  <si>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</si>
  <si>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</si>
  <si>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</si>
  <si>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</si>
  <si>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</si>
  <si>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</si>
  <si>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</si>
  <si>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</si>
  <si>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</si>
  <si>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</si>
  <si>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</si>
  <si>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</si>
  <si>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</si>
  <si>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</si>
  <si>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</si>
  <si>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</si>
  <si>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</si>
  <si>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</si>
  <si>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</si>
  <si>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</si>
  <si>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</si>
  <si>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</si>
  <si>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</si>
  <si>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</si>
  <si>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</si>
  <si>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</si>
  <si>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</si>
  <si>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</si>
  <si>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</si>
  <si>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</si>
  <si>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</si>
  <si>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</si>
  <si>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</si>
  <si>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</si>
  <si>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</si>
  <si>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</si>
  <si>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</si>
  <si>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</si>
  <si>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</si>
  <si>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</si>
  <si>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</si>
  <si>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</si>
  <si>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</si>
  <si>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</si>
  <si>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</si>
  <si>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</si>
  <si>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</si>
  <si>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</si>
  <si>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</si>
  <si>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</si>
  <si>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</si>
  <si>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</si>
  <si>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</si>
  <si>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</si>
  <si>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</si>
  <si>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</si>
  <si>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</si>
  <si>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</si>
  <si>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</si>
  <si>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</si>
  <si>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</si>
  <si>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</si>
  <si>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</si>
  <si>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</si>
  <si>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</si>
  <si>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</si>
  <si>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</si>
  <si>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</si>
  <si>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</si>
  <si>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</si>
  <si>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</si>
  <si>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</si>
  <si>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</si>
  <si>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</si>
  <si>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</si>
  <si>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</si>
  <si>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</si>
  <si>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</si>
  <si>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</si>
  <si>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</si>
  <si>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</si>
  <si>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</si>
  <si>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</si>
  <si>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</si>
  <si>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</si>
  <si>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</si>
  <si>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</si>
  <si>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</si>
  <si>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</si>
  <si>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</si>
  <si>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</si>
  <si>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</si>
  <si>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</si>
  <si>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</si>
  <si>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</si>
  <si>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</si>
  <si>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</si>
  <si>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</si>
  <si>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</si>
  <si>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</si>
  <si>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</si>
  <si>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</si>
  <si>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</si>
  <si>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</si>
  <si>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</si>
  <si>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</si>
  <si>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</si>
  <si>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</si>
  <si>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</si>
  <si>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</si>
  <si>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</si>
  <si>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</si>
  <si>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</si>
  <si>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</si>
  <si>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</si>
  <si>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</si>
  <si>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</si>
  <si>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</si>
  <si>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</si>
  <si>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</si>
  <si>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</si>
  <si>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</si>
  <si>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</si>
  <si>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</si>
  <si>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</si>
  <si>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</si>
  <si>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</si>
  <si>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</si>
  <si>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</si>
  <si>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</si>
  <si>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</si>
  <si>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</si>
  <si>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</si>
  <si>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</si>
  <si>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</si>
  <si>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</si>
  <si>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</si>
  <si>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</si>
  <si>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</si>
  <si>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</si>
  <si>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</si>
  <si>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</si>
  <si>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</si>
  <si>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</si>
  <si>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</si>
  <si>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</si>
  <si>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</si>
  <si>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</si>
  <si>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</si>
  <si>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</si>
  <si>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</si>
  <si>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</si>
  <si>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</si>
  <si>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</si>
  <si>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</si>
  <si>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</si>
  <si>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</si>
  <si>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</si>
  <si>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</si>
  <si>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</si>
  <si>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</si>
  <si>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</si>
  <si>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</si>
  <si>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</si>
  <si>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</si>
  <si>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</si>
  <si>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</si>
  <si>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</si>
  <si>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</si>
  <si>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</si>
  <si>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</si>
  <si>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</si>
  <si>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</si>
  <si>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</si>
  <si>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</si>
  <si>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</si>
  <si>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</si>
  <si>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</si>
  <si>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</si>
  <si>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</si>
  <si>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</si>
  <si>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</si>
  <si>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</si>
  <si>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</si>
  <si>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</si>
  <si>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</si>
  <si>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</si>
  <si>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</si>
  <si>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</si>
  <si>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</si>
  <si>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</si>
  <si>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</si>
  <si>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</si>
  <si>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</si>
  <si>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</si>
  <si>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</si>
  <si>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</si>
  <si>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</si>
  <si>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</si>
  <si>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</si>
  <si>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</si>
  <si>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</si>
  <si>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</si>
  <si>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</si>
  <si>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</si>
  <si>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</si>
  <si>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</si>
  <si>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</si>
  <si>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</si>
  <si>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</si>
  <si>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</si>
  <si>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</si>
  <si>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</si>
  <si>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</si>
  <si>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</si>
  <si>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</si>
  <si>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</si>
  <si>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</si>
  <si>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</si>
  <si>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</si>
  <si>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</si>
  <si>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</si>
  <si>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</si>
  <si>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</si>
  <si>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</si>
  <si>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</si>
  <si>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</si>
  <si>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</si>
  <si>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</si>
  <si>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</si>
  <si>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</si>
  <si>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</si>
  <si>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</si>
  <si>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</si>
  <si>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</si>
  <si>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</si>
  <si>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</si>
  <si>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</si>
  <si>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</si>
  <si>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</si>
  <si>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</si>
  <si>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</si>
  <si>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</si>
  <si>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</si>
  <si>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</si>
  <si>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</si>
  <si>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</si>
  <si>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</si>
  <si>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</si>
  <si>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</si>
  <si>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</si>
  <si>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</si>
  <si>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</si>
  <si>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</si>
  <si>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</si>
  <si>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</si>
  <si>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</si>
  <si>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</si>
  <si>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</si>
  <si>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</si>
  <si>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</si>
  <si>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</si>
  <si>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</si>
  <si>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</si>
  <si>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</si>
  <si>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</si>
  <si>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</si>
  <si>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</si>
  <si>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</si>
  <si>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</si>
  <si>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</si>
  <si>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</si>
  <si>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</si>
  <si>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</si>
  <si>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</si>
  <si>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</si>
  <si>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</si>
  <si>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</si>
  <si>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</si>
  <si>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</si>
  <si>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</si>
  <si>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</si>
  <si>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</si>
  <si>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</si>
  <si>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</si>
  <si>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</si>
  <si>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</si>
  <si>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</si>
  <si>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</si>
  <si>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</si>
  <si>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</si>
  <si>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</si>
  <si>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</si>
  <si>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</si>
  <si>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</si>
  <si>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</si>
  <si>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</si>
  <si>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</si>
  <si>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</si>
  <si>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</si>
  <si>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</si>
  <si>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</si>
  <si>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</si>
  <si>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</si>
  <si>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</si>
  <si>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</si>
  <si>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</si>
  <si>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</si>
  <si>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</si>
  <si>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</si>
  <si>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</si>
  <si>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</si>
  <si>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</si>
  <si>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</si>
  <si>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</si>
  <si>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</si>
  <si>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</si>
  <si>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</si>
  <si>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</si>
  <si>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</si>
  <si>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</si>
  <si>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</si>
  <si>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</si>
  <si>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</si>
  <si>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</si>
  <si>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</si>
  <si>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</si>
  <si>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</si>
  <si>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</si>
  <si>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</si>
  <si>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</si>
  <si>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</si>
  <si>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</si>
  <si>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</si>
  <si>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</si>
  <si>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</si>
  <si>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</si>
  <si>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</si>
  <si>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</si>
  <si>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</si>
  <si>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</si>
  <si>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</si>
  <si>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</si>
  <si>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</si>
  <si>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</si>
  <si>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</si>
  <si>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</si>
  <si>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</si>
  <si>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</si>
  <si>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</si>
  <si>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</si>
  <si>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</si>
  <si>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</si>
  <si>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</si>
  <si>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</si>
  <si>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</si>
  <si>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</si>
  <si>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</si>
  <si>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</si>
  <si>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</si>
  <si>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</si>
  <si>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</si>
  <si>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</si>
  <si>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</si>
  <si>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</si>
  <si>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</si>
  <si>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</si>
  <si>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</si>
  <si>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</si>
  <si>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</si>
  <si>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</si>
  <si>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</si>
  <si>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</si>
  <si>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</si>
  <si>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</si>
  <si>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</si>
  <si>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</si>
  <si>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</si>
  <si>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</si>
  <si>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</si>
  <si>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</si>
  <si>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</si>
  <si>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</si>
  <si>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</si>
  <si>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</si>
  <si>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</si>
  <si>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</si>
  <si>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</si>
  <si>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</si>
  <si>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</si>
  <si>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</si>
  <si>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</si>
  <si>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</si>
  <si>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</si>
  <si>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</si>
  <si>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</si>
  <si>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</si>
  <si>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</si>
  <si>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</si>
  <si>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</si>
  <si>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</si>
  <si>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</si>
  <si>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</si>
  <si>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</si>
  <si>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</si>
  <si>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</si>
  <si>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</si>
  <si>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</si>
  <si>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</si>
  <si>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</si>
  <si>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</si>
  <si>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</si>
  <si>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</si>
  <si>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</si>
  <si>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</si>
  <si>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</si>
  <si>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</si>
  <si>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</si>
  <si>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</si>
  <si>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</si>
  <si>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</si>
  <si>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</si>
  <si>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</si>
  <si>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</si>
  <si>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</si>
  <si>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</si>
  <si>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</si>
  <si>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</si>
  <si>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</si>
  <si>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</si>
  <si>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</si>
  <si>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</si>
  <si>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</si>
  <si>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</si>
  <si>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</si>
  <si>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</si>
  <si>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</si>
  <si>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</si>
  <si>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</si>
  <si>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</si>
  <si>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</si>
  <si>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</si>
  <si>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</si>
  <si>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</si>
  <si>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</si>
  <si>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</si>
  <si>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</si>
  <si>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</si>
  <si>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</si>
  <si>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</si>
  <si>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</si>
  <si>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</si>
  <si>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</si>
  <si>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</si>
  <si>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</si>
  <si>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</si>
  <si>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</si>
  <si>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</si>
  <si>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</si>
  <si>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</si>
  <si>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</si>
  <si>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</si>
  <si>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</si>
  <si>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</si>
  <si>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</si>
  <si>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</si>
  <si>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</si>
  <si>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</si>
  <si>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</si>
  <si>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</si>
  <si>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</si>
  <si>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</si>
  <si>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</si>
  <si>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</si>
  <si>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</si>
  <si>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</si>
  <si>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</si>
  <si>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</si>
  <si>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</si>
  <si>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</si>
  <si>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</si>
  <si>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</si>
  <si>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</si>
  <si>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</si>
  <si>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</si>
  <si>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</si>
  <si>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</si>
  <si>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</si>
  <si>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</si>
  <si>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</si>
  <si>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</si>
  <si>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</si>
  <si>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</si>
  <si>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</si>
  <si>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</si>
  <si>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</si>
  <si>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</si>
  <si>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</si>
  <si>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</si>
  <si>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</si>
  <si>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</si>
  <si>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</si>
  <si>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</si>
  <si>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</si>
  <si>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</si>
  <si>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</si>
  <si>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</si>
  <si>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</si>
  <si>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</si>
  <si>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</si>
  <si>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</si>
  <si>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</si>
  <si>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</si>
  <si>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</si>
  <si>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</si>
  <si>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</si>
  <si>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</si>
  <si>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</si>
  <si>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</si>
  <si>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</si>
  <si>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</si>
  <si>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</si>
  <si>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</si>
  <si>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</si>
  <si>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</si>
  <si>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</si>
  <si>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</si>
  <si>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</si>
  <si>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</si>
  <si>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</si>
  <si>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</si>
  <si>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</si>
  <si>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</si>
  <si>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</si>
  <si>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</si>
  <si>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</si>
  <si>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</si>
  <si>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</si>
  <si>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</si>
  <si>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</si>
  <si>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</si>
  <si>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</si>
  <si>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</si>
  <si>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</si>
  <si>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</si>
  <si>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</si>
  <si>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</si>
  <si>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</si>
  <si>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</si>
  <si>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</si>
  <si>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</si>
  <si>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</si>
  <si>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</si>
  <si>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</si>
  <si>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</si>
  <si>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</si>
  <si>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</si>
  <si>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</si>
  <si>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</si>
  <si>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</si>
  <si>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</si>
  <si>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</si>
  <si>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</si>
  <si>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</si>
  <si>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</si>
  <si>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</si>
  <si>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</si>
  <si>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</si>
  <si>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</si>
  <si>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</si>
  <si>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</si>
  <si>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</si>
  <si>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</si>
  <si>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</si>
  <si>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</si>
  <si>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</si>
  <si>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</si>
  <si>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</si>
  <si>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</si>
  <si>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</si>
  <si>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</si>
  <si>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</si>
  <si>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</si>
  <si>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</si>
  <si>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</si>
  <si>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</si>
  <si>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</si>
  <si>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</si>
  <si>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</si>
  <si>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</si>
  <si>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</si>
  <si>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</si>
  <si>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</si>
  <si>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</si>
  <si>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</si>
  <si>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</si>
  <si>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</si>
  <si>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</si>
  <si>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</si>
  <si>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</si>
  <si>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</si>
  <si>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</si>
  <si>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</si>
  <si>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</si>
  <si>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</si>
  <si>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</si>
  <si>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</si>
  <si>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</si>
  <si>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</si>
  <si>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</si>
  <si>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</si>
  <si>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</si>
  <si>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</si>
  <si>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</si>
  <si>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</si>
  <si>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</si>
  <si>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</si>
  <si>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</si>
  <si>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</si>
  <si>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</si>
  <si>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</si>
  <si>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</si>
  <si>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</si>
  <si>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</si>
  <si>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</si>
  <si>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</si>
  <si>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</si>
  <si>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</si>
  <si>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</si>
  <si>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</si>
  <si>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</si>
  <si>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</si>
  <si>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</si>
  <si>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</si>
  <si>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</si>
  <si>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</si>
  <si>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</si>
  <si>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</si>
  <si>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</si>
  <si>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</si>
  <si>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</si>
  <si>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</si>
  <si>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</si>
  <si>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</si>
  <si>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</si>
  <si>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</si>
  <si>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</si>
  <si>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</si>
  <si>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</si>
  <si>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</si>
  <si>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</si>
  <si>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</si>
  <si>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</si>
  <si>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</si>
  <si>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</si>
  <si>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</si>
  <si>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</si>
  <si>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</si>
  <si>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</si>
  <si>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</si>
  <si>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</si>
  <si>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</si>
  <si>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</si>
  <si>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</si>
  <si>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</si>
  <si>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</si>
  <si>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</si>
  <si>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</si>
  <si>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</si>
  <si>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</si>
  <si>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</si>
  <si>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</si>
  <si>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</si>
  <si>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</si>
  <si>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</si>
  <si>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</si>
  <si>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</si>
  <si>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</si>
  <si>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</si>
  <si>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</si>
  <si>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</si>
  <si>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</si>
  <si>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</si>
  <si>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</si>
  <si>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</si>
  <si>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</si>
  <si>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</si>
  <si>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</si>
  <si>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</si>
  <si>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</si>
  <si>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</si>
  <si>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</si>
  <si>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</si>
  <si>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</si>
  <si>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</si>
  <si>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</si>
  <si>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</si>
  <si>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</si>
  <si>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</si>
  <si>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</si>
  <si>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</si>
  <si>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</si>
  <si>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</si>
  <si>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</si>
  <si>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</si>
  <si>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</si>
  <si>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</si>
  <si>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</si>
  <si>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</si>
  <si>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</si>
  <si>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</si>
  <si>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</si>
  <si>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</si>
  <si>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</si>
  <si>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</si>
  <si>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</si>
  <si>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</si>
  <si>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</si>
  <si>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</si>
  <si>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</si>
  <si>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</si>
  <si>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</si>
  <si>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</si>
  <si>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</si>
  <si>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</si>
  <si>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</si>
  <si>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</si>
  <si>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</si>
  <si>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</si>
  <si>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</si>
  <si>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</si>
  <si>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</si>
  <si>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</si>
  <si>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</si>
  <si>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</si>
  <si>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</si>
  <si>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</si>
  <si>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</si>
  <si>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</si>
  <si>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</si>
  <si>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</si>
  <si>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</si>
  <si>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</si>
  <si>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</si>
  <si>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</si>
  <si>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</si>
  <si>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</si>
  <si>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</si>
  <si>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</si>
  <si>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</si>
  <si>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</si>
  <si>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</si>
  <si>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</si>
  <si>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</si>
  <si>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</si>
  <si>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</si>
  <si>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</si>
  <si>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</si>
  <si>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</si>
  <si>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</si>
  <si>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</si>
  <si>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</si>
  <si>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</si>
  <si>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</si>
  <si>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</si>
  <si>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</si>
  <si>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</si>
  <si>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</si>
  <si>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</si>
  <si>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</si>
  <si>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</si>
  <si>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</si>
  <si>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</si>
  <si>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</si>
  <si>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</si>
  <si>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</si>
  <si>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</si>
  <si>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</si>
  <si>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</si>
  <si>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</si>
  <si>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</si>
  <si>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</si>
  <si>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</si>
  <si>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</si>
  <si>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</si>
  <si>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</si>
  <si>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</si>
  <si>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</si>
  <si>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</si>
  <si>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</si>
  <si>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</si>
  <si>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</si>
  <si>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</si>
  <si>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</si>
  <si>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</si>
  <si>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</si>
  <si>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</si>
  <si>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</si>
  <si>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</si>
  <si>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</si>
  <si>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</si>
  <si>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</si>
  <si>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</si>
  <si>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</si>
  <si>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</si>
  <si>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</si>
  <si>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</si>
  <si>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</si>
  <si>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</si>
  <si>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</si>
  <si>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</si>
  <si>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</si>
  <si>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</si>
  <si>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</si>
  <si>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</si>
  <si>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</si>
  <si>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</si>
  <si>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</si>
  <si>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</si>
  <si>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</si>
  <si>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</si>
  <si>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</si>
  <si>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</si>
  <si>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</si>
  <si>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</si>
  <si>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</si>
  <si>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</si>
  <si>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</si>
  <si>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</si>
  <si>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</si>
  <si>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</si>
  <si>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</si>
  <si>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</si>
  <si>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</si>
  <si>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</si>
  <si>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</si>
  <si>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</si>
  <si>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</si>
  <si>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</si>
  <si>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</si>
  <si>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</si>
  <si>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</si>
  <si>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</si>
  <si>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</si>
  <si>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</si>
  <si>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</si>
  <si>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</si>
  <si>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</si>
  <si>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</si>
  <si>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</si>
  <si>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</si>
  <si>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</si>
  <si>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</si>
  <si>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</si>
  <si>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</si>
  <si>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</si>
  <si>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</si>
  <si>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</si>
  <si>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</si>
  <si>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</si>
  <si>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</si>
  <si>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</si>
  <si>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</si>
  <si>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</si>
  <si>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</si>
  <si>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</si>
  <si>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</si>
  <si>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</si>
  <si>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</si>
  <si>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</si>
  <si>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</si>
  <si>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</si>
  <si>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</si>
  <si>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</si>
  <si>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</si>
  <si>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</si>
  <si>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</si>
  <si>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</si>
  <si>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</si>
  <si>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</si>
  <si>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</si>
  <si>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</si>
  <si>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</si>
  <si>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</si>
  <si>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</si>
  <si>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</si>
  <si>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</si>
  <si>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</si>
  <si>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</si>
  <si>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</si>
  <si>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</si>
  <si>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</si>
  <si>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</si>
  <si>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</si>
  <si>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</si>
  <si>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</si>
  <si>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</si>
  <si>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</si>
  <si>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</si>
  <si>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</si>
  <si>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</si>
  <si>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</si>
  <si>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</si>
  <si>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</si>
  <si>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</si>
  <si>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</si>
  <si>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</si>
  <si>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</si>
  <si>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</si>
  <si>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</si>
  <si>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</si>
  <si>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</si>
  <si>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</si>
  <si>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</si>
  <si>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</si>
  <si>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</si>
  <si>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</si>
  <si>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</si>
  <si>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</si>
  <si>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</si>
  <si>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</si>
  <si>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</si>
  <si>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</si>
  <si>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</si>
  <si>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</si>
  <si>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</si>
  <si>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</si>
  <si>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</si>
  <si>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</si>
  <si>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</si>
  <si>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</si>
  <si>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</si>
  <si>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</si>
  <si>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</si>
  <si>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</si>
  <si>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</si>
  <si>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</si>
  <si>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</si>
  <si>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</si>
  <si>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</si>
  <si>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</si>
  <si>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</si>
  <si>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</si>
  <si>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</si>
  <si>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</si>
  <si>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</si>
  <si>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</si>
  <si>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</si>
  <si>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</si>
  <si>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</si>
  <si>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</si>
  <si>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</si>
  <si>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</si>
  <si>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</si>
  <si>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</si>
  <si>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</si>
  <si>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</si>
  <si>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</si>
  <si>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</si>
  <si>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</si>
  <si>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</si>
  <si>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</si>
  <si>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</si>
  <si>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</si>
  <si>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</si>
  <si>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</si>
  <si>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</si>
  <si>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</si>
  <si>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</si>
  <si>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</si>
  <si>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</si>
  <si>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</si>
  <si>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</si>
  <si>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</si>
  <si>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</si>
  <si>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</si>
  <si>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</si>
  <si>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</si>
  <si>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</si>
  <si>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</si>
  <si>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</si>
  <si>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</si>
  <si>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</si>
  <si>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</si>
  <si>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</si>
  <si>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</si>
  <si>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</si>
  <si>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</si>
  <si>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</si>
  <si>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</si>
  <si>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</si>
  <si>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</si>
  <si>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</si>
  <si>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</si>
  <si>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</si>
  <si>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</si>
  <si>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</si>
  <si>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</si>
  <si>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</si>
  <si>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</si>
  <si>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</si>
  <si>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</si>
  <si>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</si>
  <si>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</si>
  <si>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</si>
  <si>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</si>
  <si>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</si>
  <si>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</si>
  <si>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</si>
  <si>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</si>
  <si>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</si>
  <si>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</si>
  <si>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</si>
  <si>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</si>
  <si>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</si>
  <si>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</si>
  <si>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</si>
  <si>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</si>
  <si>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</si>
  <si>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</si>
  <si>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</si>
  <si>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</si>
  <si>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</si>
  <si>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</si>
  <si>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</si>
  <si>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</si>
  <si>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</si>
  <si>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</si>
  <si>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</si>
  <si>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</si>
  <si>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</si>
  <si>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</si>
  <si>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</si>
  <si>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</si>
  <si>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</si>
  <si>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</si>
  <si>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</si>
  <si>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</si>
  <si>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</si>
  <si>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</si>
  <si>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</si>
  <si>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</si>
  <si>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</si>
  <si>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</si>
  <si>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</si>
  <si>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</si>
  <si>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</si>
  <si>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</si>
  <si>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</si>
  <si>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</si>
  <si>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</si>
  <si>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</si>
  <si>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</si>
  <si>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</si>
  <si>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</si>
  <si>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</si>
  <si>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</si>
  <si>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</si>
  <si>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</si>
  <si>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</si>
  <si>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</si>
  <si>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</si>
  <si>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</si>
  <si>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</si>
  <si>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</si>
  <si>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</si>
  <si>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</si>
  <si>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</si>
  <si>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</si>
  <si>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</si>
  <si>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</si>
  <si>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</si>
  <si>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</si>
  <si>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</si>
  <si>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</si>
  <si>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</si>
  <si>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</si>
  <si>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</si>
  <si>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</si>
  <si>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</si>
  <si>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</si>
  <si>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</si>
  <si>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</si>
  <si>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</si>
  <si>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</si>
  <si>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</si>
  <si>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</si>
  <si>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</si>
  <si>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</si>
  <si>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</si>
  <si>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</si>
  <si>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</si>
  <si>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</si>
  <si>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</si>
  <si>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</si>
  <si>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</si>
  <si>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</si>
  <si>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</si>
  <si>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</si>
  <si>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</si>
  <si>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</si>
  <si>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</si>
  <si>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</si>
  <si>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</si>
  <si>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</si>
  <si>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</si>
  <si>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</si>
  <si>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</si>
  <si>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</si>
  <si>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</si>
  <si>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</si>
  <si>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</si>
  <si>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</si>
  <si>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</si>
  <si>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</si>
  <si>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</si>
  <si>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</si>
  <si>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</si>
  <si>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</si>
  <si>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</si>
  <si>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</si>
  <si>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</si>
  <si>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</si>
  <si>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</si>
  <si>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</si>
  <si>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</si>
  <si>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</si>
  <si>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</si>
  <si>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</si>
  <si>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</si>
  <si>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</si>
  <si>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</si>
  <si>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</si>
  <si>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</si>
  <si>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</si>
  <si>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</si>
  <si>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</si>
  <si>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</si>
  <si>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</si>
  <si>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</si>
  <si>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</si>
  <si>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</si>
  <si>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</si>
  <si>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</si>
  <si>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</si>
  <si>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</si>
  <si>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</si>
  <si>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</si>
  <si>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</si>
  <si>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</si>
  <si>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</si>
  <si>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</si>
  <si>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</si>
  <si>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</si>
  <si>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</si>
  <si>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</si>
  <si>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</si>
  <si>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</si>
  <si>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</si>
  <si>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</si>
  <si>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</si>
  <si>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</si>
  <si>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</si>
  <si>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</si>
  <si>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</si>
  <si>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</si>
  <si>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</si>
  <si>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</si>
  <si>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</si>
  <si>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</si>
  <si>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</si>
  <si>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</si>
  <si>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</si>
  <si>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</si>
  <si>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</si>
  <si>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</si>
  <si>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</si>
  <si>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</si>
  <si>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</si>
  <si>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</si>
  <si>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</si>
  <si>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</si>
  <si>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</si>
  <si>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</si>
  <si>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</si>
  <si>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</si>
  <si>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</si>
  <si>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</si>
  <si>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</si>
  <si>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</si>
  <si>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</si>
  <si>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</si>
  <si>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</si>
  <si>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</si>
  <si>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</si>
  <si>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</si>
  <si>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</si>
  <si>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</si>
  <si>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</si>
  <si>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</si>
  <si>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</si>
  <si>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</si>
  <si>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</si>
  <si>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</si>
  <si>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</si>
  <si>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</si>
  <si>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</si>
  <si>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</si>
  <si>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</si>
  <si>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</si>
  <si>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</si>
  <si>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</si>
  <si>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</si>
  <si>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</si>
  <si>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</si>
  <si>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</si>
  <si>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</si>
  <si>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</si>
  <si>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</si>
  <si>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</si>
  <si>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</si>
  <si>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</si>
  <si>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</si>
  <si>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</si>
  <si>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</si>
  <si>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</si>
  <si>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</si>
  <si>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</si>
  <si>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</si>
  <si>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</si>
  <si>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</si>
  <si>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</si>
  <si>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</si>
  <si>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</si>
  <si>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</si>
  <si>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</si>
  <si>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</si>
  <si>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</si>
  <si>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</si>
  <si>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</si>
  <si>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</si>
  <si>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</si>
  <si>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</si>
  <si>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</si>
  <si>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</si>
  <si>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</si>
  <si>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</si>
  <si>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</si>
  <si>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</si>
  <si>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</si>
  <si>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</si>
  <si>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</si>
  <si>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</si>
  <si>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</si>
  <si>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</si>
  <si>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</si>
  <si>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</si>
  <si>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</si>
  <si>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</si>
  <si>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</si>
  <si>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</si>
  <si>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</si>
  <si>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</si>
  <si>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</si>
  <si>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</si>
  <si>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</si>
  <si>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</si>
  <si>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</si>
  <si>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</si>
  <si>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</si>
  <si>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</si>
  <si>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</si>
  <si>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</si>
  <si>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</si>
  <si>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</si>
  <si>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</si>
  <si>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</si>
  <si>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</si>
  <si>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</si>
  <si>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</si>
  <si>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</si>
  <si>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</si>
  <si>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</si>
  <si>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</si>
  <si>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</si>
  <si>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</si>
  <si>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</si>
  <si>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</si>
  <si>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</si>
  <si>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</si>
  <si>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</si>
  <si>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</si>
  <si>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</si>
  <si>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</si>
  <si>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</si>
  <si>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</si>
  <si>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</si>
  <si>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</si>
  <si>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</si>
  <si>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</si>
  <si>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</si>
  <si>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</si>
  <si>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</si>
  <si>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</si>
  <si>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</si>
  <si>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</si>
  <si>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</si>
  <si>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</si>
  <si>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</si>
  <si>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</si>
  <si>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</si>
  <si>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</si>
  <si>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</si>
  <si>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</si>
  <si>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</si>
  <si>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</si>
  <si>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</si>
  <si>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</si>
  <si>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</si>
  <si>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</si>
  <si>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</si>
  <si>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</si>
  <si>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</si>
  <si>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</si>
  <si>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</si>
  <si>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</si>
  <si>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</si>
  <si>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</si>
  <si>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</si>
  <si>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</si>
  <si>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</si>
  <si>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</si>
  <si>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</si>
  <si>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</si>
  <si>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</si>
  <si>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</si>
  <si>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</si>
  <si>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</si>
  <si>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</si>
  <si>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</si>
  <si>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</si>
  <si>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</si>
  <si>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</si>
  <si>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</si>
  <si>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</si>
  <si>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</si>
  <si>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</si>
  <si>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</si>
  <si>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</si>
  <si>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</si>
  <si>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</si>
  <si>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</si>
  <si>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</si>
  <si>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</si>
  <si>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</si>
  <si>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</si>
  <si>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</si>
  <si>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</si>
  <si>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</si>
  <si>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</si>
  <si>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</si>
  <si>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</si>
  <si>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</si>
  <si>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</si>
  <si>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</si>
  <si>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</si>
  <si>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</si>
  <si>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</si>
  <si>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</si>
  <si>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</si>
  <si>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</si>
  <si>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</si>
  <si>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</si>
  <si>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</si>
  <si>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</si>
  <si>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</si>
  <si>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</si>
  <si>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</si>
  <si>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</si>
  <si>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</si>
  <si>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</si>
  <si>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</si>
  <si>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</si>
  <si>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</si>
  <si>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</si>
  <si>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</si>
  <si>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</si>
  <si>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</si>
  <si>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</si>
  <si>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</si>
  <si>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</si>
  <si>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</si>
  <si>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</si>
  <si>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</si>
  <si>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</si>
  <si>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</si>
  <si>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</si>
  <si>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</si>
  <si>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</si>
  <si>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</si>
  <si>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</si>
  <si>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</si>
  <si>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</si>
  <si>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</si>
  <si>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</si>
  <si>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</si>
  <si>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</si>
  <si>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</si>
  <si>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</si>
  <si>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</si>
  <si>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</si>
  <si>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</si>
  <si>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</si>
  <si>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</si>
  <si>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</si>
  <si>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</si>
  <si>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</si>
  <si>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</si>
  <si>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</si>
  <si>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</si>
  <si>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</si>
  <si>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</si>
  <si>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</si>
  <si>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</si>
  <si>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</si>
  <si>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</si>
  <si>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</si>
  <si>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</si>
  <si>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</si>
  <si>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</si>
  <si>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</si>
  <si>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</si>
  <si>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</si>
  <si>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</si>
  <si>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</si>
  <si>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</si>
  <si>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</si>
  <si>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</si>
  <si>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</si>
  <si>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</si>
  <si>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</si>
  <si>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</si>
  <si>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</si>
  <si>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</si>
  <si>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</si>
  <si>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</si>
  <si>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</si>
  <si>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</si>
  <si>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</si>
  <si>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</si>
  <si>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</si>
  <si>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</si>
  <si>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</si>
  <si>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</si>
  <si>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</si>
  <si>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</si>
  <si>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</si>
  <si>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</si>
  <si>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</si>
  <si>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</si>
  <si>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</si>
  <si>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</si>
  <si>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</si>
  <si>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</si>
  <si>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</si>
  <si>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</si>
  <si>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</si>
  <si>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</si>
  <si>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</si>
  <si>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</si>
  <si>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</si>
  <si>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</si>
  <si>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</si>
  <si>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</si>
  <si>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</si>
  <si>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</si>
  <si>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</si>
  <si>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</si>
  <si>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</si>
  <si>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</si>
  <si>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</si>
  <si>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</si>
  <si>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</si>
  <si>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</si>
  <si>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</si>
  <si>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</si>
  <si>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</si>
  <si>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</si>
  <si>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</si>
  <si>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</si>
  <si>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</si>
  <si>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</si>
  <si>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</si>
  <si>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</si>
  <si>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</si>
  <si>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</si>
  <si>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</si>
  <si>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</si>
  <si>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</si>
  <si>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</si>
  <si>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</si>
  <si>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</si>
  <si>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</si>
  <si>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</si>
  <si>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</si>
  <si>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</si>
  <si>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</si>
  <si>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</si>
  <si>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</si>
  <si>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</si>
  <si>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</si>
  <si>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</si>
  <si>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</si>
  <si>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</si>
  <si>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</si>
  <si>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</si>
  <si>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</si>
  <si>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</si>
  <si>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</si>
  <si>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</si>
  <si>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</si>
  <si>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</si>
  <si>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</si>
  <si>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</si>
  <si>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</si>
  <si>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</si>
  <si>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</si>
  <si>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</si>
  <si>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</si>
  <si>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</si>
  <si>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</si>
  <si>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</si>
  <si>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</si>
  <si>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</si>
  <si>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</si>
  <si>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</si>
  <si>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</si>
  <si>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</si>
  <si>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</si>
  <si>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</si>
  <si>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</si>
  <si>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</si>
  <si>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</si>
  <si>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</si>
  <si>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</si>
  <si>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</si>
  <si>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</si>
  <si>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</si>
  <si>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</si>
  <si>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</si>
  <si>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</si>
  <si>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</si>
  <si>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</si>
  <si>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</si>
  <si>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</si>
  <si>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</si>
  <si>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</si>
  <si>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</si>
  <si>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</si>
  <si>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</si>
  <si>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</si>
  <si>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</si>
  <si>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</si>
  <si>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</si>
  <si>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</si>
  <si>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</si>
  <si>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</si>
  <si>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</si>
  <si>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</si>
  <si>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</si>
  <si>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</si>
  <si>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</si>
  <si>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</si>
  <si>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</si>
  <si>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</si>
  <si>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</si>
  <si>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</si>
  <si>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</si>
  <si>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</si>
  <si>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</si>
  <si>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</si>
  <si>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</si>
  <si>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</si>
  <si>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</si>
  <si>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</si>
  <si>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</si>
  <si>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</si>
  <si>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</si>
  <si>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</si>
  <si>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</si>
  <si>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</si>
  <si>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</si>
  <si>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</si>
  <si>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</si>
  <si>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</si>
  <si>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</si>
  <si>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</si>
  <si>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</si>
  <si>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</si>
  <si>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</si>
  <si>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</si>
  <si>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</si>
  <si>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</si>
  <si>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</si>
  <si>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</si>
  <si>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</si>
  <si>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</si>
  <si>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</si>
  <si>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</si>
  <si>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</si>
  <si>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</si>
  <si>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</si>
  <si>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</si>
  <si>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</si>
  <si>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</si>
  <si>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</si>
  <si>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</si>
  <si>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</si>
  <si>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</si>
  <si>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</si>
  <si>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</si>
  <si>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</si>
  <si>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</si>
  <si>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</si>
  <si>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</si>
  <si>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</si>
  <si>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</si>
  <si>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</si>
  <si>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</si>
  <si>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</si>
  <si>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</si>
  <si>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</si>
  <si>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</si>
  <si>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</si>
  <si>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</si>
  <si>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</si>
  <si>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</si>
  <si>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</si>
  <si>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</si>
  <si>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</si>
  <si>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</si>
  <si>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</si>
  <si>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</si>
  <si>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</si>
  <si>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</si>
  <si>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</si>
  <si>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</si>
  <si>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</si>
  <si>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</si>
  <si>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</si>
  <si>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</si>
  <si>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</si>
  <si>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</si>
  <si>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</si>
  <si>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</si>
  <si>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</si>
  <si>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</si>
  <si>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</si>
  <si>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</si>
  <si>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</si>
  <si>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</si>
  <si>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</si>
  <si>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</si>
  <si>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</si>
  <si>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</si>
  <si>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</si>
  <si>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</si>
  <si>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</si>
  <si>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</si>
  <si>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</si>
  <si>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</si>
  <si>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</si>
  <si>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</si>
  <si>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</si>
  <si>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</si>
  <si>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</si>
  <si>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</si>
  <si>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</si>
  <si>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</si>
  <si>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</si>
  <si>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</si>
  <si>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</si>
  <si>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</si>
  <si>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</si>
  <si>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</si>
  <si>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</si>
  <si>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</si>
  <si>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</si>
  <si>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</si>
  <si>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</si>
  <si>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</si>
  <si>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</si>
  <si>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</si>
  <si>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</si>
  <si>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</si>
  <si>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</si>
  <si>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</si>
  <si>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</si>
  <si>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</si>
  <si>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</si>
  <si>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</si>
  <si>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</si>
  <si>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</si>
  <si>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</si>
  <si>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</si>
  <si>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</si>
  <si>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</si>
  <si>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</si>
  <si>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</si>
  <si>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</si>
  <si>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</si>
  <si>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</si>
  <si>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</si>
  <si>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</si>
  <si>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</si>
  <si>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</si>
  <si>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</si>
  <si>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</si>
  <si>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</si>
  <si>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</si>
  <si>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</si>
  <si>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</si>
  <si>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</si>
  <si>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</si>
  <si>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</si>
  <si>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</si>
  <si>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</si>
  <si>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</si>
  <si>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</si>
  <si>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</si>
  <si>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</si>
  <si>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</si>
  <si>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</si>
  <si>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</si>
  <si>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</si>
  <si>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</si>
  <si>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</si>
  <si>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</si>
  <si>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</si>
  <si>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</si>
  <si>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</si>
  <si>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</si>
  <si>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</si>
  <si>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</si>
  <si>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</si>
  <si>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</si>
  <si>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</si>
  <si>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</si>
  <si>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</si>
  <si>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</si>
  <si>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</si>
  <si>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</si>
  <si>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</si>
  <si>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</si>
  <si>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</si>
  <si>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</si>
  <si>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</si>
  <si>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</si>
  <si>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</si>
  <si>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</si>
  <si>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</si>
  <si>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</si>
  <si>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</si>
  <si>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</si>
  <si>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</si>
  <si>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</si>
  <si>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</si>
  <si>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</si>
  <si>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</si>
  <si>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</si>
  <si>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</si>
  <si>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</si>
  <si>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</si>
  <si>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</si>
  <si>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</si>
  <si>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</si>
  <si>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</si>
  <si>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</si>
  <si>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</si>
  <si>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</si>
  <si>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</si>
  <si>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</si>
  <si>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</si>
  <si>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</si>
  <si>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</si>
  <si>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</si>
  <si>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</si>
  <si>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</si>
  <si>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</si>
  <si>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</si>
  <si>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</si>
  <si>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</si>
  <si>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</si>
  <si>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</si>
  <si>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</si>
  <si>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</si>
  <si>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</si>
  <si>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</si>
  <si>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</si>
  <si>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</si>
  <si>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</si>
  <si>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</si>
  <si>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</si>
  <si>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</si>
  <si>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</si>
  <si>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</si>
  <si>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</si>
  <si>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</si>
  <si>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</si>
  <si>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</si>
  <si>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</si>
  <si>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</si>
  <si>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</si>
  <si>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</si>
  <si>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</si>
  <si>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</si>
  <si>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</si>
  <si>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</si>
  <si>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</si>
  <si>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</si>
  <si>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</si>
  <si>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</si>
  <si>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</si>
  <si>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</si>
  <si>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</si>
  <si>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</si>
  <si>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</si>
  <si>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</si>
  <si>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</si>
  <si>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</si>
  <si>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</si>
  <si>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</si>
  <si>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</si>
  <si>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</si>
  <si>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</si>
  <si>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</si>
  <si>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</si>
  <si>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</si>
  <si>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</si>
  <si>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</si>
  <si>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</si>
  <si>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</si>
  <si>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</si>
  <si>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</si>
  <si>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</si>
  <si>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</si>
  <si>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</si>
  <si>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</si>
  <si>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</si>
  <si>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</si>
  <si>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</si>
  <si>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</si>
  <si>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</si>
  <si>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</si>
  <si>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</si>
  <si>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</si>
  <si>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</si>
  <si>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</si>
  <si>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</si>
  <si>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</si>
  <si>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</si>
  <si>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</si>
  <si>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</si>
  <si>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</si>
  <si>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</si>
  <si>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</si>
  <si>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</si>
  <si>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</si>
  <si>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</si>
  <si>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</si>
  <si>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</si>
  <si>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</si>
  <si>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</si>
  <si>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</si>
  <si>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</si>
  <si>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</si>
  <si>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</si>
  <si>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</si>
  <si>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</si>
  <si>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</si>
  <si>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</si>
  <si>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</si>
  <si>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</si>
  <si>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</si>
  <si>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</si>
  <si>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</si>
  <si>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</si>
  <si>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</si>
  <si>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</si>
  <si>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</si>
  <si>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</si>
  <si>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</si>
  <si>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</si>
  <si>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</si>
  <si>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</si>
  <si>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</si>
  <si>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</si>
  <si>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</si>
  <si>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</si>
  <si>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</si>
  <si>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</si>
  <si>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</si>
  <si>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</si>
  <si>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</si>
  <si>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</si>
  <si>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</si>
  <si>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</si>
  <si>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</si>
  <si>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</si>
  <si>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</si>
  <si>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</si>
  <si>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</si>
  <si>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</si>
  <si>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</si>
  <si>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</si>
  <si>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</si>
  <si>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</si>
  <si>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</si>
  <si>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</si>
  <si>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</si>
  <si>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</si>
  <si>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</si>
  <si>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</si>
  <si>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</si>
  <si>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</si>
  <si>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</si>
  <si>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</si>
  <si>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</si>
  <si>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</si>
  <si>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</si>
  <si>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</si>
  <si>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</si>
  <si>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</si>
  <si>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</si>
  <si>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</si>
  <si>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</si>
  <si>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</si>
  <si>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</si>
  <si>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</si>
  <si>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</si>
  <si>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</si>
  <si>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</si>
  <si>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</si>
  <si>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</si>
  <si>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</si>
  <si>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</si>
  <si>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</si>
  <si>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</si>
  <si>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</si>
  <si>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</si>
  <si>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</si>
  <si>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</si>
  <si>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</si>
  <si>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</si>
  <si>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</si>
  <si>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</si>
  <si>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</si>
  <si>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</si>
  <si>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</si>
  <si>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</si>
  <si>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</si>
  <si>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</si>
  <si>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</si>
  <si>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</si>
  <si>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</si>
  <si>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</si>
  <si>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</si>
  <si>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</si>
  <si>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</si>
  <si>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</si>
  <si>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</si>
  <si>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</si>
  <si>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</si>
  <si>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</si>
  <si>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</si>
  <si>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</si>
  <si>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</si>
  <si>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</si>
  <si>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</si>
  <si>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</si>
  <si>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</si>
  <si>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</si>
  <si>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</si>
  <si>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</si>
  <si>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</si>
  <si>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</si>
  <si>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</si>
  <si>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</si>
  <si>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</si>
  <si>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</si>
  <si>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</si>
  <si>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</si>
  <si>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</si>
  <si>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</si>
  <si>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</si>
  <si>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</si>
  <si>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</si>
  <si>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</si>
  <si>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</si>
  <si>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</si>
  <si>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</si>
  <si>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</si>
  <si>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</si>
  <si>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</si>
  <si>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</si>
  <si>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</si>
  <si>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</si>
  <si>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</si>
  <si>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</si>
  <si>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</si>
  <si>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</si>
  <si>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</si>
  <si>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</si>
  <si>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</si>
  <si>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</si>
  <si>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</si>
  <si>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</si>
  <si>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</si>
  <si>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</si>
  <si>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</si>
  <si>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</si>
  <si>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</si>
  <si>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</si>
  <si>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</si>
  <si>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</si>
  <si>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</si>
  <si>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</si>
  <si>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</si>
  <si>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</si>
  <si>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</si>
  <si>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</si>
  <si>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</si>
  <si>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</si>
  <si>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</si>
  <si>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</si>
  <si>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</si>
  <si>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</si>
  <si>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</si>
  <si>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</si>
  <si>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</si>
  <si>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</si>
  <si>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</si>
  <si>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</si>
  <si>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</si>
  <si>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</si>
  <si>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</si>
  <si>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</si>
  <si>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</si>
  <si>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</si>
  <si>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</si>
  <si>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</si>
  <si>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</si>
  <si>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</si>
  <si>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</si>
  <si>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</si>
  <si>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</si>
  <si>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</si>
  <si>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</si>
  <si>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</si>
  <si>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</si>
  <si>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</si>
  <si>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</si>
  <si>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</si>
  <si>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</si>
  <si>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</si>
  <si>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</si>
  <si>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</si>
  <si>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</si>
  <si>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</si>
  <si>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</si>
  <si>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</si>
  <si>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</si>
  <si>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</si>
  <si>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</si>
  <si>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</si>
  <si>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</si>
  <si>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</si>
  <si>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</si>
  <si>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</si>
  <si>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</si>
  <si>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</si>
  <si>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</si>
  <si>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</si>
  <si>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</si>
  <si>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</si>
  <si>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</si>
  <si>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</si>
  <si>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</si>
  <si>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</si>
  <si>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</si>
  <si>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</si>
  <si>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</si>
  <si>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</si>
  <si>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</si>
  <si>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</si>
  <si>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</si>
  <si>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</si>
  <si>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</si>
  <si>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</si>
  <si>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</si>
  <si>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</si>
  <si>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</si>
  <si>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</si>
  <si>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</si>
  <si>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</si>
  <si>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</si>
  <si>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</si>
  <si>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</si>
  <si>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</si>
  <si>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</si>
  <si>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</si>
  <si>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</si>
  <si>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</si>
  <si>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</si>
  <si>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</si>
  <si>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</si>
  <si>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</si>
  <si>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</si>
  <si>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</si>
  <si>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</si>
  <si>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</si>
  <si>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</si>
  <si>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</si>
  <si>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</si>
  <si>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</si>
  <si>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</si>
  <si>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</si>
  <si>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</si>
  <si>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</si>
  <si>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</si>
  <si>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</si>
  <si>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</si>
  <si>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</si>
  <si>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</si>
  <si>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</si>
  <si>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</si>
  <si>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</si>
  <si>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</si>
  <si>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</si>
  <si>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</si>
  <si>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</si>
  <si>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</si>
  <si>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</si>
  <si>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</si>
  <si>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</si>
  <si>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</si>
  <si>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</si>
  <si>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</si>
  <si>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</si>
  <si>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</si>
  <si>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</si>
  <si>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</si>
  <si>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</si>
  <si>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</si>
  <si>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</si>
  <si>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</si>
  <si>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</si>
  <si>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</si>
  <si>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</si>
  <si>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</si>
  <si>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</si>
  <si>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</si>
  <si>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</si>
  <si>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</si>
  <si>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</si>
  <si>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</si>
  <si>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</si>
  <si>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</si>
  <si>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</si>
  <si>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</si>
  <si>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</si>
  <si>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</si>
  <si>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</si>
  <si>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</si>
  <si>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</si>
  <si>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</si>
  <si>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</si>
  <si>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</si>
  <si>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</si>
  <si>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</si>
  <si>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</si>
  <si>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</si>
  <si>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</si>
  <si>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</si>
  <si>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</si>
  <si>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</si>
  <si>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</si>
  <si>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</si>
  <si>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</si>
  <si>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</si>
  <si>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</si>
  <si>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</si>
  <si>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</si>
  <si>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</si>
  <si>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</si>
  <si>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</si>
  <si>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</si>
  <si>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</si>
  <si>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</si>
  <si>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</si>
  <si>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</si>
  <si>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</si>
  <si>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</si>
  <si>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</si>
  <si>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</si>
  <si>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</si>
  <si>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</si>
  <si>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</si>
  <si>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</si>
  <si>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</si>
  <si>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</si>
  <si>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</si>
  <si>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</si>
  <si>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</si>
  <si>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</si>
  <si>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</si>
  <si>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</si>
  <si>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</si>
  <si>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</si>
  <si>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</si>
  <si>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</si>
  <si>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</si>
  <si>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</si>
  <si>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</si>
  <si>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</si>
  <si>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</si>
  <si>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</si>
  <si>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</si>
  <si>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</si>
  <si>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</si>
  <si>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</si>
  <si>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</si>
  <si>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</si>
  <si>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</si>
  <si>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</si>
  <si>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</si>
  <si>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</si>
  <si>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</si>
  <si>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</si>
  <si>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</si>
  <si>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</si>
  <si>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</si>
  <si>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</si>
  <si>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</si>
  <si>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</si>
  <si>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</si>
  <si>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</si>
  <si>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</si>
  <si>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</si>
  <si>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</si>
  <si>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</si>
  <si>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</si>
  <si>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</si>
  <si>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</si>
  <si>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</si>
  <si>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</si>
  <si>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</si>
  <si>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</si>
  <si>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</si>
  <si>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</si>
  <si>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</si>
  <si>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</si>
  <si>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</si>
  <si>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</si>
  <si>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</si>
  <si>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</si>
  <si>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</si>
  <si>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</si>
  <si>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</si>
  <si>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</si>
  <si>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</si>
  <si>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</si>
  <si>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</si>
  <si>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</si>
  <si>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</si>
  <si>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</si>
  <si>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</si>
  <si>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</si>
  <si>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</si>
  <si>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</si>
  <si>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</si>
  <si>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</si>
  <si>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</si>
  <si>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</si>
  <si>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</si>
  <si>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</si>
  <si>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</si>
  <si>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</si>
  <si>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</si>
  <si>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</si>
  <si>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</si>
  <si>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</si>
  <si>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</si>
  <si>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</si>
  <si>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</si>
  <si>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</si>
  <si>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</si>
  <si>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</si>
  <si>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</si>
  <si>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</si>
  <si>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</si>
  <si>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</si>
  <si>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</si>
  <si>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</si>
  <si>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</si>
  <si>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</si>
  <si>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</si>
  <si>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</si>
  <si>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</si>
  <si>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</si>
  <si>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</si>
  <si>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</si>
  <si>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</si>
  <si>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</si>
  <si>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</si>
  <si>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</si>
  <si>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</si>
  <si>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</si>
  <si>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</si>
  <si>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</si>
  <si>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</si>
  <si>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</si>
  <si>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</si>
  <si>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</si>
  <si>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</si>
  <si>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</si>
  <si>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</si>
  <si>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</si>
  <si>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</si>
  <si>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</si>
  <si>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</si>
  <si>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</si>
  <si>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</si>
  <si>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</si>
  <si>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</si>
  <si>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</si>
  <si>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</si>
  <si>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</si>
  <si>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</si>
  <si>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</si>
  <si>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</si>
  <si>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</si>
  <si>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</si>
  <si>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</si>
  <si>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</si>
  <si>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</si>
  <si>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</si>
  <si>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</si>
  <si>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</si>
  <si>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</si>
  <si>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</si>
  <si>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</si>
  <si>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</si>
  <si>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</si>
  <si>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</si>
  <si>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</si>
  <si>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</si>
  <si>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</si>
  <si>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</si>
  <si>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</si>
  <si>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</si>
  <si>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</si>
  <si>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</si>
  <si>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</si>
  <si>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</si>
  <si>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</si>
  <si>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</si>
  <si>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</si>
  <si>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</si>
  <si>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</si>
  <si>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</si>
  <si>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</si>
  <si>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</si>
  <si>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</si>
  <si>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</si>
  <si>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</si>
  <si>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</si>
  <si>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</si>
  <si>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</si>
  <si>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</si>
  <si>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</si>
  <si>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</si>
  <si>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</si>
  <si>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</si>
  <si>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</si>
  <si>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</si>
  <si>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</si>
  <si>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</si>
  <si>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</si>
  <si>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</si>
  <si>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</si>
  <si>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</si>
  <si>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Icon #scsc</t>
  </si>
  <si>
    <t>wife</t>
  </si>
  <si>
    <t>e$ int #</t>
  </si>
  <si>
    <t xml:space="preserve">anyW </t>
  </si>
  <si>
    <t>USD amounts posted</t>
  </si>
  <si>
    <t>HelloRide #FnF</t>
  </si>
  <si>
    <t>J8 meal 7/1</t>
  </si>
  <si>
    <t>shoe@ChnT</t>
  </si>
  <si>
    <t>年货</t>
  </si>
  <si>
    <t xml:space="preserve">scsc 1.5% 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</si>
  <si>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</si>
  <si>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</si>
  <si>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</si>
  <si>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</si>
  <si>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</si>
  <si>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</si>
  <si>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</si>
  <si>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Eileen #FnF</t>
  </si>
  <si>
    <t>xfer2wife {108</t>
  </si>
  <si>
    <t>5/8k bonus-shar` done</t>
  </si>
  <si>
    <t>HP cartridge</t>
  </si>
  <si>
    <t>spee pillbox</t>
  </si>
  <si>
    <t>MCSA base #Jan</t>
  </si>
  <si>
    <t>Rev10x</t>
  </si>
  <si>
    <t>e$ int #31/1</t>
  </si>
  <si>
    <t>miscSCSC USD</t>
  </si>
  <si>
    <t>randR #bday维和</t>
  </si>
  <si>
    <t>Ploc RBBT</t>
  </si>
  <si>
    <t>T1}cab</t>
  </si>
  <si>
    <t>bonus1/8k</t>
  </si>
  <si>
    <t>waipo gift</t>
  </si>
  <si>
    <t>bx:GCS #initial</t>
  </si>
  <si>
    <t>GCS Year #2</t>
  </si>
  <si>
    <t>Ichiban 3/2</t>
  </si>
  <si>
    <t>Cmlink+Starhub #</t>
  </si>
  <si>
    <t>e$ 3.7%-&gt;31Mar</t>
  </si>
  <si>
    <t>SOD5Feb</t>
  </si>
  <si>
    <t>MB RBBT-P# actual</t>
  </si>
  <si>
    <t>tuition SCB}#153</t>
  </si>
  <si>
    <t xml:space="preserve">Income </t>
  </si>
  <si>
    <t>SgPow+TownC #MCSA</t>
  </si>
  <si>
    <t>FruitParadise #scsc</t>
  </si>
  <si>
    <t>commitment by8/8</t>
  </si>
  <si>
    <t>net liquidity #mine</t>
  </si>
  <si>
    <t>SOD7Feb</t>
  </si>
  <si>
    <t>MCSA}108</t>
  </si>
  <si>
    <t>23.1!yet</t>
  </si>
  <si>
    <t>e$}108</t>
  </si>
  <si>
    <t>ATM till  7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</si>
</sst>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6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6" t="s">
        <v>2699</v>
      </c>
      <c r="T2" s="606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2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2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2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8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8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8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2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2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2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2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2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6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6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6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3140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29"/>
      <c r="X34" s="629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686.27397260273983</v>
      </c>
      <c r="V35" s="438" t="s">
        <v>2782</v>
      </c>
      <c r="W35" s="629"/>
      <c r="X35" s="316">
        <f>SUM(X3:X33)</f>
        <v>50.821917808219183</v>
      </c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685.47</v>
      </c>
      <c r="V36" s="438" t="s">
        <v>3042</v>
      </c>
      <c r="W36" s="629"/>
      <c r="X36" s="316">
        <v>53.66</v>
      </c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6"/>
      <c r="T37" s="316">
        <f>T36-T35</f>
        <v>-0.80397260273980464</v>
      </c>
      <c r="V37" s="438" t="s">
        <v>3061</v>
      </c>
      <c r="W37" s="629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D41" sqref="D41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3146</v>
      </c>
      <c r="I32" s="633" t="s">
        <v>3146</v>
      </c>
      <c r="J32" s="633" t="s">
        <v>3146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42.465753424657535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K34" s="631">
        <f>'HIS19'!LO19</f>
        <v>35.880000000000003</v>
      </c>
    </row>
    <row r="35" spans="2:11">
      <c r="B35" s="399">
        <f>AVERAGE(B3:B33)</f>
        <v>100000</v>
      </c>
      <c r="D35" s="765">
        <f>SUMPRODUCT(D3:D33,E3:E33)/365</f>
        <v>34.006575342465737</v>
      </c>
      <c r="E35" s="765"/>
      <c r="F35" s="400"/>
    </row>
    <row r="36" spans="2:11">
      <c r="B36" s="396" t="s">
        <v>2680</v>
      </c>
      <c r="D36" s="765" t="s">
        <v>2670</v>
      </c>
      <c r="E36" s="765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3166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6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2629</v>
      </c>
      <c r="G12" s="226">
        <f t="shared" si="1"/>
        <v>109175.48</v>
      </c>
      <c r="H12" s="81">
        <v>44701</v>
      </c>
      <c r="I12" s="63" t="s">
        <v>3178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2629</v>
      </c>
      <c r="G13" s="226">
        <f t="shared" si="1"/>
        <v>110985.48</v>
      </c>
      <c r="H13" s="81">
        <v>44727</v>
      </c>
      <c r="I13" s="63" t="s">
        <v>3179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2629</v>
      </c>
      <c r="G14" s="226">
        <f t="shared" si="1"/>
        <v>106859.48</v>
      </c>
      <c r="H14" s="81">
        <v>44788</v>
      </c>
      <c r="I14" s="63" t="s">
        <v>3180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2629</v>
      </c>
      <c r="G17" s="226">
        <f t="shared" si="2"/>
        <v>99359.48</v>
      </c>
      <c r="H17" s="81">
        <v>44910</v>
      </c>
      <c r="I17" s="63" t="s">
        <v>3180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2629</v>
      </c>
      <c r="G21" s="226">
        <f t="shared" ref="G21:G22" si="3">SUM(B21:E21)</f>
        <v>107108.48</v>
      </c>
      <c r="H21" s="81">
        <v>45168</v>
      </c>
      <c r="I21" s="63" t="s">
        <v>3175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2629</v>
      </c>
      <c r="G22" s="226">
        <f t="shared" si="3"/>
        <v>105108.48</v>
      </c>
      <c r="H22" s="81">
        <v>45285</v>
      </c>
      <c r="I22" s="63" t="s">
        <v>3177</v>
      </c>
    </row>
    <row r="23" spans="2:9">
      <c r="B23" s="226"/>
      <c r="C23" s="63" t="s">
        <v>3176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2629</v>
      </c>
      <c r="G24" s="226">
        <f t="shared" ref="G24" si="4">SUM(B24:E24)</f>
        <v>113108.48</v>
      </c>
      <c r="H24" s="81">
        <v>45322</v>
      </c>
      <c r="I24" s="63" t="s">
        <v>3259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5"/>
      <c r="G27" s="63"/>
      <c r="H27" s="63"/>
      <c r="I27" s="63"/>
    </row>
    <row r="28" spans="2:9">
      <c r="B28" s="63"/>
      <c r="C28" s="63"/>
      <c r="D28" s="63"/>
      <c r="E28" s="63"/>
      <c r="F28" s="695"/>
      <c r="G28" s="63"/>
      <c r="H28" s="63"/>
      <c r="I28" s="63"/>
    </row>
    <row r="29" spans="2:9">
      <c r="B29" s="63"/>
      <c r="C29" s="63"/>
      <c r="D29" s="63"/>
      <c r="E29" s="63"/>
      <c r="F29" s="695"/>
      <c r="G29" s="63"/>
      <c r="H29" s="63"/>
      <c r="I29" s="63"/>
    </row>
    <row r="30" spans="2:9">
      <c r="B30" s="63"/>
      <c r="C30" s="63"/>
      <c r="D30" s="63"/>
      <c r="E30" s="63"/>
      <c r="F30" s="695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10" t="s">
        <v>124</v>
      </c>
      <c r="C1" s="710"/>
      <c r="D1" s="713" t="s">
        <v>292</v>
      </c>
      <c r="E1" s="713"/>
      <c r="F1" s="713" t="s">
        <v>341</v>
      </c>
      <c r="G1" s="713"/>
      <c r="H1" s="711" t="s">
        <v>127</v>
      </c>
      <c r="I1" s="711"/>
      <c r="J1" s="707" t="s">
        <v>292</v>
      </c>
      <c r="K1" s="707"/>
      <c r="L1" s="712" t="s">
        <v>520</v>
      </c>
      <c r="M1" s="712"/>
      <c r="N1" s="711" t="s">
        <v>146</v>
      </c>
      <c r="O1" s="711"/>
      <c r="P1" s="707" t="s">
        <v>293</v>
      </c>
      <c r="Q1" s="707"/>
      <c r="R1" s="712" t="s">
        <v>522</v>
      </c>
      <c r="S1" s="712"/>
      <c r="T1" s="701" t="s">
        <v>193</v>
      </c>
      <c r="U1" s="701"/>
      <c r="V1" s="707" t="s">
        <v>292</v>
      </c>
      <c r="W1" s="707"/>
      <c r="X1" s="706" t="s">
        <v>524</v>
      </c>
      <c r="Y1" s="706"/>
      <c r="Z1" s="701" t="s">
        <v>241</v>
      </c>
      <c r="AA1" s="701"/>
      <c r="AB1" s="708" t="s">
        <v>292</v>
      </c>
      <c r="AC1" s="708"/>
      <c r="AD1" s="709" t="s">
        <v>524</v>
      </c>
      <c r="AE1" s="709"/>
      <c r="AF1" s="701" t="s">
        <v>367</v>
      </c>
      <c r="AG1" s="701"/>
      <c r="AH1" s="708" t="s">
        <v>292</v>
      </c>
      <c r="AI1" s="708"/>
      <c r="AJ1" s="706" t="s">
        <v>530</v>
      </c>
      <c r="AK1" s="706"/>
      <c r="AL1" s="701" t="s">
        <v>389</v>
      </c>
      <c r="AM1" s="701"/>
      <c r="AN1" s="718" t="s">
        <v>292</v>
      </c>
      <c r="AO1" s="718"/>
      <c r="AP1" s="716" t="s">
        <v>531</v>
      </c>
      <c r="AQ1" s="716"/>
      <c r="AR1" s="701" t="s">
        <v>416</v>
      </c>
      <c r="AS1" s="701"/>
      <c r="AV1" s="716" t="s">
        <v>285</v>
      </c>
      <c r="AW1" s="716"/>
      <c r="AX1" s="719" t="s">
        <v>998</v>
      </c>
      <c r="AY1" s="719"/>
      <c r="AZ1" s="719"/>
      <c r="BA1" s="207"/>
      <c r="BB1" s="714">
        <v>42942</v>
      </c>
      <c r="BC1" s="715"/>
      <c r="BD1" s="71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00" t="s">
        <v>261</v>
      </c>
      <c r="U4" s="700"/>
      <c r="X4" s="119" t="s">
        <v>233</v>
      </c>
      <c r="Y4" s="123">
        <f>Y3-Y6</f>
        <v>4.9669099999591708</v>
      </c>
      <c r="Z4" s="700" t="s">
        <v>262</v>
      </c>
      <c r="AA4" s="700"/>
      <c r="AD4" s="154" t="s">
        <v>233</v>
      </c>
      <c r="AE4" s="154">
        <f>AE3-AE5</f>
        <v>-52.526899999851594</v>
      </c>
      <c r="AF4" s="700" t="s">
        <v>262</v>
      </c>
      <c r="AG4" s="700"/>
      <c r="AH4" s="143"/>
      <c r="AI4" s="143"/>
      <c r="AJ4" s="154" t="s">
        <v>233</v>
      </c>
      <c r="AK4" s="154">
        <f>AK3-AK5</f>
        <v>94.988909999992757</v>
      </c>
      <c r="AL4" s="700" t="s">
        <v>262</v>
      </c>
      <c r="AM4" s="700"/>
      <c r="AP4" s="170" t="s">
        <v>233</v>
      </c>
      <c r="AQ4" s="174">
        <f>AQ3-AQ5</f>
        <v>33.841989999942598</v>
      </c>
      <c r="AR4" s="700" t="s">
        <v>262</v>
      </c>
      <c r="AS4" s="700"/>
      <c r="AX4" s="700" t="s">
        <v>564</v>
      </c>
      <c r="AY4" s="700"/>
      <c r="BB4" s="700" t="s">
        <v>567</v>
      </c>
      <c r="BC4" s="70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00"/>
      <c r="U5" s="700"/>
      <c r="V5" s="3" t="s">
        <v>258</v>
      </c>
      <c r="W5">
        <v>2050</v>
      </c>
      <c r="X5" s="82"/>
      <c r="Z5" s="700"/>
      <c r="AA5" s="70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00"/>
      <c r="AG5" s="700"/>
      <c r="AH5" s="143"/>
      <c r="AI5" s="143"/>
      <c r="AJ5" s="154" t="s">
        <v>352</v>
      </c>
      <c r="AK5" s="162">
        <f>SUM(AK11:AK59)</f>
        <v>30858.011000000002</v>
      </c>
      <c r="AL5" s="700"/>
      <c r="AM5" s="70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00"/>
      <c r="AS5" s="700"/>
      <c r="AX5" s="700"/>
      <c r="AY5" s="700"/>
      <c r="BB5" s="700"/>
      <c r="BC5" s="700"/>
      <c r="BD5" s="717" t="s">
        <v>999</v>
      </c>
      <c r="BE5" s="717"/>
      <c r="BF5" s="717"/>
      <c r="BG5" s="717"/>
      <c r="BH5" s="717"/>
      <c r="BI5" s="717"/>
      <c r="BJ5" s="717"/>
      <c r="BK5" s="71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02" t="s">
        <v>264</v>
      </c>
      <c r="W23" s="70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04"/>
      <c r="W24" s="70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20" t="s">
        <v>2564</v>
      </c>
      <c r="H3" s="721"/>
      <c r="I3" s="345"/>
      <c r="J3" s="720" t="s">
        <v>2565</v>
      </c>
      <c r="K3" s="721"/>
      <c r="L3" s="273"/>
      <c r="M3" s="720">
        <v>43739</v>
      </c>
      <c r="N3" s="721"/>
      <c r="O3" s="720">
        <v>42401</v>
      </c>
      <c r="P3" s="721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26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27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27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27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27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27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27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27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28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29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30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25">
        <f>G40/F42+H40</f>
        <v>1932511.2781954887</v>
      </c>
      <c r="H43" s="725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24">
        <f>H40*F42+G40</f>
        <v>2570240</v>
      </c>
      <c r="H44" s="724"/>
      <c r="I44" s="2"/>
      <c r="J44" s="724">
        <f>K40*1.37+J40</f>
        <v>1877697.6600000001</v>
      </c>
      <c r="K44" s="724"/>
      <c r="L44" s="2"/>
      <c r="M44" s="724">
        <f>N40*1.37+M40</f>
        <v>1789659</v>
      </c>
      <c r="N44" s="724"/>
      <c r="O44" s="724">
        <f>P40*1.36+O40</f>
        <v>1320187.2</v>
      </c>
      <c r="P44" s="72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23" t="s">
        <v>1186</v>
      </c>
      <c r="C47" s="723"/>
      <c r="D47" s="723"/>
      <c r="E47" s="723"/>
      <c r="F47" s="723"/>
      <c r="G47" s="723"/>
      <c r="H47" s="723"/>
      <c r="I47" s="723"/>
      <c r="J47" s="723"/>
      <c r="K47" s="723"/>
      <c r="L47" s="723"/>
      <c r="M47" s="723"/>
      <c r="N47" s="723"/>
    </row>
    <row r="48" spans="2:16">
      <c r="B48" s="723" t="s">
        <v>2468</v>
      </c>
      <c r="C48" s="723"/>
      <c r="D48" s="723"/>
      <c r="E48" s="723"/>
      <c r="F48" s="723"/>
      <c r="G48" s="723"/>
      <c r="H48" s="723"/>
      <c r="I48" s="723"/>
      <c r="J48" s="723"/>
      <c r="K48" s="723"/>
      <c r="L48" s="723"/>
      <c r="M48" s="723"/>
      <c r="N48" s="723"/>
    </row>
    <row r="49" spans="2:14">
      <c r="B49" s="723" t="s">
        <v>2467</v>
      </c>
      <c r="C49" s="723"/>
      <c r="D49" s="723"/>
      <c r="E49" s="723"/>
      <c r="F49" s="723"/>
      <c r="G49" s="723"/>
      <c r="H49" s="723"/>
      <c r="I49" s="723"/>
      <c r="J49" s="723"/>
      <c r="K49" s="723"/>
      <c r="L49" s="723"/>
      <c r="M49" s="723"/>
      <c r="N49" s="723"/>
    </row>
    <row r="50" spans="2:14">
      <c r="B50" s="722" t="s">
        <v>2466</v>
      </c>
      <c r="C50" s="722"/>
      <c r="D50" s="722"/>
      <c r="E50" s="722"/>
      <c r="F50" s="722"/>
      <c r="G50" s="722"/>
      <c r="H50" s="722"/>
      <c r="I50" s="722"/>
      <c r="J50" s="722"/>
      <c r="K50" s="722"/>
      <c r="L50" s="722"/>
      <c r="M50" s="722"/>
      <c r="N50" s="722"/>
    </row>
    <row r="51" spans="2:14">
      <c r="B51" s="722"/>
      <c r="C51" s="722"/>
      <c r="D51" s="722"/>
      <c r="E51" s="722"/>
      <c r="F51" s="722"/>
      <c r="G51" s="722"/>
      <c r="H51" s="722"/>
      <c r="I51" s="722"/>
      <c r="J51" s="722"/>
      <c r="K51" s="722"/>
      <c r="L51" s="722"/>
      <c r="M51" s="722"/>
      <c r="N51" s="722"/>
    </row>
    <row r="52" spans="2:14">
      <c r="B52" s="722"/>
      <c r="C52" s="722"/>
      <c r="D52" s="722"/>
      <c r="E52" s="722"/>
      <c r="F52" s="722"/>
      <c r="G52" s="722"/>
      <c r="H52" s="722"/>
      <c r="I52" s="722"/>
      <c r="J52" s="722"/>
      <c r="K52" s="722"/>
      <c r="L52" s="722"/>
      <c r="M52" s="722"/>
      <c r="N52" s="72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32" t="s">
        <v>2553</v>
      </c>
      <c r="F38" s="733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31" t="s">
        <v>989</v>
      </c>
      <c r="C41" s="731"/>
      <c r="D41" s="731"/>
      <c r="E41" s="731"/>
      <c r="F41" s="731"/>
      <c r="G41" s="731"/>
      <c r="H41" s="73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10" t="s">
        <v>909</v>
      </c>
      <c r="C1" s="710"/>
      <c r="D1" s="709" t="s">
        <v>515</v>
      </c>
      <c r="E1" s="709"/>
      <c r="F1" s="710" t="s">
        <v>513</v>
      </c>
      <c r="G1" s="710"/>
      <c r="H1" s="737" t="s">
        <v>549</v>
      </c>
      <c r="I1" s="737"/>
      <c r="J1" s="709" t="s">
        <v>515</v>
      </c>
      <c r="K1" s="709"/>
      <c r="L1" s="710" t="s">
        <v>908</v>
      </c>
      <c r="M1" s="710"/>
      <c r="N1" s="737" t="s">
        <v>549</v>
      </c>
      <c r="O1" s="737"/>
      <c r="P1" s="709" t="s">
        <v>515</v>
      </c>
      <c r="Q1" s="709"/>
      <c r="R1" s="710" t="s">
        <v>552</v>
      </c>
      <c r="S1" s="710"/>
      <c r="T1" s="737" t="s">
        <v>549</v>
      </c>
      <c r="U1" s="737"/>
      <c r="V1" s="709" t="s">
        <v>515</v>
      </c>
      <c r="W1" s="709"/>
      <c r="X1" s="710" t="s">
        <v>907</v>
      </c>
      <c r="Y1" s="710"/>
      <c r="Z1" s="737" t="s">
        <v>549</v>
      </c>
      <c r="AA1" s="737"/>
      <c r="AB1" s="709" t="s">
        <v>515</v>
      </c>
      <c r="AC1" s="709"/>
      <c r="AD1" s="710" t="s">
        <v>591</v>
      </c>
      <c r="AE1" s="710"/>
      <c r="AF1" s="737" t="s">
        <v>549</v>
      </c>
      <c r="AG1" s="737"/>
      <c r="AH1" s="709" t="s">
        <v>515</v>
      </c>
      <c r="AI1" s="709"/>
      <c r="AJ1" s="710" t="s">
        <v>906</v>
      </c>
      <c r="AK1" s="710"/>
      <c r="AL1" s="737" t="s">
        <v>626</v>
      </c>
      <c r="AM1" s="737"/>
      <c r="AN1" s="709" t="s">
        <v>627</v>
      </c>
      <c r="AO1" s="709"/>
      <c r="AP1" s="710" t="s">
        <v>621</v>
      </c>
      <c r="AQ1" s="710"/>
      <c r="AR1" s="737" t="s">
        <v>549</v>
      </c>
      <c r="AS1" s="737"/>
      <c r="AT1" s="709" t="s">
        <v>515</v>
      </c>
      <c r="AU1" s="709"/>
      <c r="AV1" s="710" t="s">
        <v>905</v>
      </c>
      <c r="AW1" s="710"/>
      <c r="AX1" s="737" t="s">
        <v>549</v>
      </c>
      <c r="AY1" s="737"/>
      <c r="AZ1" s="709" t="s">
        <v>515</v>
      </c>
      <c r="BA1" s="709"/>
      <c r="BB1" s="710" t="s">
        <v>653</v>
      </c>
      <c r="BC1" s="710"/>
      <c r="BD1" s="737" t="s">
        <v>549</v>
      </c>
      <c r="BE1" s="737"/>
      <c r="BF1" s="709" t="s">
        <v>515</v>
      </c>
      <c r="BG1" s="709"/>
      <c r="BH1" s="710" t="s">
        <v>904</v>
      </c>
      <c r="BI1" s="710"/>
      <c r="BJ1" s="737" t="s">
        <v>549</v>
      </c>
      <c r="BK1" s="737"/>
      <c r="BL1" s="709" t="s">
        <v>515</v>
      </c>
      <c r="BM1" s="709"/>
      <c r="BN1" s="710" t="s">
        <v>921</v>
      </c>
      <c r="BO1" s="710"/>
      <c r="BP1" s="737" t="s">
        <v>549</v>
      </c>
      <c r="BQ1" s="737"/>
      <c r="BR1" s="709" t="s">
        <v>515</v>
      </c>
      <c r="BS1" s="709"/>
      <c r="BT1" s="710" t="s">
        <v>903</v>
      </c>
      <c r="BU1" s="710"/>
      <c r="BV1" s="737" t="s">
        <v>704</v>
      </c>
      <c r="BW1" s="737"/>
      <c r="BX1" s="709" t="s">
        <v>705</v>
      </c>
      <c r="BY1" s="709"/>
      <c r="BZ1" s="710" t="s">
        <v>703</v>
      </c>
      <c r="CA1" s="710"/>
      <c r="CB1" s="737" t="s">
        <v>730</v>
      </c>
      <c r="CC1" s="737"/>
      <c r="CD1" s="709" t="s">
        <v>731</v>
      </c>
      <c r="CE1" s="709"/>
      <c r="CF1" s="710" t="s">
        <v>902</v>
      </c>
      <c r="CG1" s="710"/>
      <c r="CH1" s="737" t="s">
        <v>730</v>
      </c>
      <c r="CI1" s="737"/>
      <c r="CJ1" s="709" t="s">
        <v>731</v>
      </c>
      <c r="CK1" s="709"/>
      <c r="CL1" s="710" t="s">
        <v>748</v>
      </c>
      <c r="CM1" s="710"/>
      <c r="CN1" s="737" t="s">
        <v>730</v>
      </c>
      <c r="CO1" s="737"/>
      <c r="CP1" s="709" t="s">
        <v>731</v>
      </c>
      <c r="CQ1" s="709"/>
      <c r="CR1" s="710" t="s">
        <v>901</v>
      </c>
      <c r="CS1" s="710"/>
      <c r="CT1" s="737" t="s">
        <v>730</v>
      </c>
      <c r="CU1" s="737"/>
      <c r="CV1" s="735" t="s">
        <v>731</v>
      </c>
      <c r="CW1" s="735"/>
      <c r="CX1" s="710" t="s">
        <v>769</v>
      </c>
      <c r="CY1" s="710"/>
      <c r="CZ1" s="737" t="s">
        <v>730</v>
      </c>
      <c r="DA1" s="737"/>
      <c r="DB1" s="735" t="s">
        <v>731</v>
      </c>
      <c r="DC1" s="735"/>
      <c r="DD1" s="710" t="s">
        <v>900</v>
      </c>
      <c r="DE1" s="710"/>
      <c r="DF1" s="737" t="s">
        <v>816</v>
      </c>
      <c r="DG1" s="737"/>
      <c r="DH1" s="735" t="s">
        <v>817</v>
      </c>
      <c r="DI1" s="735"/>
      <c r="DJ1" s="710" t="s">
        <v>809</v>
      </c>
      <c r="DK1" s="710"/>
      <c r="DL1" s="737" t="s">
        <v>816</v>
      </c>
      <c r="DM1" s="737"/>
      <c r="DN1" s="735" t="s">
        <v>731</v>
      </c>
      <c r="DO1" s="735"/>
      <c r="DP1" s="710" t="s">
        <v>899</v>
      </c>
      <c r="DQ1" s="710"/>
      <c r="DR1" s="737" t="s">
        <v>816</v>
      </c>
      <c r="DS1" s="737"/>
      <c r="DT1" s="735" t="s">
        <v>731</v>
      </c>
      <c r="DU1" s="735"/>
      <c r="DV1" s="710" t="s">
        <v>898</v>
      </c>
      <c r="DW1" s="710"/>
      <c r="DX1" s="737" t="s">
        <v>816</v>
      </c>
      <c r="DY1" s="737"/>
      <c r="DZ1" s="735" t="s">
        <v>731</v>
      </c>
      <c r="EA1" s="735"/>
      <c r="EB1" s="710" t="s">
        <v>897</v>
      </c>
      <c r="EC1" s="710"/>
      <c r="ED1" s="737" t="s">
        <v>816</v>
      </c>
      <c r="EE1" s="737"/>
      <c r="EF1" s="735" t="s">
        <v>731</v>
      </c>
      <c r="EG1" s="735"/>
      <c r="EH1" s="710" t="s">
        <v>883</v>
      </c>
      <c r="EI1" s="710"/>
      <c r="EJ1" s="737" t="s">
        <v>816</v>
      </c>
      <c r="EK1" s="737"/>
      <c r="EL1" s="735" t="s">
        <v>936</v>
      </c>
      <c r="EM1" s="735"/>
      <c r="EN1" s="710" t="s">
        <v>922</v>
      </c>
      <c r="EO1" s="710"/>
      <c r="EP1" s="737" t="s">
        <v>816</v>
      </c>
      <c r="EQ1" s="737"/>
      <c r="ER1" s="735" t="s">
        <v>950</v>
      </c>
      <c r="ES1" s="735"/>
      <c r="ET1" s="710" t="s">
        <v>937</v>
      </c>
      <c r="EU1" s="710"/>
      <c r="EV1" s="737" t="s">
        <v>816</v>
      </c>
      <c r="EW1" s="737"/>
      <c r="EX1" s="735" t="s">
        <v>530</v>
      </c>
      <c r="EY1" s="735"/>
      <c r="EZ1" s="710" t="s">
        <v>952</v>
      </c>
      <c r="FA1" s="710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36" t="s">
        <v>779</v>
      </c>
      <c r="CU7" s="710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36" t="s">
        <v>778</v>
      </c>
      <c r="DA8" s="710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36" t="s">
        <v>778</v>
      </c>
      <c r="DG8" s="710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36" t="s">
        <v>778</v>
      </c>
      <c r="DM8" s="710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36" t="s">
        <v>778</v>
      </c>
      <c r="DS8" s="710"/>
      <c r="DT8" s="142" t="s">
        <v>783</v>
      </c>
      <c r="DU8" s="142">
        <f>SUM(DU13:DU17)</f>
        <v>32</v>
      </c>
      <c r="DV8" s="63"/>
      <c r="DW8" s="63"/>
      <c r="DX8" s="736" t="s">
        <v>778</v>
      </c>
      <c r="DY8" s="71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36" t="s">
        <v>928</v>
      </c>
      <c r="EK8" s="71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36" t="s">
        <v>928</v>
      </c>
      <c r="EQ9" s="710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36" t="s">
        <v>928</v>
      </c>
      <c r="EW9" s="710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36" t="s">
        <v>928</v>
      </c>
      <c r="EE11" s="710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36" t="s">
        <v>778</v>
      </c>
      <c r="CU12" s="71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01" t="s">
        <v>782</v>
      </c>
      <c r="CU19" s="701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23" t="s">
        <v>858</v>
      </c>
      <c r="FA21" s="723"/>
      <c r="FC21" s="237">
        <f>FC20-FC22</f>
        <v>113457.16899999997</v>
      </c>
      <c r="FD21" s="229"/>
      <c r="FE21" s="734" t="s">
        <v>1546</v>
      </c>
      <c r="FF21" s="734"/>
      <c r="FG21" s="73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23" t="s">
        <v>871</v>
      </c>
      <c r="FA22" s="723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23" t="s">
        <v>1000</v>
      </c>
      <c r="FA23" s="723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23" t="s">
        <v>1076</v>
      </c>
      <c r="FA24" s="723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3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3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3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39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N2" zoomScaleNormal="100" workbookViewId="0">
      <selection activeCell="LS26" sqref="LS26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85546875" style="686" customWidth="1"/>
    <col min="327" max="327" width="11.42578125" style="686" customWidth="1"/>
    <col min="328" max="328" width="21.85546875" style="686" customWidth="1"/>
    <col min="329" max="329" width="11.28515625" style="686" customWidth="1"/>
    <col min="330" max="330" width="18.85546875" style="686" customWidth="1"/>
    <col min="331" max="331" width="10.5703125" style="686" customWidth="1"/>
    <col min="332" max="332" width="9.140625" style="464" bestFit="1" customWidth="1"/>
    <col min="333" max="333" width="9.28515625" style="340" customWidth="1"/>
    <col min="334" max="16384" width="14.5703125" style="340"/>
  </cols>
  <sheetData>
    <row r="1" spans="1:334">
      <c r="A1" s="740" t="s">
        <v>1209</v>
      </c>
      <c r="B1" s="740"/>
      <c r="C1" s="718" t="s">
        <v>292</v>
      </c>
      <c r="D1" s="718"/>
      <c r="E1" s="716" t="s">
        <v>1010</v>
      </c>
      <c r="F1" s="716"/>
      <c r="G1" s="740" t="s">
        <v>1210</v>
      </c>
      <c r="H1" s="740"/>
      <c r="I1" s="718" t="s">
        <v>292</v>
      </c>
      <c r="J1" s="718"/>
      <c r="K1" s="716" t="s">
        <v>1011</v>
      </c>
      <c r="L1" s="716"/>
      <c r="M1" s="740" t="s">
        <v>1211</v>
      </c>
      <c r="N1" s="740"/>
      <c r="O1" s="718" t="s">
        <v>292</v>
      </c>
      <c r="P1" s="718"/>
      <c r="Q1" s="716" t="s">
        <v>1057</v>
      </c>
      <c r="R1" s="716"/>
      <c r="S1" s="740" t="s">
        <v>1212</v>
      </c>
      <c r="T1" s="740"/>
      <c r="U1" s="718" t="s">
        <v>292</v>
      </c>
      <c r="V1" s="718"/>
      <c r="W1" s="716" t="s">
        <v>627</v>
      </c>
      <c r="X1" s="716"/>
      <c r="Y1" s="740" t="s">
        <v>1213</v>
      </c>
      <c r="Z1" s="740"/>
      <c r="AA1" s="718" t="s">
        <v>292</v>
      </c>
      <c r="AB1" s="718"/>
      <c r="AC1" s="716" t="s">
        <v>1084</v>
      </c>
      <c r="AD1" s="716"/>
      <c r="AE1" s="740" t="s">
        <v>1214</v>
      </c>
      <c r="AF1" s="740"/>
      <c r="AG1" s="718" t="s">
        <v>292</v>
      </c>
      <c r="AH1" s="718"/>
      <c r="AI1" s="716" t="s">
        <v>1134</v>
      </c>
      <c r="AJ1" s="716"/>
      <c r="AK1" s="740" t="s">
        <v>1217</v>
      </c>
      <c r="AL1" s="740"/>
      <c r="AM1" s="718" t="s">
        <v>1132</v>
      </c>
      <c r="AN1" s="718"/>
      <c r="AO1" s="716" t="s">
        <v>1133</v>
      </c>
      <c r="AP1" s="716"/>
      <c r="AQ1" s="740" t="s">
        <v>1218</v>
      </c>
      <c r="AR1" s="740"/>
      <c r="AS1" s="718" t="s">
        <v>1132</v>
      </c>
      <c r="AT1" s="718"/>
      <c r="AU1" s="716" t="s">
        <v>1178</v>
      </c>
      <c r="AV1" s="716"/>
      <c r="AW1" s="740" t="s">
        <v>1215</v>
      </c>
      <c r="AX1" s="740"/>
      <c r="AY1" s="716" t="s">
        <v>1241</v>
      </c>
      <c r="AZ1" s="716"/>
      <c r="BA1" s="740" t="s">
        <v>1215</v>
      </c>
      <c r="BB1" s="740"/>
      <c r="BC1" s="718" t="s">
        <v>816</v>
      </c>
      <c r="BD1" s="718"/>
      <c r="BE1" s="716" t="s">
        <v>1208</v>
      </c>
      <c r="BF1" s="716"/>
      <c r="BG1" s="740" t="s">
        <v>1216</v>
      </c>
      <c r="BH1" s="740"/>
      <c r="BI1" s="718" t="s">
        <v>816</v>
      </c>
      <c r="BJ1" s="718"/>
      <c r="BK1" s="716" t="s">
        <v>1208</v>
      </c>
      <c r="BL1" s="716"/>
      <c r="BM1" s="740" t="s">
        <v>1226</v>
      </c>
      <c r="BN1" s="740"/>
      <c r="BO1" s="718" t="s">
        <v>816</v>
      </c>
      <c r="BP1" s="718"/>
      <c r="BQ1" s="716" t="s">
        <v>1244</v>
      </c>
      <c r="BR1" s="716"/>
      <c r="BS1" s="740" t="s">
        <v>1243</v>
      </c>
      <c r="BT1" s="740"/>
      <c r="BU1" s="718" t="s">
        <v>816</v>
      </c>
      <c r="BV1" s="718"/>
      <c r="BW1" s="716" t="s">
        <v>1248</v>
      </c>
      <c r="BX1" s="716"/>
      <c r="BY1" s="740" t="s">
        <v>1270</v>
      </c>
      <c r="BZ1" s="740"/>
      <c r="CA1" s="718" t="s">
        <v>816</v>
      </c>
      <c r="CB1" s="718"/>
      <c r="CC1" s="716" t="s">
        <v>1244</v>
      </c>
      <c r="CD1" s="716"/>
      <c r="CE1" s="740" t="s">
        <v>1291</v>
      </c>
      <c r="CF1" s="740"/>
      <c r="CG1" s="718" t="s">
        <v>816</v>
      </c>
      <c r="CH1" s="718"/>
      <c r="CI1" s="716" t="s">
        <v>1248</v>
      </c>
      <c r="CJ1" s="716"/>
      <c r="CK1" s="740" t="s">
        <v>1307</v>
      </c>
      <c r="CL1" s="740"/>
      <c r="CM1" s="718" t="s">
        <v>816</v>
      </c>
      <c r="CN1" s="718"/>
      <c r="CO1" s="716" t="s">
        <v>1244</v>
      </c>
      <c r="CP1" s="716"/>
      <c r="CQ1" s="740" t="s">
        <v>1335</v>
      </c>
      <c r="CR1" s="740"/>
      <c r="CS1" s="742" t="s">
        <v>816</v>
      </c>
      <c r="CT1" s="742"/>
      <c r="CU1" s="716" t="s">
        <v>1391</v>
      </c>
      <c r="CV1" s="716"/>
      <c r="CW1" s="740" t="s">
        <v>1374</v>
      </c>
      <c r="CX1" s="740"/>
      <c r="CY1" s="742" t="s">
        <v>816</v>
      </c>
      <c r="CZ1" s="742"/>
      <c r="DA1" s="716" t="s">
        <v>1597</v>
      </c>
      <c r="DB1" s="716"/>
      <c r="DC1" s="740" t="s">
        <v>1394</v>
      </c>
      <c r="DD1" s="740"/>
      <c r="DE1" s="742" t="s">
        <v>816</v>
      </c>
      <c r="DF1" s="742"/>
      <c r="DG1" s="716" t="s">
        <v>1491</v>
      </c>
      <c r="DH1" s="716"/>
      <c r="DI1" s="740" t="s">
        <v>1594</v>
      </c>
      <c r="DJ1" s="740"/>
      <c r="DK1" s="742" t="s">
        <v>816</v>
      </c>
      <c r="DL1" s="742"/>
      <c r="DM1" s="716" t="s">
        <v>1391</v>
      </c>
      <c r="DN1" s="716"/>
      <c r="DO1" s="740" t="s">
        <v>1595</v>
      </c>
      <c r="DP1" s="740"/>
      <c r="DQ1" s="742" t="s">
        <v>816</v>
      </c>
      <c r="DR1" s="742"/>
      <c r="DS1" s="716" t="s">
        <v>1590</v>
      </c>
      <c r="DT1" s="716"/>
      <c r="DU1" s="740" t="s">
        <v>1596</v>
      </c>
      <c r="DV1" s="740"/>
      <c r="DW1" s="742" t="s">
        <v>816</v>
      </c>
      <c r="DX1" s="742"/>
      <c r="DY1" s="716" t="s">
        <v>1616</v>
      </c>
      <c r="DZ1" s="716"/>
      <c r="EA1" s="741" t="s">
        <v>1611</v>
      </c>
      <c r="EB1" s="741"/>
      <c r="EC1" s="742" t="s">
        <v>816</v>
      </c>
      <c r="ED1" s="742"/>
      <c r="EE1" s="716" t="s">
        <v>1590</v>
      </c>
      <c r="EF1" s="716"/>
      <c r="EG1" s="457"/>
      <c r="EH1" s="741" t="s">
        <v>1641</v>
      </c>
      <c r="EI1" s="741"/>
      <c r="EJ1" s="742" t="s">
        <v>816</v>
      </c>
      <c r="EK1" s="742"/>
      <c r="EL1" s="716" t="s">
        <v>1674</v>
      </c>
      <c r="EM1" s="716"/>
      <c r="EN1" s="741" t="s">
        <v>1666</v>
      </c>
      <c r="EO1" s="741"/>
      <c r="EP1" s="742" t="s">
        <v>816</v>
      </c>
      <c r="EQ1" s="742"/>
      <c r="ER1" s="716" t="s">
        <v>1714</v>
      </c>
      <c r="ES1" s="716"/>
      <c r="ET1" s="741" t="s">
        <v>1707</v>
      </c>
      <c r="EU1" s="741"/>
      <c r="EV1" s="742" t="s">
        <v>816</v>
      </c>
      <c r="EW1" s="742"/>
      <c r="EX1" s="716" t="s">
        <v>1616</v>
      </c>
      <c r="EY1" s="716"/>
      <c r="EZ1" s="741" t="s">
        <v>1742</v>
      </c>
      <c r="FA1" s="741"/>
      <c r="FB1" s="742" t="s">
        <v>816</v>
      </c>
      <c r="FC1" s="742"/>
      <c r="FD1" s="716" t="s">
        <v>1597</v>
      </c>
      <c r="FE1" s="716"/>
      <c r="FF1" s="741" t="s">
        <v>1781</v>
      </c>
      <c r="FG1" s="741"/>
      <c r="FH1" s="742" t="s">
        <v>816</v>
      </c>
      <c r="FI1" s="742"/>
      <c r="FJ1" s="716" t="s">
        <v>1391</v>
      </c>
      <c r="FK1" s="716"/>
      <c r="FL1" s="741" t="s">
        <v>1816</v>
      </c>
      <c r="FM1" s="741"/>
      <c r="FN1" s="742" t="s">
        <v>816</v>
      </c>
      <c r="FO1" s="742"/>
      <c r="FP1" s="716" t="s">
        <v>1863</v>
      </c>
      <c r="FQ1" s="716"/>
      <c r="FR1" s="741" t="s">
        <v>1852</v>
      </c>
      <c r="FS1" s="741"/>
      <c r="FT1" s="742" t="s">
        <v>816</v>
      </c>
      <c r="FU1" s="742"/>
      <c r="FV1" s="716" t="s">
        <v>1863</v>
      </c>
      <c r="FW1" s="716"/>
      <c r="FX1" s="741" t="s">
        <v>1965</v>
      </c>
      <c r="FY1" s="741"/>
      <c r="FZ1" s="742" t="s">
        <v>816</v>
      </c>
      <c r="GA1" s="742"/>
      <c r="GB1" s="716" t="s">
        <v>1616</v>
      </c>
      <c r="GC1" s="716"/>
      <c r="GD1" s="741" t="s">
        <v>1966</v>
      </c>
      <c r="GE1" s="741"/>
      <c r="GF1" s="742" t="s">
        <v>816</v>
      </c>
      <c r="GG1" s="742"/>
      <c r="GH1" s="716" t="s">
        <v>1590</v>
      </c>
      <c r="GI1" s="716"/>
      <c r="GJ1" s="741" t="s">
        <v>1975</v>
      </c>
      <c r="GK1" s="741"/>
      <c r="GL1" s="742" t="s">
        <v>816</v>
      </c>
      <c r="GM1" s="742"/>
      <c r="GN1" s="716" t="s">
        <v>1590</v>
      </c>
      <c r="GO1" s="716"/>
      <c r="GP1" s="741" t="s">
        <v>2017</v>
      </c>
      <c r="GQ1" s="741"/>
      <c r="GR1" s="742" t="s">
        <v>816</v>
      </c>
      <c r="GS1" s="742"/>
      <c r="GT1" s="716" t="s">
        <v>1674</v>
      </c>
      <c r="GU1" s="716"/>
      <c r="GV1" s="741" t="s">
        <v>2046</v>
      </c>
      <c r="GW1" s="741"/>
      <c r="GX1" s="742" t="s">
        <v>816</v>
      </c>
      <c r="GY1" s="742"/>
      <c r="GZ1" s="716" t="s">
        <v>2085</v>
      </c>
      <c r="HA1" s="716"/>
      <c r="HB1" s="741" t="s">
        <v>2105</v>
      </c>
      <c r="HC1" s="741"/>
      <c r="HD1" s="742" t="s">
        <v>816</v>
      </c>
      <c r="HE1" s="742"/>
      <c r="HF1" s="716" t="s">
        <v>1714</v>
      </c>
      <c r="HG1" s="716"/>
      <c r="HH1" s="741" t="s">
        <v>2118</v>
      </c>
      <c r="HI1" s="741"/>
      <c r="HJ1" s="742" t="s">
        <v>816</v>
      </c>
      <c r="HK1" s="742"/>
      <c r="HL1" s="716" t="s">
        <v>1391</v>
      </c>
      <c r="HM1" s="716"/>
      <c r="HN1" s="741" t="s">
        <v>2164</v>
      </c>
      <c r="HO1" s="741"/>
      <c r="HP1" s="742" t="s">
        <v>816</v>
      </c>
      <c r="HQ1" s="742"/>
      <c r="HR1" s="716" t="s">
        <v>1391</v>
      </c>
      <c r="HS1" s="716"/>
      <c r="HT1" s="741" t="s">
        <v>2199</v>
      </c>
      <c r="HU1" s="741"/>
      <c r="HV1" s="742" t="s">
        <v>816</v>
      </c>
      <c r="HW1" s="742"/>
      <c r="HX1" s="716" t="s">
        <v>1616</v>
      </c>
      <c r="HY1" s="716"/>
      <c r="HZ1" s="741" t="s">
        <v>2244</v>
      </c>
      <c r="IA1" s="741"/>
      <c r="IB1" s="742" t="s">
        <v>816</v>
      </c>
      <c r="IC1" s="742"/>
      <c r="ID1" s="716" t="s">
        <v>1714</v>
      </c>
      <c r="IE1" s="716"/>
      <c r="IF1" s="741" t="s">
        <v>2309</v>
      </c>
      <c r="IG1" s="741"/>
      <c r="IH1" s="742" t="s">
        <v>816</v>
      </c>
      <c r="II1" s="742"/>
      <c r="IJ1" s="716" t="s">
        <v>1590</v>
      </c>
      <c r="IK1" s="716"/>
      <c r="IL1" s="741" t="s">
        <v>2378</v>
      </c>
      <c r="IM1" s="741"/>
      <c r="IN1" s="742" t="s">
        <v>816</v>
      </c>
      <c r="IO1" s="742"/>
      <c r="IP1" s="716" t="s">
        <v>1616</v>
      </c>
      <c r="IQ1" s="716"/>
      <c r="IR1" s="741" t="s">
        <v>2556</v>
      </c>
      <c r="IS1" s="741"/>
      <c r="IT1" s="742" t="s">
        <v>816</v>
      </c>
      <c r="IU1" s="742"/>
      <c r="IV1" s="716" t="s">
        <v>1747</v>
      </c>
      <c r="IW1" s="716"/>
      <c r="IX1" s="741" t="s">
        <v>2555</v>
      </c>
      <c r="IY1" s="741"/>
      <c r="IZ1" s="742" t="s">
        <v>816</v>
      </c>
      <c r="JA1" s="742"/>
      <c r="JB1" s="716" t="s">
        <v>1863</v>
      </c>
      <c r="JC1" s="716"/>
      <c r="JD1" s="741" t="s">
        <v>2596</v>
      </c>
      <c r="JE1" s="741"/>
      <c r="JF1" s="742" t="s">
        <v>816</v>
      </c>
      <c r="JG1" s="742"/>
      <c r="JH1" s="716" t="s">
        <v>1747</v>
      </c>
      <c r="JI1" s="716"/>
      <c r="JJ1" s="741" t="s">
        <v>2639</v>
      </c>
      <c r="JK1" s="741"/>
      <c r="JL1" s="459" t="s">
        <v>816</v>
      </c>
      <c r="JM1" s="459"/>
      <c r="JN1" s="457" t="s">
        <v>1747</v>
      </c>
      <c r="JO1" s="457"/>
      <c r="JP1" s="458" t="s">
        <v>2691</v>
      </c>
      <c r="JQ1" s="458"/>
      <c r="JR1" s="459" t="s">
        <v>816</v>
      </c>
      <c r="JS1" s="459"/>
      <c r="JT1" s="457" t="s">
        <v>1674</v>
      </c>
      <c r="JU1" s="457"/>
      <c r="JV1" s="458" t="s">
        <v>2736</v>
      </c>
      <c r="JW1" s="458"/>
      <c r="JX1" s="459" t="s">
        <v>816</v>
      </c>
      <c r="JY1" s="459"/>
      <c r="JZ1" s="457" t="s">
        <v>3013</v>
      </c>
      <c r="KA1" s="457"/>
      <c r="KB1" s="458" t="s">
        <v>2837</v>
      </c>
      <c r="KC1" s="458"/>
      <c r="KD1" s="459" t="s">
        <v>816</v>
      </c>
      <c r="KE1" s="459"/>
      <c r="KF1" s="457" t="s">
        <v>1391</v>
      </c>
      <c r="KG1" s="457"/>
      <c r="KH1" s="458" t="s">
        <v>2884</v>
      </c>
      <c r="KI1" s="458"/>
      <c r="KJ1" s="459" t="s">
        <v>816</v>
      </c>
      <c r="KK1" s="459"/>
      <c r="KL1" s="457" t="s">
        <v>1590</v>
      </c>
      <c r="KM1" s="457"/>
      <c r="KN1" s="458" t="s">
        <v>2999</v>
      </c>
      <c r="KO1" s="458"/>
      <c r="KP1" s="459" t="s">
        <v>816</v>
      </c>
      <c r="KQ1" s="459"/>
      <c r="KR1" s="457" t="s">
        <v>1590</v>
      </c>
      <c r="KS1" s="457"/>
      <c r="KT1" s="458" t="s">
        <v>3067</v>
      </c>
      <c r="KU1" s="458"/>
      <c r="KV1" s="459" t="s">
        <v>816</v>
      </c>
      <c r="KW1" s="459"/>
      <c r="KX1" s="615" t="s">
        <v>1590</v>
      </c>
      <c r="KY1" s="457"/>
      <c r="KZ1" s="458" t="s">
        <v>3126</v>
      </c>
      <c r="LA1" s="458"/>
      <c r="LB1" s="617" t="s">
        <v>816</v>
      </c>
      <c r="LC1" s="617"/>
      <c r="LD1" s="615" t="s">
        <v>1747</v>
      </c>
      <c r="LE1" s="615"/>
      <c r="LF1" s="620" t="s">
        <v>3190</v>
      </c>
      <c r="LG1" s="620"/>
      <c r="LH1" s="653" t="s">
        <v>816</v>
      </c>
      <c r="LI1" s="653"/>
      <c r="LJ1" s="650" t="s">
        <v>1747</v>
      </c>
      <c r="LK1" s="650"/>
      <c r="LL1" s="652" t="s">
        <v>3235</v>
      </c>
      <c r="LM1" s="652"/>
      <c r="LN1" s="685" t="s">
        <v>816</v>
      </c>
      <c r="LO1" s="685"/>
      <c r="LP1" s="682" t="s">
        <v>1747</v>
      </c>
      <c r="LQ1" s="682"/>
      <c r="LR1" s="684" t="s">
        <v>3236</v>
      </c>
      <c r="LS1" s="684"/>
    </row>
    <row r="2" spans="1:334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21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3029</v>
      </c>
      <c r="LG2" s="311">
        <f>SUM(LG6:LG32)</f>
        <v>315756.62</v>
      </c>
      <c r="LH2" s="654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3029</v>
      </c>
      <c r="LM2" s="311">
        <f>SUM(LM6:LM35)</f>
        <v>356020.91</v>
      </c>
      <c r="LN2" s="686" t="s">
        <v>3017</v>
      </c>
      <c r="LO2" s="320">
        <f>SUM(LO4:LO27)</f>
        <v>70550.311000000002</v>
      </c>
      <c r="LP2" s="203" t="s">
        <v>296</v>
      </c>
      <c r="LQ2" s="260">
        <f>LO2+LM2-LS2</f>
        <v>70552.310999999987</v>
      </c>
      <c r="LR2" s="686" t="s">
        <v>3029</v>
      </c>
      <c r="LS2" s="311">
        <f>SUM(LS8:LS37)</f>
        <v>356018.91</v>
      </c>
    </row>
    <row r="3" spans="1:334">
      <c r="A3" s="763" t="s">
        <v>991</v>
      </c>
      <c r="B3" s="763"/>
      <c r="E3" s="170" t="s">
        <v>233</v>
      </c>
      <c r="F3" s="174">
        <f>F2-F4</f>
        <v>17</v>
      </c>
      <c r="G3" s="763" t="s">
        <v>991</v>
      </c>
      <c r="H3" s="763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7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7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2339</v>
      </c>
      <c r="LK3" s="260">
        <f>LK2-LI32-LI31</f>
        <v>5762.8010000000122</v>
      </c>
      <c r="LL3" s="450">
        <v>7000</v>
      </c>
      <c r="LM3" s="451">
        <v>45342</v>
      </c>
      <c r="LO3" s="320"/>
      <c r="LP3" s="686" t="s">
        <v>2339</v>
      </c>
      <c r="LQ3" s="260">
        <f>LQ2-LO31-LO30</f>
        <v>2230.2409999999891</v>
      </c>
      <c r="LR3" s="699" t="s">
        <v>3282</v>
      </c>
      <c r="LS3" s="259">
        <f>-50000-135000-71200</f>
        <v>-256200</v>
      </c>
    </row>
    <row r="4" spans="1:334" ht="12.75" customHeight="1" thickBot="1">
      <c r="A4" s="763"/>
      <c r="B4" s="763"/>
      <c r="E4" s="170" t="s">
        <v>352</v>
      </c>
      <c r="F4" s="174">
        <f>SUM(F14:F57)</f>
        <v>12750</v>
      </c>
      <c r="G4" s="763"/>
      <c r="H4" s="763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7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3021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3094</v>
      </c>
      <c r="LG4" s="453" t="s">
        <v>3093</v>
      </c>
      <c r="LH4" s="654" t="s">
        <v>3021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3094</v>
      </c>
      <c r="LM4" s="453" t="s">
        <v>3093</v>
      </c>
      <c r="LN4" s="686" t="s">
        <v>3021</v>
      </c>
      <c r="LO4" s="467"/>
      <c r="LP4" s="686" t="s">
        <v>1203</v>
      </c>
      <c r="LQ4" s="455">
        <f>LQ2-LQ5</f>
        <v>0.1909999999916181</v>
      </c>
      <c r="LR4" s="686" t="s">
        <v>3283</v>
      </c>
      <c r="LS4" s="259">
        <f>SUM(LS2:LS3)</f>
        <v>99818.909999999974</v>
      </c>
    </row>
    <row r="5" spans="1:334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9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7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7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2558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3094</v>
      </c>
      <c r="LA5" s="453" t="s">
        <v>3093</v>
      </c>
      <c r="LB5" s="622" t="s">
        <v>2558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2558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2558</v>
      </c>
      <c r="LO5" s="467">
        <v>-200</v>
      </c>
      <c r="LP5" s="686" t="s">
        <v>352</v>
      </c>
      <c r="LQ5" s="260">
        <f>SUM(LQ6:LQ45)</f>
        <v>70552.12</v>
      </c>
      <c r="LR5" s="450">
        <v>7000</v>
      </c>
      <c r="LS5" s="451">
        <v>45342</v>
      </c>
    </row>
    <row r="6" spans="1:334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1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2" t="s">
        <v>2171</v>
      </c>
      <c r="HU6" s="473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7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90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6" t="s">
        <v>3186</v>
      </c>
      <c r="LC6" s="202">
        <v>200</v>
      </c>
      <c r="LD6" s="445" t="s">
        <v>3101</v>
      </c>
      <c r="LE6" s="260" t="s">
        <v>3100</v>
      </c>
      <c r="LF6" s="491" t="s">
        <v>2990</v>
      </c>
      <c r="LG6" s="454">
        <v>272000</v>
      </c>
      <c r="LH6" s="677"/>
      <c r="LI6" s="467"/>
      <c r="LJ6" s="445" t="s">
        <v>3101</v>
      </c>
      <c r="LK6" s="260" t="s">
        <v>3224</v>
      </c>
      <c r="LL6" s="491" t="s">
        <v>2990</v>
      </c>
      <c r="LM6" s="454">
        <v>282000</v>
      </c>
      <c r="LN6" s="687"/>
      <c r="LO6" s="467"/>
      <c r="LP6" s="445" t="s">
        <v>3101</v>
      </c>
      <c r="LQ6" s="260" t="s">
        <v>3224</v>
      </c>
      <c r="LR6" s="599" t="s">
        <v>3094</v>
      </c>
      <c r="LS6" s="453" t="s">
        <v>3093</v>
      </c>
    </row>
    <row r="7" spans="1:334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9">
        <v>7000</v>
      </c>
      <c r="HU7" s="480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8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7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1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2990</v>
      </c>
      <c r="LA7" s="454">
        <v>262000</v>
      </c>
      <c r="LB7" s="626"/>
      <c r="LC7" s="635"/>
      <c r="LD7" s="445" t="s">
        <v>3135</v>
      </c>
      <c r="LE7" s="260">
        <f>1000+2000+5000</f>
        <v>8000</v>
      </c>
      <c r="LF7" s="621" t="s">
        <v>2897</v>
      </c>
      <c r="LG7" s="259">
        <v>-70600</v>
      </c>
      <c r="LH7" s="660" t="s">
        <v>3214</v>
      </c>
      <c r="LI7" s="202" t="s">
        <v>3213</v>
      </c>
      <c r="LJ7" s="445" t="s">
        <v>3258</v>
      </c>
      <c r="LK7" s="444">
        <v>1900.02</v>
      </c>
      <c r="LL7" s="654" t="s">
        <v>2897</v>
      </c>
      <c r="LM7" s="259">
        <v>-70600</v>
      </c>
      <c r="LN7" s="698" t="s">
        <v>2859</v>
      </c>
      <c r="LO7" s="635">
        <v>70600</v>
      </c>
      <c r="LP7" s="445" t="s">
        <v>1002</v>
      </c>
      <c r="LQ7" s="444"/>
      <c r="LR7" s="452">
        <v>5000</v>
      </c>
      <c r="LS7" s="453">
        <v>45496</v>
      </c>
      <c r="LV7" s="464"/>
    </row>
    <row r="8" spans="1:334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8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8">
        <v>300</v>
      </c>
      <c r="GN8" s="312" t="s">
        <v>1928</v>
      </c>
      <c r="GO8" s="263">
        <f>SUM(GO14)</f>
        <v>0</v>
      </c>
      <c r="GP8" s="204" t="s">
        <v>1952</v>
      </c>
      <c r="GQ8" s="468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8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8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6" t="s">
        <v>2643</v>
      </c>
      <c r="JM8" s="340">
        <v>2.5</v>
      </c>
      <c r="JN8" s="313" t="s">
        <v>2679</v>
      </c>
      <c r="JO8" s="202">
        <v>48.69</v>
      </c>
      <c r="JP8" s="487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8">
        <v>61</v>
      </c>
      <c r="JX8" s="340" t="s">
        <v>2819</v>
      </c>
      <c r="JY8" s="467">
        <v>60</v>
      </c>
      <c r="JZ8" s="414" t="s">
        <v>1002</v>
      </c>
      <c r="KA8" s="340">
        <v>1900.08</v>
      </c>
      <c r="KB8" s="340" t="s">
        <v>3165</v>
      </c>
      <c r="KC8" s="259">
        <v>640008</v>
      </c>
      <c r="KD8" s="340" t="s">
        <v>2858</v>
      </c>
      <c r="KE8" s="488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6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21" t="s">
        <v>3079</v>
      </c>
      <c r="LC8" s="320"/>
      <c r="LD8" s="445" t="s">
        <v>1002</v>
      </c>
      <c r="LE8" s="444">
        <f>1900.01</f>
        <v>1900.01</v>
      </c>
      <c r="LF8" s="621" t="s">
        <v>3002</v>
      </c>
      <c r="LG8" s="259">
        <v>-115915</v>
      </c>
      <c r="LH8" s="660" t="s">
        <v>3201</v>
      </c>
      <c r="LI8" s="635">
        <v>3.4</v>
      </c>
      <c r="LJ8" s="446" t="s">
        <v>2359</v>
      </c>
      <c r="LK8" s="444">
        <v>14.55</v>
      </c>
      <c r="LL8" s="654" t="s">
        <v>3002</v>
      </c>
      <c r="LM8" s="259" t="s">
        <v>3200</v>
      </c>
      <c r="LN8" s="686" t="s">
        <v>3079</v>
      </c>
      <c r="LO8" s="320"/>
      <c r="LP8" s="445" t="s">
        <v>3270</v>
      </c>
      <c r="LQ8" s="444">
        <v>4000</v>
      </c>
      <c r="LR8" s="491" t="s">
        <v>2990</v>
      </c>
      <c r="LS8" s="454">
        <v>282000</v>
      </c>
    </row>
    <row r="9" spans="1:334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8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8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8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8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90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8">
        <v>116</v>
      </c>
      <c r="IU9" s="320"/>
      <c r="IV9" s="305" t="s">
        <v>2497</v>
      </c>
      <c r="IW9" s="202">
        <v>2000</v>
      </c>
      <c r="IX9" s="487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7" t="s">
        <v>2509</v>
      </c>
      <c r="JE9" s="259">
        <f>100*(120+1000+330+310)</f>
        <v>176000</v>
      </c>
      <c r="JF9" s="486" t="s">
        <v>2640</v>
      </c>
      <c r="JH9" s="300" t="s">
        <v>2924</v>
      </c>
      <c r="JI9" s="202">
        <v>1954.8</v>
      </c>
      <c r="JJ9" s="487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6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8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8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8" t="s">
        <v>2943</v>
      </c>
      <c r="KK9" s="395">
        <v>1.77</v>
      </c>
      <c r="KL9" s="300" t="s">
        <v>2942</v>
      </c>
      <c r="KM9" s="340">
        <v>79.72</v>
      </c>
      <c r="KN9" s="491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7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21" t="s">
        <v>2833</v>
      </c>
      <c r="LC9" s="395">
        <v>61.000999999999998</v>
      </c>
      <c r="LD9" s="446" t="s">
        <v>2075</v>
      </c>
      <c r="LE9" s="444">
        <v>291.25</v>
      </c>
      <c r="LF9" s="618" t="s">
        <v>2991</v>
      </c>
      <c r="LG9" s="318">
        <v>-82000</v>
      </c>
      <c r="LH9" s="675" t="s">
        <v>3202</v>
      </c>
      <c r="LI9" s="635">
        <v>793.69</v>
      </c>
      <c r="LJ9" s="446" t="s">
        <v>2475</v>
      </c>
      <c r="LK9" s="444">
        <v>378.81</v>
      </c>
      <c r="LL9" s="658" t="s">
        <v>2991</v>
      </c>
      <c r="LM9" s="318">
        <v>-88000</v>
      </c>
      <c r="LN9" s="686" t="s">
        <v>2833</v>
      </c>
      <c r="LO9" s="395">
        <v>62.000999999999998</v>
      </c>
      <c r="LP9" s="445" t="s">
        <v>3269</v>
      </c>
      <c r="LQ9" s="444">
        <v>1000.01</v>
      </c>
      <c r="LR9" s="686" t="s">
        <v>2897</v>
      </c>
      <c r="LS9" s="259">
        <v>-71200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1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2203</v>
      </c>
      <c r="HS10" s="340">
        <v>156.5</v>
      </c>
      <c r="HT10" s="204" t="s">
        <v>1874</v>
      </c>
      <c r="HU10" s="468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3272</v>
      </c>
      <c r="IK10" s="490">
        <v>3179</v>
      </c>
      <c r="IL10" s="204" t="s">
        <v>2287</v>
      </c>
      <c r="IM10" s="468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2">
        <v>2000</v>
      </c>
      <c r="IX10" s="340" t="s">
        <v>2361</v>
      </c>
      <c r="IY10" s="259">
        <v>360000</v>
      </c>
      <c r="JA10" s="320"/>
      <c r="JB10" s="313" t="s">
        <v>2600</v>
      </c>
      <c r="JC10" s="492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8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8">
        <v>31</v>
      </c>
      <c r="JR10" s="486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8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3253</v>
      </c>
      <c r="KQ10" s="395">
        <v>35.14</v>
      </c>
      <c r="KR10" s="300" t="s">
        <v>3053</v>
      </c>
      <c r="KS10" s="340">
        <v>6.48</v>
      </c>
      <c r="KT10" s="491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2" t="s">
        <v>3251</v>
      </c>
      <c r="LC10" s="395">
        <v>26.18</v>
      </c>
      <c r="LD10" s="446" t="s">
        <v>3188</v>
      </c>
      <c r="LE10" s="444">
        <v>119.42</v>
      </c>
      <c r="LF10" s="623" t="s">
        <v>2570</v>
      </c>
      <c r="LG10" s="259">
        <v>-4000</v>
      </c>
      <c r="LH10" s="675" t="s">
        <v>3206</v>
      </c>
      <c r="LI10" s="635">
        <v>793.69</v>
      </c>
      <c r="LJ10" s="300" t="s">
        <v>3088</v>
      </c>
      <c r="LK10" s="635">
        <v>30</v>
      </c>
      <c r="LL10" s="659" t="s">
        <v>2570</v>
      </c>
      <c r="LM10" s="259">
        <v>-4000</v>
      </c>
      <c r="LN10" s="687" t="s">
        <v>3249</v>
      </c>
      <c r="LO10" s="395"/>
      <c r="LP10" s="446" t="s">
        <v>3279</v>
      </c>
      <c r="LQ10" s="444">
        <v>136.5</v>
      </c>
      <c r="LR10" s="697" t="s">
        <v>3267</v>
      </c>
      <c r="LS10" s="259">
        <v>-135000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8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2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6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3254</v>
      </c>
      <c r="KQ11" s="340">
        <v>200</v>
      </c>
      <c r="KR11" s="588" t="s">
        <v>3041</v>
      </c>
      <c r="KS11" s="444">
        <v>141.03</v>
      </c>
      <c r="KT11" s="340" t="s">
        <v>2897</v>
      </c>
      <c r="KU11" s="259">
        <v>-70600</v>
      </c>
      <c r="KV11" s="592" t="s">
        <v>3255</v>
      </c>
      <c r="KW11" s="395">
        <v>288</v>
      </c>
      <c r="KX11" s="300" t="s">
        <v>3118</v>
      </c>
      <c r="KY11" s="610">
        <v>39.9</v>
      </c>
      <c r="KZ11" s="319" t="s">
        <v>2570</v>
      </c>
      <c r="LA11" s="259">
        <v>-4000</v>
      </c>
      <c r="LB11" s="622" t="s">
        <v>3089</v>
      </c>
      <c r="LC11" s="395">
        <v>5.3</v>
      </c>
      <c r="LD11" s="446" t="s">
        <v>3150</v>
      </c>
      <c r="LE11" s="444">
        <v>11.39</v>
      </c>
      <c r="LF11" s="623" t="s">
        <v>2432</v>
      </c>
      <c r="LG11" s="259">
        <v>0</v>
      </c>
      <c r="LH11" s="692"/>
      <c r="LI11" s="635"/>
      <c r="LJ11" s="300" t="s">
        <v>3222</v>
      </c>
      <c r="LK11" s="635">
        <f>517.75+263.25</f>
        <v>781</v>
      </c>
      <c r="LL11" s="659" t="s">
        <v>2432</v>
      </c>
      <c r="LM11" s="259">
        <v>0</v>
      </c>
      <c r="LN11" s="687" t="s">
        <v>3089</v>
      </c>
      <c r="LO11" s="395"/>
      <c r="LP11" s="446" t="s">
        <v>471</v>
      </c>
      <c r="LQ11" s="444"/>
      <c r="LR11" s="690" t="s">
        <v>2991</v>
      </c>
      <c r="LS11" s="318">
        <v>-87000</v>
      </c>
      <c r="LT11" s="464">
        <v>45327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8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2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6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3252</v>
      </c>
      <c r="KW12" s="395">
        <f>32.02+3.51</f>
        <v>35.53</v>
      </c>
      <c r="KX12" s="300" t="s">
        <v>3112</v>
      </c>
      <c r="KY12" s="610">
        <v>113.21</v>
      </c>
      <c r="KZ12" s="319" t="s">
        <v>3004</v>
      </c>
      <c r="LA12" s="259">
        <v>1548</v>
      </c>
      <c r="LB12" s="647" t="s">
        <v>3183</v>
      </c>
      <c r="LC12" s="395">
        <v>10</v>
      </c>
      <c r="LD12" s="446" t="s">
        <v>2359</v>
      </c>
      <c r="LE12" s="240">
        <v>3200</v>
      </c>
      <c r="LF12" s="623" t="s">
        <v>3082</v>
      </c>
      <c r="LG12" s="259">
        <v>209004</v>
      </c>
      <c r="LH12" s="654" t="s">
        <v>3079</v>
      </c>
      <c r="LI12" s="320"/>
      <c r="LJ12" s="300" t="s">
        <v>3216</v>
      </c>
      <c r="LK12" s="635">
        <v>9.5</v>
      </c>
      <c r="LL12" s="659" t="s">
        <v>3082</v>
      </c>
      <c r="LM12" s="259">
        <v>132010</v>
      </c>
      <c r="LN12" s="696" t="s">
        <v>3263</v>
      </c>
      <c r="LO12" s="395">
        <v>36</v>
      </c>
      <c r="LP12" s="446" t="s">
        <v>471</v>
      </c>
      <c r="LR12" s="691" t="s">
        <v>2570</v>
      </c>
      <c r="LS12" s="259">
        <v>-4000</v>
      </c>
      <c r="LU12" s="259"/>
    </row>
    <row r="13" spans="1:334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7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9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5" t="s">
        <v>3089</v>
      </c>
      <c r="KW13" s="395">
        <v>15</v>
      </c>
      <c r="KX13" s="300" t="s">
        <v>3119</v>
      </c>
      <c r="KY13" s="597">
        <v>91.22</v>
      </c>
      <c r="KZ13" s="596" t="s">
        <v>2432</v>
      </c>
      <c r="LA13" s="259">
        <v>1</v>
      </c>
      <c r="LB13" s="616" t="s">
        <v>2834</v>
      </c>
      <c r="LC13" s="616"/>
      <c r="LD13" s="300" t="s">
        <v>3151</v>
      </c>
      <c r="LE13" s="635">
        <v>734.4</v>
      </c>
      <c r="LF13" s="623" t="s">
        <v>2904</v>
      </c>
      <c r="LG13" s="259">
        <v>101429</v>
      </c>
      <c r="LH13" s="654" t="s">
        <v>3256</v>
      </c>
      <c r="LI13" s="395">
        <v>52.000999999999998</v>
      </c>
      <c r="LJ13" s="300" t="s">
        <v>3226</v>
      </c>
      <c r="LK13" s="635">
        <v>79</v>
      </c>
      <c r="LL13" s="659" t="s">
        <v>2904</v>
      </c>
      <c r="LM13" s="259">
        <v>101434</v>
      </c>
      <c r="LN13" s="686" t="s">
        <v>1798</v>
      </c>
      <c r="LO13" s="395">
        <v>12.48</v>
      </c>
      <c r="LP13" s="300" t="s">
        <v>3266</v>
      </c>
      <c r="LQ13" s="635">
        <v>30</v>
      </c>
      <c r="LR13" s="691" t="s">
        <v>2432</v>
      </c>
      <c r="LS13" s="259">
        <v>0</v>
      </c>
      <c r="LT13" s="464">
        <v>45329</v>
      </c>
      <c r="LU13" s="259"/>
    </row>
    <row r="14" spans="1:334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45" t="s">
        <v>1504</v>
      </c>
      <c r="DP14" s="746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41" t="s">
        <v>2149</v>
      </c>
      <c r="HK14" s="741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3110</v>
      </c>
      <c r="KY14" s="597">
        <f>221.76+48.93</f>
        <v>270.69</v>
      </c>
      <c r="KZ14" s="591" t="s">
        <v>3082</v>
      </c>
      <c r="LA14" s="259">
        <v>233004</v>
      </c>
      <c r="LB14" s="217"/>
      <c r="LC14" s="395"/>
      <c r="LD14" s="300" t="s">
        <v>3152</v>
      </c>
      <c r="LE14" s="635">
        <f>3.06*0</f>
        <v>0</v>
      </c>
      <c r="LF14" s="625" t="s">
        <v>2876</v>
      </c>
      <c r="LG14" s="357"/>
      <c r="LH14" s="655" t="s">
        <v>3250</v>
      </c>
      <c r="LI14" s="395">
        <v>10.24</v>
      </c>
      <c r="LJ14" s="300" t="s">
        <v>3230</v>
      </c>
      <c r="LK14" s="635">
        <v>21.2</v>
      </c>
      <c r="LL14" s="657" t="s">
        <v>2876</v>
      </c>
      <c r="LM14" s="357"/>
      <c r="LN14" s="217" t="s">
        <v>2788</v>
      </c>
      <c r="LP14" s="300" t="s">
        <v>3278</v>
      </c>
      <c r="LQ14" s="635">
        <f>1021.88+238.15</f>
        <v>1260.03</v>
      </c>
      <c r="LR14" s="691" t="s">
        <v>3275</v>
      </c>
      <c r="LS14" s="259">
        <v>265009</v>
      </c>
      <c r="LT14" s="464" t="s">
        <v>3284</v>
      </c>
    </row>
    <row r="15" spans="1:334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7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64" t="s">
        <v>2834</v>
      </c>
      <c r="KE15" s="764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3137</v>
      </c>
      <c r="KY15" s="610">
        <v>49.7</v>
      </c>
      <c r="KZ15" s="319" t="s">
        <v>2904</v>
      </c>
      <c r="LA15" s="259">
        <v>101577</v>
      </c>
      <c r="LB15" s="621" t="s">
        <v>2820</v>
      </c>
      <c r="LC15" s="395"/>
      <c r="LD15" s="300" t="s">
        <v>3118</v>
      </c>
      <c r="LE15" s="635">
        <v>14.9</v>
      </c>
      <c r="LF15" s="618" t="s">
        <v>2993</v>
      </c>
      <c r="LG15" s="318">
        <v>-132</v>
      </c>
      <c r="LH15" s="217" t="s">
        <v>2788</v>
      </c>
      <c r="LI15" s="395">
        <v>9.14</v>
      </c>
      <c r="LJ15" s="300" t="s">
        <v>3229</v>
      </c>
      <c r="LK15" s="635">
        <v>34.380000000000003</v>
      </c>
      <c r="LL15" s="658" t="s">
        <v>2993</v>
      </c>
      <c r="LM15" s="318">
        <v>-76</v>
      </c>
      <c r="LN15" s="693" t="s">
        <v>2834</v>
      </c>
      <c r="LO15" s="693"/>
      <c r="LP15" s="300" t="s">
        <v>2474</v>
      </c>
      <c r="LQ15" s="635"/>
      <c r="LR15" s="691" t="s">
        <v>2904</v>
      </c>
      <c r="LS15" s="259">
        <v>100839</v>
      </c>
      <c r="LT15" s="464">
        <v>45327</v>
      </c>
      <c r="LU15" s="318"/>
    </row>
    <row r="16" spans="1:334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6">
        <v>17.37</v>
      </c>
      <c r="BK16" s="255" t="s">
        <v>1964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3271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3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7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7" t="s">
        <v>2785</v>
      </c>
      <c r="KC16" s="357"/>
      <c r="KD16" s="495"/>
      <c r="KE16" s="495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5" t="s">
        <v>2834</v>
      </c>
      <c r="KW16" s="495"/>
      <c r="KX16" s="254" t="s">
        <v>3111</v>
      </c>
      <c r="KY16" s="610">
        <f>82.2+45.07</f>
        <v>127.27000000000001</v>
      </c>
      <c r="KZ16" s="325" t="s">
        <v>2876</v>
      </c>
      <c r="LA16" s="357"/>
      <c r="LB16" s="618" t="s">
        <v>3068</v>
      </c>
      <c r="LC16" s="395">
        <f>205.48+73.97+65.75+0.51</f>
        <v>345.71</v>
      </c>
      <c r="LD16" s="300" t="s">
        <v>3171</v>
      </c>
      <c r="LE16" s="635">
        <v>69.900000000000006</v>
      </c>
      <c r="LF16" s="625" t="s">
        <v>3076</v>
      </c>
      <c r="LG16" s="468">
        <v>10</v>
      </c>
      <c r="LH16" s="661" t="s">
        <v>2834</v>
      </c>
      <c r="LI16" s="661"/>
      <c r="LJ16" s="300" t="s">
        <v>3223</v>
      </c>
      <c r="LK16" s="635">
        <v>50</v>
      </c>
      <c r="LL16" s="657" t="s">
        <v>3076</v>
      </c>
      <c r="LM16" s="468">
        <v>11</v>
      </c>
      <c r="LN16" s="217"/>
      <c r="LO16" s="395"/>
      <c r="LP16" s="300" t="s">
        <v>2474</v>
      </c>
      <c r="LQ16" s="635"/>
      <c r="LR16" s="689" t="s">
        <v>2876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7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7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7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7" t="s">
        <v>2019</v>
      </c>
      <c r="HJ17" s="505">
        <v>258.44</v>
      </c>
      <c r="HK17" s="504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8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3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7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8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3127</v>
      </c>
      <c r="KY17" s="614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2">
        <f>5+1.69</f>
        <v>6.6899999999999995</v>
      </c>
      <c r="LF17" s="663" t="s">
        <v>3193</v>
      </c>
      <c r="LG17" s="259">
        <f>LF18-0.99*195000</f>
        <v>-677</v>
      </c>
      <c r="LH17" s="217"/>
      <c r="LI17" s="395"/>
      <c r="LJ17" s="256" t="s">
        <v>2503</v>
      </c>
      <c r="LK17" s="655">
        <f>88.33+39.69</f>
        <v>128.01999999999998</v>
      </c>
      <c r="LL17" s="655" t="s">
        <v>3193</v>
      </c>
      <c r="LM17" s="259">
        <v>-11827</v>
      </c>
      <c r="LN17" s="686" t="s">
        <v>2820</v>
      </c>
      <c r="LO17" s="395"/>
      <c r="LP17" s="300" t="s">
        <v>2474</v>
      </c>
      <c r="LQ17" s="635"/>
      <c r="LR17" s="690" t="s">
        <v>2993</v>
      </c>
      <c r="LS17" s="318">
        <v>3</v>
      </c>
      <c r="LT17" s="464" t="s">
        <v>3276</v>
      </c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45" t="s">
        <v>1474</v>
      </c>
      <c r="DJ18" s="746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7">
        <v>748</v>
      </c>
      <c r="GB18" s="300" t="s">
        <v>1862</v>
      </c>
      <c r="GD18" s="285" t="s">
        <v>1896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1968</v>
      </c>
      <c r="GK18" s="340">
        <v>1200</v>
      </c>
      <c r="GM18" s="240"/>
      <c r="GN18" s="300" t="s">
        <v>2011</v>
      </c>
      <c r="GO18" s="340">
        <v>54.38</v>
      </c>
      <c r="GP18" s="487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8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7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8" t="s">
        <v>1968</v>
      </c>
      <c r="HI18" s="340">
        <v>2041</v>
      </c>
      <c r="HJ18" s="505">
        <v>23.05</v>
      </c>
      <c r="HK18" s="504" t="s">
        <v>2102</v>
      </c>
      <c r="HL18" s="299" t="s">
        <v>1954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3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2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7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3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3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3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3" t="s">
        <v>2913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8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3136</v>
      </c>
      <c r="KY18" s="610">
        <v>32</v>
      </c>
      <c r="KZ18" s="553" t="s">
        <v>3076</v>
      </c>
      <c r="LA18" s="468">
        <v>-78.540000000000006</v>
      </c>
      <c r="LB18" s="622" t="s">
        <v>3139</v>
      </c>
      <c r="LC18" s="621">
        <v>32.479999999999997</v>
      </c>
      <c r="LD18" s="254" t="s">
        <v>3149</v>
      </c>
      <c r="LE18" s="634">
        <v>51.99</v>
      </c>
      <c r="LF18" s="443">
        <v>192373</v>
      </c>
      <c r="LG18" s="624"/>
      <c r="LH18" s="654" t="s">
        <v>2820</v>
      </c>
      <c r="LI18" s="395"/>
      <c r="LJ18" s="256" t="s">
        <v>3219</v>
      </c>
      <c r="LK18" s="678">
        <v>66</v>
      </c>
      <c r="LL18" s="443">
        <v>176526</v>
      </c>
      <c r="LM18" s="656"/>
      <c r="LN18" s="690" t="s">
        <v>3068</v>
      </c>
      <c r="LO18" s="395"/>
      <c r="LP18" s="300" t="s">
        <v>2474</v>
      </c>
      <c r="LQ18" s="635"/>
      <c r="LR18" s="689" t="s">
        <v>3076</v>
      </c>
      <c r="LS18" s="468">
        <v>77</v>
      </c>
      <c r="LT18" s="464">
        <v>45325</v>
      </c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7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7">
        <v>33</v>
      </c>
      <c r="GH19" s="299" t="s">
        <v>1918</v>
      </c>
      <c r="GI19" s="340">
        <v>73.959999999999994</v>
      </c>
      <c r="GJ19" s="487" t="s">
        <v>1971</v>
      </c>
      <c r="GL19" s="197" t="s">
        <v>1970</v>
      </c>
      <c r="GN19" s="300" t="s">
        <v>1985</v>
      </c>
      <c r="GO19" s="340">
        <v>1867</v>
      </c>
      <c r="GP19" s="478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7">
        <v>745</v>
      </c>
      <c r="GZ19" s="299" t="s">
        <v>2069</v>
      </c>
      <c r="HA19" s="340">
        <v>77.3</v>
      </c>
      <c r="HB19" s="478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7" t="s">
        <v>2093</v>
      </c>
      <c r="HJ19" s="515">
        <v>1580.64</v>
      </c>
      <c r="HK19" s="511" t="s">
        <v>2115</v>
      </c>
      <c r="HL19" s="297" t="s">
        <v>2156</v>
      </c>
      <c r="HM19" s="340">
        <v>20</v>
      </c>
      <c r="HN19" s="487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3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8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10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6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3128</v>
      </c>
      <c r="KY19" s="614">
        <f>466.26+15.92</f>
        <v>482.18</v>
      </c>
      <c r="KZ19" s="204" t="s">
        <v>3047</v>
      </c>
      <c r="LA19" s="259">
        <f>KZ20-0.99*195000</f>
        <v>-1722</v>
      </c>
      <c r="LB19" s="622" t="s">
        <v>3138</v>
      </c>
      <c r="LC19" s="621">
        <v>21.18</v>
      </c>
      <c r="LD19" s="254" t="s">
        <v>3161</v>
      </c>
      <c r="LE19" s="642">
        <v>83.17</v>
      </c>
      <c r="LF19" s="622" t="s">
        <v>2664</v>
      </c>
      <c r="LG19" s="175">
        <v>2600</v>
      </c>
      <c r="LH19" s="658" t="s">
        <v>3237</v>
      </c>
      <c r="LI19" s="395">
        <f>212+76+43</f>
        <v>331</v>
      </c>
      <c r="LJ19" s="256" t="s">
        <v>3221</v>
      </c>
      <c r="LK19" s="635">
        <v>491.7</v>
      </c>
      <c r="LL19" s="655" t="s">
        <v>2664</v>
      </c>
      <c r="LM19" s="259">
        <v>2600</v>
      </c>
      <c r="LN19" s="217" t="s">
        <v>3262</v>
      </c>
      <c r="LO19" s="395">
        <f>34.36+1.52</f>
        <v>35.880000000000003</v>
      </c>
      <c r="LP19" s="256" t="s">
        <v>3241</v>
      </c>
      <c r="LQ19" s="687"/>
      <c r="LR19" s="687" t="s">
        <v>3193</v>
      </c>
      <c r="LS19" s="259">
        <f>LR20-0.99*195000</f>
        <v>-10599</v>
      </c>
      <c r="LT19" s="464">
        <v>45328</v>
      </c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7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7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7">
        <v>33</v>
      </c>
      <c r="GZ20" s="299" t="s">
        <v>2072</v>
      </c>
      <c r="HA20" s="340">
        <v>97.12</v>
      </c>
      <c r="HB20" s="285" t="s">
        <v>1896</v>
      </c>
      <c r="HC20" s="487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8">
        <f>SUM(HJ15:HJ19)</f>
        <v>4926.7800000000007</v>
      </c>
      <c r="HK20" s="511" t="s">
        <v>2119</v>
      </c>
      <c r="HL20" s="297" t="s">
        <v>2121</v>
      </c>
      <c r="HM20" s="340">
        <v>33.5</v>
      </c>
      <c r="HN20" s="478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2262</v>
      </c>
      <c r="IB20" s="520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3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3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3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1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3125</v>
      </c>
      <c r="KY20" s="611">
        <v>20.05</v>
      </c>
      <c r="KZ20" s="443">
        <v>191328</v>
      </c>
      <c r="LA20" s="197"/>
      <c r="LB20" s="638" t="s">
        <v>3157</v>
      </c>
      <c r="LC20" s="327">
        <v>35.44</v>
      </c>
      <c r="LD20" s="243" t="s">
        <v>1834</v>
      </c>
      <c r="LE20" s="320">
        <v>10300</v>
      </c>
      <c r="LF20" s="623" t="s">
        <v>2665</v>
      </c>
      <c r="LG20" s="259">
        <v>843</v>
      </c>
      <c r="LH20" s="217" t="s">
        <v>3208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9" t="s">
        <v>2665</v>
      </c>
      <c r="LM20" s="259">
        <v>695</v>
      </c>
      <c r="LN20" s="687" t="s">
        <v>3242</v>
      </c>
      <c r="LO20" s="395"/>
      <c r="LP20" s="256" t="s">
        <v>3241</v>
      </c>
      <c r="LQ20" s="687"/>
      <c r="LR20" s="443">
        <v>182451</v>
      </c>
      <c r="LS20" s="688"/>
      <c r="LT20" s="464">
        <v>45328</v>
      </c>
      <c r="LU20" s="259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61" t="s">
        <v>507</v>
      </c>
      <c r="N21" s="761"/>
      <c r="Q21" s="166" t="s">
        <v>365</v>
      </c>
      <c r="S21" s="761" t="s">
        <v>507</v>
      </c>
      <c r="T21" s="761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48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7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7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1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2" t="s">
        <v>2267</v>
      </c>
      <c r="IC21" s="523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8" t="s">
        <v>2389</v>
      </c>
      <c r="IS21" s="340">
        <v>2007</v>
      </c>
      <c r="IT21" s="510"/>
      <c r="IV21" s="297" t="s">
        <v>2510</v>
      </c>
      <c r="IW21" s="202">
        <v>80</v>
      </c>
      <c r="IX21" s="478" t="s">
        <v>2389</v>
      </c>
      <c r="IY21" s="340">
        <v>2013</v>
      </c>
      <c r="IZ21" s="503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3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1" t="s">
        <v>2711</v>
      </c>
      <c r="JS21" s="524">
        <f>783.33+1167.38+1493.5+2179.3</f>
        <v>5623.51</v>
      </c>
      <c r="JT21" s="299" t="s">
        <v>2723</v>
      </c>
      <c r="JU21" s="202">
        <v>6.97</v>
      </c>
      <c r="JV21" s="478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8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9" t="s">
        <v>3102</v>
      </c>
      <c r="KW21" s="340">
        <v>546.92999999999995</v>
      </c>
      <c r="KX21" s="254" t="s">
        <v>3129</v>
      </c>
      <c r="KY21" s="614">
        <v>399.3</v>
      </c>
      <c r="KZ21" s="204" t="s">
        <v>2664</v>
      </c>
      <c r="LA21" s="259">
        <v>2600</v>
      </c>
      <c r="LB21" s="630" t="s">
        <v>3158</v>
      </c>
      <c r="LC21" s="621">
        <f>611.37+8.86</f>
        <v>620.23</v>
      </c>
      <c r="LD21" s="243" t="s">
        <v>3000</v>
      </c>
      <c r="LE21" s="395">
        <f>1314-LE22</f>
        <v>1179</v>
      </c>
      <c r="LF21" s="623" t="s">
        <v>2666</v>
      </c>
      <c r="LG21" s="649">
        <v>1832</v>
      </c>
      <c r="LH21" s="674" t="s">
        <v>3207</v>
      </c>
      <c r="LI21" s="395">
        <v>676.21</v>
      </c>
      <c r="LJ21" s="143" t="s">
        <v>3001</v>
      </c>
      <c r="LK21" s="286">
        <v>136.97999999999999</v>
      </c>
      <c r="LL21" s="659" t="s">
        <v>2666</v>
      </c>
      <c r="LM21" s="334">
        <v>282</v>
      </c>
      <c r="LN21" s="687" t="s">
        <v>3264</v>
      </c>
      <c r="LO21" s="686">
        <v>3.95</v>
      </c>
      <c r="LP21" s="256" t="s">
        <v>3241</v>
      </c>
      <c r="LQ21" s="635"/>
      <c r="LR21" s="687" t="s">
        <v>2664</v>
      </c>
      <c r="LS21" s="259">
        <v>2600</v>
      </c>
      <c r="LU21" s="334"/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56" t="s">
        <v>990</v>
      </c>
      <c r="N22" s="756"/>
      <c r="Q22" s="166" t="s">
        <v>369</v>
      </c>
      <c r="S22" s="756" t="s">
        <v>990</v>
      </c>
      <c r="T22" s="756"/>
      <c r="W22" s="242" t="s">
        <v>1019</v>
      </c>
      <c r="X22" s="340">
        <v>0</v>
      </c>
      <c r="Y22" s="761" t="s">
        <v>507</v>
      </c>
      <c r="Z22" s="761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48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1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1"/>
      <c r="HX22" s="299" t="s">
        <v>2213</v>
      </c>
      <c r="HY22" s="340">
        <v>64</v>
      </c>
      <c r="HZ22" s="319" t="s">
        <v>2904</v>
      </c>
      <c r="IA22" s="318">
        <v>2000</v>
      </c>
      <c r="IB22" s="527" t="s">
        <v>2265</v>
      </c>
      <c r="IC22" s="528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40" t="s">
        <v>2134</v>
      </c>
      <c r="IU22" s="740"/>
      <c r="IV22" s="297" t="s">
        <v>2502</v>
      </c>
      <c r="IW22" s="202">
        <v>42.51</v>
      </c>
      <c r="IX22" s="325" t="s">
        <v>2413</v>
      </c>
      <c r="IZ22" s="503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3"/>
      <c r="JM22" s="327"/>
      <c r="JN22" s="297" t="s">
        <v>2930</v>
      </c>
      <c r="JO22" s="259">
        <v>2953</v>
      </c>
      <c r="JP22" s="478" t="s">
        <v>2389</v>
      </c>
      <c r="JQ22" s="259">
        <v>1000</v>
      </c>
      <c r="JR22" s="491" t="s">
        <v>2718</v>
      </c>
      <c r="JS22" s="524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9" t="s">
        <v>3103</v>
      </c>
      <c r="KW22" s="340">
        <v>297.89999999999998</v>
      </c>
      <c r="KX22" s="254" t="s">
        <v>3130</v>
      </c>
      <c r="KY22" s="608">
        <f>388.8-248.41</f>
        <v>140.39000000000001</v>
      </c>
      <c r="KZ22" s="319" t="s">
        <v>2665</v>
      </c>
      <c r="LA22" s="259">
        <v>656</v>
      </c>
      <c r="LB22" s="622" t="s">
        <v>3086</v>
      </c>
      <c r="LC22" s="621">
        <v>93.25</v>
      </c>
      <c r="LD22" s="143" t="s">
        <v>3001</v>
      </c>
      <c r="LE22" s="286">
        <v>135</v>
      </c>
      <c r="LF22" s="623" t="s">
        <v>2937</v>
      </c>
      <c r="LG22" s="259">
        <v>10</v>
      </c>
      <c r="LH22" s="655" t="s">
        <v>3199</v>
      </c>
      <c r="LI22" s="654">
        <v>9.26</v>
      </c>
      <c r="LJ22" s="143" t="s">
        <v>3069</v>
      </c>
      <c r="LK22" s="261">
        <v>42.95</v>
      </c>
      <c r="LL22" s="659" t="s">
        <v>2937</v>
      </c>
      <c r="LM22" s="259">
        <v>10</v>
      </c>
      <c r="LN22" s="687" t="s">
        <v>3086</v>
      </c>
      <c r="LP22" s="243" t="s">
        <v>3277</v>
      </c>
      <c r="LQ22" s="395">
        <f>15000+48322.06</f>
        <v>63322.06</v>
      </c>
      <c r="LR22" s="691" t="s">
        <v>2665</v>
      </c>
      <c r="LS22" s="259">
        <v>861</v>
      </c>
      <c r="LT22" s="464">
        <v>45329</v>
      </c>
      <c r="LU22" s="259"/>
    </row>
    <row r="23" spans="1:333">
      <c r="A23" s="761" t="s">
        <v>507</v>
      </c>
      <c r="B23" s="761"/>
      <c r="E23" s="164" t="s">
        <v>237</v>
      </c>
      <c r="F23" s="166"/>
      <c r="G23" s="761" t="s">
        <v>507</v>
      </c>
      <c r="H23" s="761"/>
      <c r="K23" s="242" t="s">
        <v>1019</v>
      </c>
      <c r="L23" s="340">
        <v>0</v>
      </c>
      <c r="M23" s="753"/>
      <c r="N23" s="753"/>
      <c r="Q23" s="166" t="s">
        <v>1056</v>
      </c>
      <c r="S23" s="753"/>
      <c r="T23" s="753"/>
      <c r="W23" s="242" t="s">
        <v>1027</v>
      </c>
      <c r="X23" s="204">
        <v>0</v>
      </c>
      <c r="Y23" s="756" t="s">
        <v>990</v>
      </c>
      <c r="Z23" s="756"/>
      <c r="AE23" s="761" t="s">
        <v>507</v>
      </c>
      <c r="AF23" s="761"/>
      <c r="AK23" s="761" t="s">
        <v>507</v>
      </c>
      <c r="AL23" s="761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47" t="s">
        <v>1536</v>
      </c>
      <c r="EF23" s="747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48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48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40" t="s">
        <v>2134</v>
      </c>
      <c r="HK23" s="740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9">
        <f>16.5+14.09+10+1.34+13.21+16.39+15.89+17.3</f>
        <v>104.72</v>
      </c>
      <c r="HT23" s="319" t="s">
        <v>2179</v>
      </c>
      <c r="HU23" s="340">
        <f>5002+10000+10000+5000</f>
        <v>30002</v>
      </c>
      <c r="HV23" s="740" t="s">
        <v>2134</v>
      </c>
      <c r="HW23" s="740"/>
      <c r="HX23" s="299" t="s">
        <v>2249</v>
      </c>
      <c r="HY23" s="340">
        <v>30</v>
      </c>
      <c r="HZ23" s="319" t="s">
        <v>2210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9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10"/>
      <c r="JB23" s="299" t="s">
        <v>2151</v>
      </c>
      <c r="JC23" s="202">
        <f>9+14.32</f>
        <v>23.32</v>
      </c>
      <c r="JD23" s="478" t="s">
        <v>2389</v>
      </c>
      <c r="JE23" s="340">
        <v>1000</v>
      </c>
      <c r="JF23" s="503"/>
      <c r="JG23" s="327"/>
      <c r="JH23" s="391" t="s">
        <v>2622</v>
      </c>
      <c r="JI23" s="335">
        <v>4.05</v>
      </c>
      <c r="JJ23" s="285" t="s">
        <v>2577</v>
      </c>
      <c r="JL23" s="503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4" t="s">
        <v>3086</v>
      </c>
      <c r="KW23" s="593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41" t="s">
        <v>3159</v>
      </c>
      <c r="LC23" s="640">
        <v>93</v>
      </c>
      <c r="LD23" s="143" t="s">
        <v>3185</v>
      </c>
      <c r="LE23" s="286">
        <v>176.86</v>
      </c>
      <c r="LF23" s="618" t="s">
        <v>3046</v>
      </c>
      <c r="LG23" s="259">
        <v>160</v>
      </c>
      <c r="LH23" s="671" t="s">
        <v>3086</v>
      </c>
      <c r="LI23" s="670">
        <v>93.25</v>
      </c>
      <c r="LJ23" s="143" t="s">
        <v>2459</v>
      </c>
      <c r="LK23" s="202">
        <v>40.950000000000003</v>
      </c>
      <c r="LL23" s="658" t="s">
        <v>3046</v>
      </c>
      <c r="LM23" s="259">
        <v>210</v>
      </c>
      <c r="LN23" s="687"/>
      <c r="LO23" s="395"/>
      <c r="LP23" s="143" t="s">
        <v>2459</v>
      </c>
      <c r="LQ23" s="202" t="s">
        <v>3286</v>
      </c>
      <c r="LR23" s="691" t="s">
        <v>2666</v>
      </c>
      <c r="LS23" s="334">
        <v>2673</v>
      </c>
      <c r="LT23" s="464">
        <v>45329</v>
      </c>
      <c r="LU23" s="334"/>
    </row>
    <row r="24" spans="1:333">
      <c r="A24" s="756" t="s">
        <v>990</v>
      </c>
      <c r="B24" s="756"/>
      <c r="E24" s="164" t="s">
        <v>139</v>
      </c>
      <c r="F24" s="166"/>
      <c r="G24" s="756" t="s">
        <v>990</v>
      </c>
      <c r="H24" s="756"/>
      <c r="K24" s="242" t="s">
        <v>1027</v>
      </c>
      <c r="L24" s="204">
        <v>0</v>
      </c>
      <c r="M24" s="753"/>
      <c r="N24" s="753"/>
      <c r="Q24" s="242" t="s">
        <v>1029</v>
      </c>
      <c r="R24" s="340">
        <v>0</v>
      </c>
      <c r="S24" s="753"/>
      <c r="T24" s="753"/>
      <c r="W24" s="242" t="s">
        <v>1050</v>
      </c>
      <c r="X24" s="340">
        <v>910.17</v>
      </c>
      <c r="Y24" s="753"/>
      <c r="Z24" s="753"/>
      <c r="AC24" s="245" t="s">
        <v>1083</v>
      </c>
      <c r="AD24" s="340">
        <v>90</v>
      </c>
      <c r="AE24" s="756" t="s">
        <v>990</v>
      </c>
      <c r="AF24" s="756"/>
      <c r="AI24" s="243" t="s">
        <v>1101</v>
      </c>
      <c r="AJ24" s="340">
        <v>30</v>
      </c>
      <c r="AK24" s="756" t="s">
        <v>990</v>
      </c>
      <c r="AL24" s="756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56"/>
      <c r="BH24" s="756"/>
      <c r="BK24" s="257" t="s">
        <v>1222</v>
      </c>
      <c r="BL24" s="204">
        <v>48.54</v>
      </c>
      <c r="BM24" s="756"/>
      <c r="BN24" s="756"/>
      <c r="BQ24" s="257" t="s">
        <v>1051</v>
      </c>
      <c r="BR24" s="204">
        <v>50.15</v>
      </c>
      <c r="BS24" s="756" t="s">
        <v>1245</v>
      </c>
      <c r="BT24" s="756"/>
      <c r="BW24" s="257" t="s">
        <v>1051</v>
      </c>
      <c r="BX24" s="204">
        <v>48.54</v>
      </c>
      <c r="BY24" s="756"/>
      <c r="BZ24" s="756"/>
      <c r="CC24" s="257" t="s">
        <v>1051</v>
      </c>
      <c r="CD24" s="204">
        <v>142.91</v>
      </c>
      <c r="CE24" s="756"/>
      <c r="CF24" s="756"/>
      <c r="CI24" s="257" t="s">
        <v>1312</v>
      </c>
      <c r="CJ24" s="204">
        <v>35.049999999999997</v>
      </c>
      <c r="CK24" s="753"/>
      <c r="CL24" s="753"/>
      <c r="CO24" s="257" t="s">
        <v>1286</v>
      </c>
      <c r="CP24" s="204">
        <v>153.41</v>
      </c>
      <c r="CQ24" s="753" t="s">
        <v>1327</v>
      </c>
      <c r="CR24" s="753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48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1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9">
        <f>17.86+15.16+7.54+15.3+16.45+13.02</f>
        <v>85.33</v>
      </c>
      <c r="HZ24" s="319" t="s">
        <v>2211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1968</v>
      </c>
      <c r="IG24" s="340">
        <v>1002</v>
      </c>
      <c r="IJ24" s="297" t="s">
        <v>2369</v>
      </c>
      <c r="IK24" s="340">
        <v>60</v>
      </c>
      <c r="IL24" s="478" t="s">
        <v>2389</v>
      </c>
      <c r="IM24" s="340">
        <v>1004</v>
      </c>
      <c r="IO24" s="320"/>
      <c r="IP24" s="297" t="s">
        <v>2408</v>
      </c>
      <c r="IQ24" s="202">
        <v>40.5</v>
      </c>
      <c r="IR24" s="478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3"/>
      <c r="JG24" s="327"/>
      <c r="JH24" s="299" t="s">
        <v>2308</v>
      </c>
      <c r="JI24" s="202">
        <f>15.55+10+15.6+17.36+16.4+10+14.01+16.99+15.65</f>
        <v>131.56</v>
      </c>
      <c r="JJ24" s="478" t="s">
        <v>2389</v>
      </c>
      <c r="JK24" s="340">
        <v>1000</v>
      </c>
      <c r="JL24" s="510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1" t="s">
        <v>2653</v>
      </c>
      <c r="JS24" s="461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7" t="s">
        <v>3109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8"/>
      <c r="LD24" s="143" t="s">
        <v>2459</v>
      </c>
      <c r="LE24" s="202">
        <v>72.06</v>
      </c>
      <c r="LF24" s="626" t="s">
        <v>2389</v>
      </c>
      <c r="LG24" s="259">
        <v>1000</v>
      </c>
      <c r="LH24" s="677" t="s">
        <v>3212</v>
      </c>
      <c r="LI24" s="395">
        <v>92.25</v>
      </c>
      <c r="LJ24" s="143" t="s">
        <v>3227</v>
      </c>
      <c r="LK24" s="274">
        <v>152.15</v>
      </c>
      <c r="LL24" s="660" t="s">
        <v>2389</v>
      </c>
      <c r="LM24" s="259">
        <v>1000</v>
      </c>
      <c r="LN24" s="687"/>
      <c r="LP24" s="143" t="s">
        <v>3280</v>
      </c>
      <c r="LQ24" s="202">
        <f>200+339</f>
        <v>539</v>
      </c>
      <c r="LR24" s="691" t="s">
        <v>2937</v>
      </c>
      <c r="LS24" s="259">
        <v>10</v>
      </c>
    </row>
    <row r="25" spans="1:333">
      <c r="A25" s="753"/>
      <c r="B25" s="753"/>
      <c r="E25" s="197" t="s">
        <v>362</v>
      </c>
      <c r="F25" s="170"/>
      <c r="G25" s="753"/>
      <c r="H25" s="753"/>
      <c r="K25" s="242" t="s">
        <v>1018</v>
      </c>
      <c r="L25" s="340">
        <f>910+40</f>
        <v>950</v>
      </c>
      <c r="M25" s="753"/>
      <c r="N25" s="753"/>
      <c r="Q25" s="242" t="s">
        <v>1026</v>
      </c>
      <c r="R25" s="340">
        <v>0</v>
      </c>
      <c r="S25" s="753"/>
      <c r="T25" s="753"/>
      <c r="W25" s="143" t="s">
        <v>1085</v>
      </c>
      <c r="X25" s="340">
        <v>110.58</v>
      </c>
      <c r="Y25" s="753"/>
      <c r="Z25" s="753"/>
      <c r="AE25" s="753"/>
      <c r="AF25" s="753"/>
      <c r="AK25" s="753"/>
      <c r="AL25" s="753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53"/>
      <c r="AX25" s="753"/>
      <c r="AY25" s="143"/>
      <c r="AZ25" s="204"/>
      <c r="BA25" s="753"/>
      <c r="BB25" s="753"/>
      <c r="BE25" s="143" t="s">
        <v>1195</v>
      </c>
      <c r="BF25" s="204">
        <f>6.5*2</f>
        <v>13</v>
      </c>
      <c r="BG25" s="753"/>
      <c r="BH25" s="753"/>
      <c r="BK25" s="257" t="s">
        <v>1195</v>
      </c>
      <c r="BL25" s="204">
        <f>6.5*2</f>
        <v>13</v>
      </c>
      <c r="BM25" s="753"/>
      <c r="BN25" s="753"/>
      <c r="BQ25" s="257" t="s">
        <v>1195</v>
      </c>
      <c r="BR25" s="204">
        <v>13</v>
      </c>
      <c r="BS25" s="753"/>
      <c r="BT25" s="753"/>
      <c r="BW25" s="257" t="s">
        <v>1195</v>
      </c>
      <c r="BX25" s="204">
        <v>13</v>
      </c>
      <c r="BY25" s="753"/>
      <c r="BZ25" s="753"/>
      <c r="CC25" s="257" t="s">
        <v>1195</v>
      </c>
      <c r="CD25" s="204">
        <v>13</v>
      </c>
      <c r="CE25" s="753"/>
      <c r="CF25" s="753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51" t="s">
        <v>1536</v>
      </c>
      <c r="DZ25" s="752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47" t="s">
        <v>1536</v>
      </c>
      <c r="ES25" s="747"/>
      <c r="ET25" s="285" t="s">
        <v>1702</v>
      </c>
      <c r="EU25" s="318">
        <v>20000</v>
      </c>
      <c r="EW25" s="748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1"/>
      <c r="HR25" s="297" t="s">
        <v>2185</v>
      </c>
      <c r="HS25" s="340">
        <v>26.6</v>
      </c>
      <c r="HT25" s="487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40" t="s">
        <v>2134</v>
      </c>
      <c r="IC25" s="740"/>
      <c r="ID25" s="299" t="s">
        <v>2207</v>
      </c>
      <c r="IE25" s="340">
        <v>32</v>
      </c>
      <c r="IF25" s="478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8" t="s">
        <v>2391</v>
      </c>
      <c r="IM25" s="340">
        <v>4</v>
      </c>
      <c r="IO25" s="320"/>
      <c r="IP25" s="297" t="s">
        <v>2419</v>
      </c>
      <c r="IQ25" s="202">
        <v>88.51</v>
      </c>
      <c r="IR25" s="478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3"/>
      <c r="JA25" s="327"/>
      <c r="JB25" s="299" t="s">
        <v>2308</v>
      </c>
      <c r="JC25" s="202">
        <f>17.98+13.67+17.8+15.37+10+15+12.85</f>
        <v>102.67</v>
      </c>
      <c r="JD25" s="325"/>
      <c r="JF25" s="510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8">
        <f>SUM(KQ21:KQ24)</f>
        <v>9265.4599999999991</v>
      </c>
      <c r="KQ25" s="535" t="s">
        <v>3108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4"/>
      <c r="LC25" s="644"/>
      <c r="LD25" s="143" t="s">
        <v>3141</v>
      </c>
      <c r="LE25" s="202">
        <v>30</v>
      </c>
      <c r="LF25" s="632" t="s">
        <v>2941</v>
      </c>
      <c r="LG25" s="259"/>
      <c r="LH25" s="687"/>
      <c r="LI25" s="686"/>
      <c r="LJ25" s="143" t="s">
        <v>3228</v>
      </c>
      <c r="LK25" s="274">
        <v>153.1</v>
      </c>
      <c r="LL25" s="657" t="s">
        <v>2360</v>
      </c>
      <c r="LM25" s="202"/>
      <c r="LP25" s="143" t="s">
        <v>3274</v>
      </c>
      <c r="LQ25" s="274">
        <f>3.87</f>
        <v>3.87</v>
      </c>
      <c r="LR25" s="690" t="s">
        <v>3046</v>
      </c>
      <c r="LS25" s="259">
        <v>510</v>
      </c>
      <c r="LT25" s="464">
        <v>45328</v>
      </c>
    </row>
    <row r="26" spans="1:333">
      <c r="A26" s="753"/>
      <c r="B26" s="753"/>
      <c r="F26" s="194"/>
      <c r="G26" s="753"/>
      <c r="H26" s="753"/>
      <c r="M26" s="757" t="s">
        <v>506</v>
      </c>
      <c r="N26" s="757"/>
      <c r="Q26" s="242" t="s">
        <v>1019</v>
      </c>
      <c r="R26" s="340">
        <v>0</v>
      </c>
      <c r="S26" s="757" t="s">
        <v>506</v>
      </c>
      <c r="T26" s="757"/>
      <c r="W26" s="143" t="s">
        <v>1051</v>
      </c>
      <c r="X26" s="340">
        <v>60.75</v>
      </c>
      <c r="Y26" s="753"/>
      <c r="Z26" s="753"/>
      <c r="AC26" s="218" t="s">
        <v>1092</v>
      </c>
      <c r="AD26" s="218"/>
      <c r="AE26" s="757" t="s">
        <v>506</v>
      </c>
      <c r="AF26" s="757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47" t="s">
        <v>1536</v>
      </c>
      <c r="EY26" s="747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2159</v>
      </c>
      <c r="HN26" s="487" t="s">
        <v>1632</v>
      </c>
      <c r="HO26" s="332"/>
      <c r="HP26" s="740" t="s">
        <v>2134</v>
      </c>
      <c r="HQ26" s="740"/>
      <c r="HR26" s="297" t="s">
        <v>2191</v>
      </c>
      <c r="HS26" s="340">
        <v>10</v>
      </c>
      <c r="HT26" s="478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9">
        <f>11.74+10+9.21+17.04+10+12.34+15.71+10+15.63+10</f>
        <v>121.66999999999999</v>
      </c>
      <c r="IF26" s="204" t="s">
        <v>2284</v>
      </c>
      <c r="IG26" s="318"/>
      <c r="IH26" s="510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10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3"/>
      <c r="JA26" s="327"/>
      <c r="JB26" s="297" t="s">
        <v>2590</v>
      </c>
      <c r="JC26" s="202">
        <v>10</v>
      </c>
      <c r="JD26" s="478"/>
      <c r="JH26" s="297" t="s">
        <v>2618</v>
      </c>
      <c r="JI26" s="202">
        <v>30</v>
      </c>
      <c r="JJ26" s="325" t="s">
        <v>2360</v>
      </c>
      <c r="JL26" s="461" t="s">
        <v>2653</v>
      </c>
      <c r="JM26" s="461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7" t="s">
        <v>2994</v>
      </c>
      <c r="KO26" s="334"/>
      <c r="KP26" s="529"/>
      <c r="KQ26" s="542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3"/>
      <c r="KW26" s="602"/>
      <c r="KX26" s="143" t="s">
        <v>2459</v>
      </c>
      <c r="KY26" s="202">
        <v>62.98</v>
      </c>
      <c r="KZ26" s="478" t="s">
        <v>2389</v>
      </c>
      <c r="LA26" s="259">
        <v>1000</v>
      </c>
      <c r="LB26" s="644"/>
      <c r="LC26" s="644"/>
      <c r="LD26" s="143" t="s">
        <v>3142</v>
      </c>
      <c r="LE26" s="202">
        <v>250</v>
      </c>
      <c r="LF26" s="625" t="s">
        <v>2407</v>
      </c>
      <c r="LG26" s="202"/>
      <c r="LH26" s="686"/>
      <c r="LI26" s="686"/>
      <c r="LJ26" s="143" t="s">
        <v>2673</v>
      </c>
      <c r="LK26" s="202">
        <f>13.57+9*2</f>
        <v>31.57</v>
      </c>
      <c r="LL26" s="675"/>
      <c r="LM26" s="259"/>
      <c r="LP26" s="143" t="s">
        <v>1195</v>
      </c>
      <c r="LQ26" s="202"/>
      <c r="LR26" s="692" t="s">
        <v>2389</v>
      </c>
      <c r="LS26" s="259">
        <v>1000</v>
      </c>
    </row>
    <row r="27" spans="1:333" ht="12.75" customHeight="1">
      <c r="A27" s="753"/>
      <c r="B27" s="753"/>
      <c r="E27" s="193" t="s">
        <v>360</v>
      </c>
      <c r="F27" s="194"/>
      <c r="G27" s="753"/>
      <c r="H27" s="753"/>
      <c r="K27" s="143" t="s">
        <v>1017</v>
      </c>
      <c r="L27" s="340">
        <f>60</f>
        <v>60</v>
      </c>
      <c r="M27" s="757" t="s">
        <v>992</v>
      </c>
      <c r="N27" s="757"/>
      <c r="Q27" s="242" t="s">
        <v>1073</v>
      </c>
      <c r="R27" s="204">
        <v>200</v>
      </c>
      <c r="S27" s="757" t="s">
        <v>992</v>
      </c>
      <c r="T27" s="757"/>
      <c r="W27" s="143" t="s">
        <v>1016</v>
      </c>
      <c r="X27" s="340">
        <v>61.35</v>
      </c>
      <c r="Y27" s="757" t="s">
        <v>506</v>
      </c>
      <c r="Z27" s="757"/>
      <c r="AC27" s="218" t="s">
        <v>1088</v>
      </c>
      <c r="AD27" s="218">
        <f>53+207+63</f>
        <v>323</v>
      </c>
      <c r="AE27" s="757" t="s">
        <v>992</v>
      </c>
      <c r="AF27" s="757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47" t="s">
        <v>1746</v>
      </c>
      <c r="FE27" s="747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40" t="s">
        <v>2157</v>
      </c>
      <c r="HM27" s="541">
        <f>HI16+HK31-HO18</f>
        <v>240</v>
      </c>
      <c r="HN27" s="504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8" t="s">
        <v>1968</v>
      </c>
      <c r="HU27" s="340">
        <v>1000</v>
      </c>
      <c r="HV27" s="299" t="s">
        <v>2130</v>
      </c>
      <c r="HW27" s="509">
        <f>SUM(HY16:HY24)</f>
        <v>1033.9166666666667</v>
      </c>
      <c r="HX27" s="297" t="s">
        <v>2250</v>
      </c>
      <c r="HY27" s="340">
        <f>32.37+27.07</f>
        <v>59.44</v>
      </c>
      <c r="HZ27" s="478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10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10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10"/>
      <c r="JB27" s="297" t="s">
        <v>2595</v>
      </c>
      <c r="JC27" s="202">
        <v>7</v>
      </c>
      <c r="JD27" s="478"/>
      <c r="JF27" s="461" t="s">
        <v>2602</v>
      </c>
      <c r="JG27" s="461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8" t="s">
        <v>2389</v>
      </c>
      <c r="KU27" s="259">
        <v>1000</v>
      </c>
      <c r="KV27" s="603"/>
      <c r="KW27" s="602"/>
      <c r="KX27" s="143" t="s">
        <v>3016</v>
      </c>
      <c r="KY27" s="202">
        <v>30</v>
      </c>
      <c r="KZ27" s="340" t="s">
        <v>3124</v>
      </c>
      <c r="LA27" s="340">
        <f>240-15.97</f>
        <v>224.03</v>
      </c>
      <c r="LB27" s="644"/>
      <c r="LC27" s="644"/>
      <c r="LD27" s="143" t="s">
        <v>3134</v>
      </c>
      <c r="LE27" s="274">
        <v>151.85</v>
      </c>
      <c r="LF27" s="643" t="s">
        <v>3172</v>
      </c>
      <c r="LG27" s="259">
        <v>58.2</v>
      </c>
      <c r="LJ27" s="143" t="s">
        <v>2308</v>
      </c>
      <c r="LK27" s="202">
        <f>20.76+15.66+10+17.14+10+17.5</f>
        <v>91.06</v>
      </c>
      <c r="LL27" s="665"/>
      <c r="LM27" s="202"/>
      <c r="LP27" s="143" t="s">
        <v>2673</v>
      </c>
      <c r="LQ27" s="202">
        <f>13.57</f>
        <v>13.57</v>
      </c>
      <c r="LR27" s="689" t="s">
        <v>2360</v>
      </c>
      <c r="LS27" s="202"/>
    </row>
    <row r="28" spans="1:333">
      <c r="A28" s="757" t="s">
        <v>506</v>
      </c>
      <c r="B28" s="757"/>
      <c r="E28" s="193" t="s">
        <v>282</v>
      </c>
      <c r="F28" s="194"/>
      <c r="G28" s="757" t="s">
        <v>506</v>
      </c>
      <c r="H28" s="757"/>
      <c r="K28" s="143" t="s">
        <v>1016</v>
      </c>
      <c r="L28" s="340">
        <v>0</v>
      </c>
      <c r="M28" s="759" t="s">
        <v>93</v>
      </c>
      <c r="N28" s="759"/>
      <c r="Q28" s="242" t="s">
        <v>1050</v>
      </c>
      <c r="R28" s="340">
        <v>0</v>
      </c>
      <c r="S28" s="759" t="s">
        <v>93</v>
      </c>
      <c r="T28" s="759"/>
      <c r="W28" s="143" t="s">
        <v>1015</v>
      </c>
      <c r="X28" s="340">
        <v>64</v>
      </c>
      <c r="Y28" s="757" t="s">
        <v>992</v>
      </c>
      <c r="Z28" s="757"/>
      <c r="AC28" s="218" t="s">
        <v>1089</v>
      </c>
      <c r="AD28" s="218">
        <f>63+46</f>
        <v>109</v>
      </c>
      <c r="AE28" s="759" t="s">
        <v>93</v>
      </c>
      <c r="AF28" s="759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47" t="s">
        <v>1536</v>
      </c>
      <c r="EM28" s="747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4" t="s">
        <v>2104</v>
      </c>
      <c r="HI28" s="503">
        <v>3179.26</v>
      </c>
      <c r="HJ28" s="302" t="s">
        <v>2130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10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10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9">
        <v>22.7</v>
      </c>
      <c r="IW28" s="274"/>
      <c r="IX28" s="325"/>
      <c r="IZ28" s="740" t="s">
        <v>2134</v>
      </c>
      <c r="JA28" s="740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1" t="s">
        <v>2653</v>
      </c>
      <c r="KE28" s="461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2941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2360</v>
      </c>
      <c r="LG28" s="202"/>
      <c r="LJ28" s="297" t="s">
        <v>3197</v>
      </c>
      <c r="LK28" s="202">
        <v>20</v>
      </c>
      <c r="LL28" s="660" t="s">
        <v>2941</v>
      </c>
      <c r="LM28" s="259"/>
      <c r="LP28" s="143" t="s">
        <v>2308</v>
      </c>
      <c r="LQ28" s="202">
        <f>18+16</f>
        <v>34</v>
      </c>
      <c r="LR28" s="694" t="s">
        <v>3285</v>
      </c>
      <c r="LS28" s="259">
        <v>-300</v>
      </c>
    </row>
    <row r="29" spans="1:333">
      <c r="A29" s="757" t="s">
        <v>992</v>
      </c>
      <c r="B29" s="757"/>
      <c r="E29" s="193" t="s">
        <v>372</v>
      </c>
      <c r="F29" s="194"/>
      <c r="G29" s="757" t="s">
        <v>992</v>
      </c>
      <c r="H29" s="757"/>
      <c r="K29" s="143" t="s">
        <v>1015</v>
      </c>
      <c r="L29" s="340">
        <v>64</v>
      </c>
      <c r="M29" s="753" t="s">
        <v>385</v>
      </c>
      <c r="N29" s="753"/>
      <c r="S29" s="753" t="s">
        <v>385</v>
      </c>
      <c r="T29" s="753"/>
      <c r="W29" s="143" t="s">
        <v>1014</v>
      </c>
      <c r="X29" s="340">
        <v>100.01</v>
      </c>
      <c r="Y29" s="759" t="s">
        <v>93</v>
      </c>
      <c r="Z29" s="759"/>
      <c r="AC29" s="340" t="s">
        <v>1087</v>
      </c>
      <c r="AD29" s="340">
        <v>65</v>
      </c>
      <c r="AE29" s="753" t="s">
        <v>385</v>
      </c>
      <c r="AF29" s="753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47" t="s">
        <v>1746</v>
      </c>
      <c r="FK29" s="747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7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4">
        <v>20</v>
      </c>
      <c r="HM29" s="534" t="s">
        <v>2086</v>
      </c>
      <c r="HN29" s="504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7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3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1" t="s">
        <v>2206</v>
      </c>
      <c r="IM29" s="545">
        <v>21.35</v>
      </c>
      <c r="IN29" s="503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3211</v>
      </c>
      <c r="KG29" s="274">
        <f>341+171</f>
        <v>512</v>
      </c>
      <c r="KH29" s="478" t="s">
        <v>2389</v>
      </c>
      <c r="KI29" s="259">
        <v>1000</v>
      </c>
      <c r="KL29" s="297" t="s">
        <v>2953</v>
      </c>
      <c r="KM29" s="202">
        <v>21.5</v>
      </c>
      <c r="KN29" s="478" t="s">
        <v>2389</v>
      </c>
      <c r="KO29" s="259">
        <v>1000</v>
      </c>
      <c r="KP29" s="495"/>
      <c r="KQ29" s="495"/>
      <c r="KR29" s="297" t="s">
        <v>3062</v>
      </c>
      <c r="KS29" s="202">
        <v>400.92</v>
      </c>
      <c r="KT29" s="478" t="s">
        <v>3037</v>
      </c>
      <c r="KU29" s="202">
        <v>1202.04</v>
      </c>
      <c r="KV29" s="605"/>
      <c r="KW29" s="604"/>
      <c r="KX29" s="143" t="s">
        <v>3104</v>
      </c>
      <c r="KY29" s="202">
        <v>57.3</v>
      </c>
      <c r="KZ29" s="325" t="s">
        <v>2407</v>
      </c>
      <c r="LA29" s="202"/>
      <c r="LB29" s="637"/>
      <c r="LC29" s="637"/>
      <c r="LD29" s="143" t="s">
        <v>3155</v>
      </c>
      <c r="LE29" s="202">
        <v>67.8</v>
      </c>
      <c r="LF29" s="636" t="s">
        <v>3182</v>
      </c>
      <c r="LG29" s="259">
        <f>52.8*2</f>
        <v>105.6</v>
      </c>
      <c r="LJ29" s="297" t="s">
        <v>3245</v>
      </c>
      <c r="LK29" s="202">
        <v>5</v>
      </c>
      <c r="LL29" s="667"/>
      <c r="LM29" s="202"/>
      <c r="LN29" s="683" t="s">
        <v>2653</v>
      </c>
      <c r="LO29" s="683"/>
      <c r="LP29" s="297" t="s">
        <v>3243</v>
      </c>
      <c r="LQ29" s="202"/>
      <c r="LR29" s="694" t="s">
        <v>3287</v>
      </c>
      <c r="LS29" s="259">
        <v>-2000</v>
      </c>
    </row>
    <row r="30" spans="1:333">
      <c r="A30" s="759" t="s">
        <v>93</v>
      </c>
      <c r="B30" s="759"/>
      <c r="E30" s="193" t="s">
        <v>1007</v>
      </c>
      <c r="F30" s="170"/>
      <c r="G30" s="759" t="s">
        <v>93</v>
      </c>
      <c r="H30" s="759"/>
      <c r="K30" s="143" t="s">
        <v>1014</v>
      </c>
      <c r="L30" s="340">
        <v>50.01</v>
      </c>
      <c r="M30" s="760" t="s">
        <v>1001</v>
      </c>
      <c r="N30" s="760"/>
      <c r="Q30" s="143" t="s">
        <v>1052</v>
      </c>
      <c r="R30" s="340">
        <v>26</v>
      </c>
      <c r="S30" s="760" t="s">
        <v>1001</v>
      </c>
      <c r="T30" s="760"/>
      <c r="Y30" s="753" t="s">
        <v>385</v>
      </c>
      <c r="Z30" s="753"/>
      <c r="AC30" s="340" t="s">
        <v>1090</v>
      </c>
      <c r="AD30" s="340">
        <v>10</v>
      </c>
      <c r="AE30" s="760" t="s">
        <v>1001</v>
      </c>
      <c r="AF30" s="760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2102</v>
      </c>
      <c r="HI30" s="503">
        <v>258.44</v>
      </c>
      <c r="HJ30" s="297" t="s">
        <v>2634</v>
      </c>
      <c r="HK30" s="340">
        <f>SUM(HM20:HM23)</f>
        <v>255.57999999999998</v>
      </c>
      <c r="HL30" s="544">
        <v>60</v>
      </c>
      <c r="HM30" s="534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8" t="s">
        <v>2391</v>
      </c>
      <c r="IA30" s="340">
        <v>4</v>
      </c>
      <c r="IB30" s="299" t="s">
        <v>2130</v>
      </c>
      <c r="IC30" s="509">
        <f>SUM(IE18:IE26)</f>
        <v>1421.2533333333333</v>
      </c>
      <c r="ID30" s="297" t="s">
        <v>2304</v>
      </c>
      <c r="IE30" s="340">
        <v>62</v>
      </c>
      <c r="IF30" s="511" t="s">
        <v>2206</v>
      </c>
      <c r="IG30" s="545">
        <v>21.35</v>
      </c>
      <c r="IH30" s="503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3"/>
      <c r="IO30" s="327"/>
      <c r="IP30" s="297" t="s">
        <v>2456</v>
      </c>
      <c r="IQ30" s="202" t="s">
        <v>2457</v>
      </c>
      <c r="IR30" s="325"/>
      <c r="IT30" s="534" t="s">
        <v>2458</v>
      </c>
      <c r="IU30" s="538">
        <v>90</v>
      </c>
      <c r="IV30" s="544">
        <v>5</v>
      </c>
      <c r="IW30" s="549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9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9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9"/>
      <c r="KQ30" s="529"/>
      <c r="KR30" s="297" t="s">
        <v>3024</v>
      </c>
      <c r="KS30" s="202">
        <f>5+0.99</f>
        <v>5.99</v>
      </c>
      <c r="KT30" s="478" t="s">
        <v>3045</v>
      </c>
      <c r="KU30" s="202"/>
      <c r="KV30" s="605"/>
      <c r="KW30" s="604"/>
      <c r="KX30" s="143" t="s">
        <v>2673</v>
      </c>
      <c r="KY30" s="202">
        <f>14.32+9+9</f>
        <v>32.32</v>
      </c>
      <c r="KZ30" s="325" t="s">
        <v>2360</v>
      </c>
      <c r="LA30" s="202"/>
      <c r="LB30" s="637"/>
      <c r="LC30" s="637"/>
      <c r="LD30" s="143" t="s">
        <v>2673</v>
      </c>
      <c r="LE30" s="202">
        <f>14.32+18*2</f>
        <v>50.32</v>
      </c>
      <c r="LF30" s="664" t="s">
        <v>3194</v>
      </c>
      <c r="LG30" s="259">
        <v>28.82</v>
      </c>
      <c r="LH30" s="651" t="s">
        <v>2653</v>
      </c>
      <c r="LI30" s="651"/>
      <c r="LJ30" s="297" t="s">
        <v>3196</v>
      </c>
      <c r="LK30" s="202">
        <v>10.6</v>
      </c>
      <c r="LL30" s="669"/>
      <c r="LM30" s="202"/>
      <c r="LN30" s="445" t="s">
        <v>1927</v>
      </c>
      <c r="LO30" s="260">
        <f>SUM(LQ6:LQ9)</f>
        <v>5000.01</v>
      </c>
      <c r="LP30" s="297" t="s">
        <v>3273</v>
      </c>
      <c r="LQ30" s="202">
        <v>78.650000000000006</v>
      </c>
      <c r="LR30" s="692" t="s">
        <v>2941</v>
      </c>
      <c r="LS30" s="259"/>
    </row>
    <row r="31" spans="1:333" ht="12.75" customHeight="1">
      <c r="A31" s="753" t="s">
        <v>385</v>
      </c>
      <c r="B31" s="753"/>
      <c r="E31" s="170"/>
      <c r="F31" s="170"/>
      <c r="G31" s="753" t="s">
        <v>385</v>
      </c>
      <c r="H31" s="753"/>
      <c r="M31" s="756" t="s">
        <v>243</v>
      </c>
      <c r="N31" s="756"/>
      <c r="Q31" s="143" t="s">
        <v>1051</v>
      </c>
      <c r="R31" s="340">
        <v>55</v>
      </c>
      <c r="S31" s="756" t="s">
        <v>243</v>
      </c>
      <c r="T31" s="756"/>
      <c r="W31" s="241" t="s">
        <v>1072</v>
      </c>
      <c r="X31" s="241">
        <v>0</v>
      </c>
      <c r="Y31" s="760" t="s">
        <v>1001</v>
      </c>
      <c r="Z31" s="760"/>
      <c r="AE31" s="756" t="s">
        <v>243</v>
      </c>
      <c r="AF31" s="756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44" t="s">
        <v>1438</v>
      </c>
      <c r="DP31" s="744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1934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7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8">
        <v>200</v>
      </c>
      <c r="HG31" s="540"/>
      <c r="HH31" s="504" t="s">
        <v>2102</v>
      </c>
      <c r="HI31" s="503">
        <v>23.05</v>
      </c>
      <c r="HJ31" s="534" t="s">
        <v>2158</v>
      </c>
      <c r="HK31" s="538">
        <v>300</v>
      </c>
      <c r="HL31" s="544">
        <v>45</v>
      </c>
      <c r="HM31" s="534" t="s">
        <v>1602</v>
      </c>
      <c r="HP31" s="299" t="s">
        <v>2130</v>
      </c>
      <c r="HQ31" s="509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8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5">
        <v>125.91</v>
      </c>
      <c r="IH31" s="503"/>
      <c r="II31" s="327"/>
      <c r="IJ31" s="297" t="s">
        <v>2379</v>
      </c>
      <c r="IK31" s="340">
        <f>22+32.4</f>
        <v>54.4</v>
      </c>
      <c r="IL31" s="325"/>
      <c r="IM31" s="332"/>
      <c r="IN31" s="510"/>
      <c r="IP31" s="297" t="s">
        <v>2433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2857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8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10"/>
      <c r="KW31" s="609"/>
      <c r="KX31" s="143" t="s">
        <v>2308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2308</v>
      </c>
      <c r="LE31" s="202">
        <f>15+16.38+16.09+15.91+10+16.16+19.63</f>
        <v>109.16999999999999</v>
      </c>
      <c r="LF31" s="639"/>
      <c r="LG31" s="259"/>
      <c r="LH31" s="445" t="s">
        <v>1927</v>
      </c>
      <c r="LI31" s="260">
        <f>SUM(LK6:LK7)</f>
        <v>1900.02</v>
      </c>
      <c r="LJ31" s="297" t="s">
        <v>3233</v>
      </c>
      <c r="LK31" s="335">
        <f>45.98+50</f>
        <v>95.97999999999999</v>
      </c>
      <c r="LL31" s="657" t="s">
        <v>2407</v>
      </c>
      <c r="LM31" s="202"/>
      <c r="LN31" s="312" t="s">
        <v>2985</v>
      </c>
      <c r="LO31" s="260">
        <f>SUM(LQ22:LQ22)</f>
        <v>63322.06</v>
      </c>
      <c r="LP31" s="297" t="s">
        <v>3281</v>
      </c>
      <c r="LQ31" s="202">
        <f>9.79+12.29</f>
        <v>22.08</v>
      </c>
      <c r="LR31" s="689" t="s">
        <v>2407</v>
      </c>
      <c r="LS31" s="202"/>
      <c r="LT31" s="202"/>
    </row>
    <row r="32" spans="1:333">
      <c r="A32" s="760" t="s">
        <v>1001</v>
      </c>
      <c r="B32" s="760"/>
      <c r="C32" s="244"/>
      <c r="D32" s="244"/>
      <c r="E32" s="244"/>
      <c r="F32" s="244"/>
      <c r="G32" s="760" t="s">
        <v>1001</v>
      </c>
      <c r="H32" s="760"/>
      <c r="K32" s="241" t="s">
        <v>1021</v>
      </c>
      <c r="L32" s="241"/>
      <c r="M32" s="758" t="s">
        <v>1034</v>
      </c>
      <c r="N32" s="758"/>
      <c r="Q32" s="143" t="s">
        <v>1016</v>
      </c>
      <c r="R32" s="340">
        <v>77.239999999999995</v>
      </c>
      <c r="S32" s="758" t="s">
        <v>1034</v>
      </c>
      <c r="T32" s="758"/>
      <c r="Y32" s="756" t="s">
        <v>243</v>
      </c>
      <c r="Z32" s="756"/>
      <c r="AC32" s="196" t="s">
        <v>1012</v>
      </c>
      <c r="AD32" s="340">
        <v>350</v>
      </c>
      <c r="AE32" s="758" t="s">
        <v>1034</v>
      </c>
      <c r="AF32" s="758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54" t="s">
        <v>1411</v>
      </c>
      <c r="DB32" s="755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2006</v>
      </c>
      <c r="GO32" s="340">
        <v>10</v>
      </c>
      <c r="GP32" s="556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1" t="s">
        <v>2115</v>
      </c>
      <c r="HI32" s="510">
        <v>1580.64</v>
      </c>
      <c r="HK32" s="308"/>
      <c r="HL32" s="544">
        <v>5</v>
      </c>
      <c r="HM32" s="534" t="s">
        <v>2162</v>
      </c>
      <c r="HP32" s="299" t="s">
        <v>2202</v>
      </c>
      <c r="HQ32" s="509"/>
      <c r="HR32" s="539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3"/>
      <c r="II32" s="327"/>
      <c r="IJ32" s="297" t="s">
        <v>2380</v>
      </c>
      <c r="IK32" s="340">
        <f>10.1+8+57.3+1.6</f>
        <v>77</v>
      </c>
      <c r="IL32" s="340" t="s">
        <v>506</v>
      </c>
      <c r="IN32" s="740" t="s">
        <v>2134</v>
      </c>
      <c r="IO32" s="740"/>
      <c r="IP32" s="297" t="s">
        <v>2452</v>
      </c>
      <c r="IQ32" s="202">
        <v>6.5</v>
      </c>
      <c r="IR32" s="340" t="s">
        <v>506</v>
      </c>
      <c r="IV32" s="544">
        <v>10</v>
      </c>
      <c r="IW32" s="549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4">
        <v>10</v>
      </c>
      <c r="KG32" s="557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2"/>
      <c r="KW32" s="621"/>
      <c r="KX32" s="297" t="s">
        <v>3106</v>
      </c>
      <c r="KY32" s="202">
        <v>40</v>
      </c>
      <c r="KZ32" s="613"/>
      <c r="LD32" s="297" t="s">
        <v>3173</v>
      </c>
      <c r="LE32" s="202">
        <v>40</v>
      </c>
      <c r="LF32" s="648"/>
      <c r="LH32" s="312" t="s">
        <v>2985</v>
      </c>
      <c r="LI32" s="260">
        <f>SUM(LK20:LK20)</f>
        <v>1154.33</v>
      </c>
      <c r="LJ32" s="297" t="s">
        <v>3246</v>
      </c>
      <c r="LK32" s="335">
        <v>43.76</v>
      </c>
      <c r="LL32" s="679" t="s">
        <v>3220</v>
      </c>
      <c r="LM32" s="202">
        <v>37.99</v>
      </c>
      <c r="LN32" s="446" t="s">
        <v>2973</v>
      </c>
      <c r="LO32" s="259">
        <f>SUM(LQ10:LQ11)</f>
        <v>136.5</v>
      </c>
      <c r="LP32" s="297" t="s">
        <v>1862</v>
      </c>
      <c r="LQ32" s="335"/>
      <c r="LR32" s="692" t="s">
        <v>3240</v>
      </c>
      <c r="LS32" s="202">
        <v>51.45</v>
      </c>
      <c r="LT32" s="202"/>
    </row>
    <row r="33" spans="1:332">
      <c r="A33" s="756" t="s">
        <v>243</v>
      </c>
      <c r="B33" s="756"/>
      <c r="E33" s="187" t="s">
        <v>368</v>
      </c>
      <c r="F33" s="170"/>
      <c r="G33" s="756" t="s">
        <v>243</v>
      </c>
      <c r="H33" s="756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58" t="s">
        <v>1034</v>
      </c>
      <c r="Z33" s="758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40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8">
        <v>35</v>
      </c>
      <c r="HG33" s="315" t="s">
        <v>2088</v>
      </c>
      <c r="HH33" s="511" t="s">
        <v>2133</v>
      </c>
      <c r="HI33" s="510">
        <v>6.1</v>
      </c>
      <c r="HL33" s="544">
        <v>17</v>
      </c>
      <c r="HM33" s="534" t="s">
        <v>2155</v>
      </c>
      <c r="HP33" s="297" t="s">
        <v>2128</v>
      </c>
      <c r="HQ33" s="340">
        <f>SUM(HS24:HS29)</f>
        <v>160.6</v>
      </c>
      <c r="HR33" s="540" t="s">
        <v>2174</v>
      </c>
      <c r="HS33" s="541">
        <f>HO18+HQ36-HU24</f>
        <v>100</v>
      </c>
      <c r="HT33" s="487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3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8"/>
      <c r="IV33" s="486" t="s">
        <v>2504</v>
      </c>
      <c r="IW33" s="492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4">
        <v>40</v>
      </c>
      <c r="JO33" s="549" t="s">
        <v>2656</v>
      </c>
      <c r="JQ33" s="259"/>
      <c r="JT33" s="544">
        <v>10</v>
      </c>
      <c r="JU33" s="549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4">
        <v>70</v>
      </c>
      <c r="KG33" s="549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2"/>
      <c r="KW33" s="621"/>
      <c r="KX33" s="297" t="s">
        <v>3092</v>
      </c>
      <c r="KY33" s="202">
        <v>10</v>
      </c>
      <c r="KZ33" s="598"/>
      <c r="LA33" s="202"/>
      <c r="LD33" s="297" t="s">
        <v>3156</v>
      </c>
      <c r="LE33" s="202">
        <f>530+3</f>
        <v>533</v>
      </c>
      <c r="LF33" s="625" t="s">
        <v>3011</v>
      </c>
      <c r="LH33" s="446" t="s">
        <v>2973</v>
      </c>
      <c r="LI33" s="259">
        <f>SUM(LK8:LK9)</f>
        <v>393.36</v>
      </c>
      <c r="LJ33" s="297" t="s">
        <v>3225</v>
      </c>
      <c r="LK33" s="335">
        <f>15.1+24.6</f>
        <v>39.700000000000003</v>
      </c>
      <c r="LL33" s="679" t="s">
        <v>3244</v>
      </c>
      <c r="LM33" s="202">
        <v>10184</v>
      </c>
      <c r="LN33" s="301" t="s">
        <v>3195</v>
      </c>
      <c r="LO33" s="259">
        <f>SUM(LQ13:LQ18)</f>
        <v>1290.03</v>
      </c>
      <c r="LP33" s="297" t="s">
        <v>1862</v>
      </c>
      <c r="LQ33" s="335"/>
      <c r="LR33" s="692" t="s">
        <v>3257</v>
      </c>
      <c r="LS33" s="202">
        <v>212.55</v>
      </c>
      <c r="LT33" s="202"/>
    </row>
    <row r="34" spans="1:332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1915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8">
        <v>280</v>
      </c>
      <c r="GU34" s="540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8">
        <v>40</v>
      </c>
      <c r="HG34" s="534" t="s">
        <v>2086</v>
      </c>
      <c r="HL34" s="544">
        <v>6</v>
      </c>
      <c r="HM34" s="534" t="s">
        <v>2143</v>
      </c>
      <c r="HP34" s="297" t="s">
        <v>2634</v>
      </c>
      <c r="HR34" s="544">
        <v>4</v>
      </c>
      <c r="HS34" s="534" t="s">
        <v>2204</v>
      </c>
      <c r="HT34" s="504"/>
      <c r="HU34" s="332"/>
      <c r="HX34" s="539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3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8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2647</v>
      </c>
      <c r="JR34" s="309" t="s">
        <v>2724</v>
      </c>
      <c r="JS34" s="538">
        <v>100</v>
      </c>
      <c r="JT34" s="544">
        <v>10</v>
      </c>
      <c r="JU34" s="549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4">
        <v>45</v>
      </c>
      <c r="KG34" s="549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10"/>
      <c r="KW34" s="609"/>
      <c r="KX34" s="297" t="s">
        <v>3091</v>
      </c>
      <c r="KY34" s="202">
        <v>13.5</v>
      </c>
      <c r="KZ34" s="325" t="s">
        <v>3011</v>
      </c>
      <c r="LD34" s="297" t="s">
        <v>3162</v>
      </c>
      <c r="LE34" s="202">
        <v>42.9</v>
      </c>
      <c r="LF34" s="625" t="s">
        <v>3160</v>
      </c>
      <c r="LH34" s="301" t="s">
        <v>3195</v>
      </c>
      <c r="LI34" s="259">
        <f>SUM(LK10:LK16)</f>
        <v>1005.08</v>
      </c>
      <c r="LJ34" s="297" t="s">
        <v>3215</v>
      </c>
      <c r="LK34" s="335">
        <v>50.36</v>
      </c>
      <c r="LL34" s="666" t="s">
        <v>3194</v>
      </c>
      <c r="LM34" s="202">
        <v>28.82</v>
      </c>
      <c r="LN34" s="256" t="s">
        <v>2981</v>
      </c>
      <c r="LO34" s="331">
        <f>SUM(LQ19:LQ21)</f>
        <v>0</v>
      </c>
      <c r="LP34" s="297" t="s">
        <v>1862</v>
      </c>
      <c r="LQ34" s="335"/>
      <c r="LR34" s="692" t="s">
        <v>3268</v>
      </c>
      <c r="LS34" s="202">
        <v>37.99</v>
      </c>
      <c r="LT34" s="202"/>
    </row>
    <row r="35" spans="1:332" ht="14.25" customHeight="1">
      <c r="A35" s="762"/>
      <c r="B35" s="762"/>
      <c r="E35" s="172" t="s">
        <v>403</v>
      </c>
      <c r="F35" s="170">
        <v>250</v>
      </c>
      <c r="G35" s="762"/>
      <c r="H35" s="762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1908</v>
      </c>
      <c r="FW35" s="309"/>
      <c r="FX35" s="340" t="s">
        <v>506</v>
      </c>
      <c r="GB35" s="309" t="s">
        <v>1921</v>
      </c>
      <c r="GC35" s="309"/>
      <c r="GH35" s="534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8">
        <v>40</v>
      </c>
      <c r="HG35" s="534" t="s">
        <v>2111</v>
      </c>
      <c r="HH35" s="340" t="s">
        <v>506</v>
      </c>
      <c r="HL35" s="504" t="s">
        <v>2120</v>
      </c>
      <c r="HM35" s="490">
        <v>24.7</v>
      </c>
      <c r="HQ35" s="308"/>
      <c r="HR35" s="544">
        <v>40</v>
      </c>
      <c r="HS35" s="534" t="s">
        <v>2086</v>
      </c>
      <c r="HT35" s="504"/>
      <c r="HU35" s="332"/>
      <c r="HV35" s="534" t="s">
        <v>2223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3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40" t="s">
        <v>1411</v>
      </c>
      <c r="JI35" s="541">
        <f>JE21+JG37-JK22</f>
        <v>100</v>
      </c>
      <c r="JL35" s="534" t="s">
        <v>2684</v>
      </c>
      <c r="JM35" s="538">
        <f>50+400+200+100</f>
        <v>750</v>
      </c>
      <c r="JN35" s="544">
        <v>9</v>
      </c>
      <c r="JO35" s="549" t="s">
        <v>2646</v>
      </c>
      <c r="JP35" s="340" t="s">
        <v>506</v>
      </c>
      <c r="JT35" s="544">
        <v>10</v>
      </c>
      <c r="JU35" s="549" t="s">
        <v>2710</v>
      </c>
      <c r="JZ35" s="297" t="s">
        <v>2808</v>
      </c>
      <c r="KA35" s="335">
        <v>10</v>
      </c>
      <c r="KD35" s="297" t="s">
        <v>2857</v>
      </c>
      <c r="KE35" s="552">
        <f>SUM(KG22:KG28)</f>
        <v>339.56</v>
      </c>
      <c r="KF35" s="544">
        <v>30</v>
      </c>
      <c r="KG35" s="549" t="s">
        <v>2855</v>
      </c>
      <c r="KH35" s="325" t="s">
        <v>2360</v>
      </c>
      <c r="KJ35" s="461" t="s">
        <v>2653</v>
      </c>
      <c r="KK35" s="461"/>
      <c r="KL35" s="340" t="s">
        <v>2940</v>
      </c>
      <c r="KM35" s="261">
        <v>400</v>
      </c>
      <c r="KN35" s="325" t="s">
        <v>2976</v>
      </c>
      <c r="KO35" s="202">
        <v>57.6</v>
      </c>
      <c r="KP35" s="461" t="s">
        <v>2653</v>
      </c>
      <c r="KQ35" s="461"/>
      <c r="KR35" s="297" t="s">
        <v>3064</v>
      </c>
      <c r="KS35" s="335">
        <v>40.4</v>
      </c>
      <c r="KT35" s="325" t="s">
        <v>3011</v>
      </c>
      <c r="KV35" s="609"/>
      <c r="KW35" s="609"/>
      <c r="KX35" s="297" t="s">
        <v>3107</v>
      </c>
      <c r="KY35" s="202">
        <f>12.5+36</f>
        <v>48.5</v>
      </c>
      <c r="KZ35" s="325" t="s">
        <v>3084</v>
      </c>
      <c r="LA35" s="285"/>
      <c r="LB35" s="619" t="s">
        <v>2653</v>
      </c>
      <c r="LC35" s="619"/>
      <c r="LD35" s="297" t="s">
        <v>3163</v>
      </c>
      <c r="LE35" s="202">
        <v>36.9</v>
      </c>
      <c r="LF35" s="621" t="s">
        <v>506</v>
      </c>
      <c r="LH35" s="256" t="s">
        <v>2981</v>
      </c>
      <c r="LI35" s="331">
        <f>SUM(LK17:LK19)</f>
        <v>685.72</v>
      </c>
      <c r="LJ35" s="297" t="s">
        <v>3217</v>
      </c>
      <c r="LK35" s="335">
        <v>172.3</v>
      </c>
      <c r="LL35" s="660" t="s">
        <v>3210</v>
      </c>
      <c r="LM35" s="202">
        <v>21.1</v>
      </c>
      <c r="LN35" s="448" t="s">
        <v>2835</v>
      </c>
      <c r="LO35" s="259">
        <f>SUM(LQ23:LQ28)</f>
        <v>590.44000000000005</v>
      </c>
      <c r="LP35" s="217" t="s">
        <v>3211</v>
      </c>
      <c r="LQ35" s="274">
        <f>111</f>
        <v>111</v>
      </c>
      <c r="LR35" s="692" t="s">
        <v>3210</v>
      </c>
      <c r="LS35" s="202">
        <v>21.1</v>
      </c>
      <c r="LT35" s="202"/>
    </row>
    <row r="36" spans="1:332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49" t="s">
        <v>1536</v>
      </c>
      <c r="DT36" s="750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60">
        <v>71.8</v>
      </c>
      <c r="GU36" s="534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2152</v>
      </c>
      <c r="HM36" s="561">
        <v>20760</v>
      </c>
      <c r="HP36" s="534" t="s">
        <v>2187</v>
      </c>
      <c r="HQ36" s="538">
        <v>100</v>
      </c>
      <c r="HR36" s="544">
        <v>20</v>
      </c>
      <c r="HS36" s="534" t="s">
        <v>2176</v>
      </c>
      <c r="HT36" s="511"/>
      <c r="HU36" s="332"/>
      <c r="HX36" s="544">
        <v>140</v>
      </c>
      <c r="HY36" s="534" t="s">
        <v>2247</v>
      </c>
      <c r="HZ36" s="285" t="s">
        <v>1639</v>
      </c>
      <c r="IA36" s="318">
        <v>4000</v>
      </c>
      <c r="IC36" s="488"/>
      <c r="ID36" s="340" t="s">
        <v>2161</v>
      </c>
      <c r="IE36" s="204">
        <v>52</v>
      </c>
      <c r="IH36" s="503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4">
        <v>8</v>
      </c>
      <c r="JI36" s="549" t="s">
        <v>2601</v>
      </c>
      <c r="JN36" s="544">
        <v>10</v>
      </c>
      <c r="JO36" s="549" t="s">
        <v>2657</v>
      </c>
      <c r="JP36" s="340" t="s">
        <v>93</v>
      </c>
      <c r="JS36" s="488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2">
        <v>100</v>
      </c>
      <c r="KF36" s="544">
        <v>6</v>
      </c>
      <c r="KG36" s="549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3211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10"/>
      <c r="KW36" s="609"/>
      <c r="KX36" s="297" t="s">
        <v>3096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3181</v>
      </c>
      <c r="LE36" s="335">
        <v>12</v>
      </c>
      <c r="LF36" s="621" t="s">
        <v>3020</v>
      </c>
      <c r="LH36" s="448" t="s">
        <v>2835</v>
      </c>
      <c r="LI36" s="259">
        <f>SUM(LK21:LK27)</f>
        <v>648.76</v>
      </c>
      <c r="LJ36" s="297" t="s">
        <v>3234</v>
      </c>
      <c r="LK36" s="335">
        <v>37.4</v>
      </c>
      <c r="LL36" s="657" t="s">
        <v>3011</v>
      </c>
      <c r="LN36" s="297" t="s">
        <v>2128</v>
      </c>
      <c r="LO36" s="259">
        <f>SUM(LQ29:LQ34)</f>
        <v>100.73</v>
      </c>
      <c r="LP36" s="539">
        <v>85.09</v>
      </c>
      <c r="LQ36" s="274"/>
      <c r="LR36" s="692" t="s">
        <v>3265</v>
      </c>
      <c r="LS36" s="202">
        <v>10184</v>
      </c>
      <c r="LT36" s="202"/>
    </row>
    <row r="37" spans="1:332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1919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2103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2177</v>
      </c>
      <c r="HT37" s="511"/>
      <c r="HU37" s="332"/>
      <c r="HX37" s="544">
        <v>40</v>
      </c>
      <c r="HY37" s="534" t="s">
        <v>1827</v>
      </c>
      <c r="HZ37" s="325" t="s">
        <v>2205</v>
      </c>
      <c r="IA37" s="332"/>
      <c r="IC37" s="488"/>
      <c r="ID37" s="217" t="s">
        <v>2160</v>
      </c>
      <c r="IE37" s="217">
        <v>453</v>
      </c>
      <c r="IH37" s="503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4">
        <v>399</v>
      </c>
      <c r="IQ37" s="549" t="s">
        <v>2412</v>
      </c>
      <c r="IV37" s="325" t="s">
        <v>2503</v>
      </c>
      <c r="IW37" s="335">
        <v>104.35</v>
      </c>
      <c r="JB37" s="539">
        <v>23.85</v>
      </c>
      <c r="JC37" s="274"/>
      <c r="JF37" s="534" t="s">
        <v>2619</v>
      </c>
      <c r="JG37" s="538">
        <v>200</v>
      </c>
      <c r="JH37" s="544">
        <v>8</v>
      </c>
      <c r="JI37" s="549" t="s">
        <v>2604</v>
      </c>
      <c r="JN37" s="544">
        <v>192.7</v>
      </c>
      <c r="JO37" s="549" t="s">
        <v>2683</v>
      </c>
      <c r="JP37" s="340" t="s">
        <v>1034</v>
      </c>
      <c r="JS37" s="488"/>
      <c r="JT37" s="412" t="s">
        <v>2744</v>
      </c>
      <c r="JU37" s="413">
        <v>5.35</v>
      </c>
      <c r="JZ37" s="297" t="s">
        <v>2790</v>
      </c>
      <c r="KA37" s="335">
        <v>33.03</v>
      </c>
      <c r="KF37" s="544">
        <v>25.9</v>
      </c>
      <c r="KG37" s="549" t="s">
        <v>2880</v>
      </c>
      <c r="KJ37" s="312" t="s">
        <v>2985</v>
      </c>
      <c r="KK37" s="260">
        <f>SUM(KM14:KM17)</f>
        <v>53578.656000000003</v>
      </c>
      <c r="KL37" s="539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3115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3167</v>
      </c>
      <c r="LE37" s="335">
        <f>34.12+23.77</f>
        <v>57.89</v>
      </c>
      <c r="LF37" s="621" t="s">
        <v>3019</v>
      </c>
      <c r="LH37" s="297" t="s">
        <v>2128</v>
      </c>
      <c r="LI37" s="259">
        <f>SUM(LK28:LK37)</f>
        <v>481.59999999999997</v>
      </c>
      <c r="LJ37" s="297" t="s">
        <v>3232</v>
      </c>
      <c r="LK37" s="335">
        <v>6.5</v>
      </c>
      <c r="LL37" s="657" t="s">
        <v>3160</v>
      </c>
      <c r="LN37" s="297" t="s">
        <v>2857</v>
      </c>
      <c r="LO37" s="552">
        <f>SUM(LQ31:LQ34)</f>
        <v>22.08</v>
      </c>
      <c r="LP37" s="540"/>
      <c r="LQ37" s="541">
        <f>LM23+LO39-LS25</f>
        <v>0</v>
      </c>
      <c r="LR37" s="692" t="s">
        <v>3194</v>
      </c>
      <c r="LS37" s="202">
        <v>28.82</v>
      </c>
      <c r="LT37" s="202"/>
    </row>
    <row r="38" spans="1:332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1885</v>
      </c>
      <c r="FW38" s="204">
        <v>8.5299999999999994</v>
      </c>
      <c r="FX38" s="340" t="s">
        <v>1149</v>
      </c>
      <c r="GB38" s="534" t="s">
        <v>1922</v>
      </c>
      <c r="GC38" s="309"/>
      <c r="GH38" s="556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8">
        <v>5</v>
      </c>
      <c r="GU38" s="534" t="s">
        <v>2051</v>
      </c>
      <c r="GZ38" s="297" t="s">
        <v>2077</v>
      </c>
      <c r="HA38" s="340">
        <f>36.3+3.2+61.6</f>
        <v>101.1</v>
      </c>
      <c r="HB38" s="340" t="s">
        <v>506</v>
      </c>
      <c r="HF38" s="504" t="s">
        <v>2095</v>
      </c>
      <c r="HG38" s="471">
        <v>17367.45</v>
      </c>
      <c r="HH38" s="340" t="s">
        <v>1149</v>
      </c>
      <c r="HR38" s="504" t="s">
        <v>2184</v>
      </c>
      <c r="HS38" s="561">
        <v>9.9</v>
      </c>
      <c r="HT38" s="340" t="s">
        <v>506</v>
      </c>
      <c r="HX38" s="544">
        <v>40</v>
      </c>
      <c r="HY38" s="534" t="s">
        <v>2246</v>
      </c>
      <c r="HZ38" s="511" t="s">
        <v>2206</v>
      </c>
      <c r="IA38" s="545">
        <v>21.35</v>
      </c>
      <c r="IC38" s="559"/>
      <c r="ID38" s="539">
        <v>28.33</v>
      </c>
      <c r="IE38" s="217"/>
      <c r="IH38" s="510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4">
        <v>35</v>
      </c>
      <c r="IQ38" s="549" t="s">
        <v>2404</v>
      </c>
      <c r="IV38" s="325" t="s">
        <v>2503</v>
      </c>
      <c r="IW38" s="335">
        <v>51.81</v>
      </c>
      <c r="IZ38" s="534" t="s">
        <v>2554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3" t="s">
        <v>2872</v>
      </c>
      <c r="KG38" s="492">
        <v>70</v>
      </c>
      <c r="KJ38" s="446" t="s">
        <v>2973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3095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3168</v>
      </c>
      <c r="LE38" s="335">
        <f>7.5*2+38.7</f>
        <v>53.7</v>
      </c>
      <c r="LF38" s="621" t="s">
        <v>3018</v>
      </c>
      <c r="LH38" s="297" t="s">
        <v>2857</v>
      </c>
      <c r="LI38" s="552">
        <f>SUM(LK30:LK37)</f>
        <v>456.59999999999997</v>
      </c>
      <c r="LJ38" s="217" t="s">
        <v>3211</v>
      </c>
      <c r="LK38" s="274">
        <f>97+232+92</f>
        <v>421</v>
      </c>
      <c r="LL38" s="654" t="s">
        <v>506</v>
      </c>
      <c r="LP38" s="544"/>
      <c r="LQ38" s="557"/>
      <c r="LR38" s="689" t="s">
        <v>3011</v>
      </c>
      <c r="LT38" s="202"/>
    </row>
    <row r="39" spans="1:332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44" t="s">
        <v>1438</v>
      </c>
      <c r="DJ39" s="744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1900</v>
      </c>
      <c r="FW39" s="204">
        <v>184</v>
      </c>
      <c r="FX39" s="340" t="s">
        <v>1034</v>
      </c>
      <c r="GB39" s="534" t="s">
        <v>1932</v>
      </c>
      <c r="GC39" s="309"/>
      <c r="GH39" s="556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8">
        <v>20</v>
      </c>
      <c r="GU39" s="534" t="s">
        <v>2054</v>
      </c>
      <c r="GZ39" s="297" t="s">
        <v>2144</v>
      </c>
      <c r="HA39" s="340">
        <v>84.3</v>
      </c>
      <c r="HB39" s="340" t="s">
        <v>1673</v>
      </c>
      <c r="HF39" s="504" t="s">
        <v>2109</v>
      </c>
      <c r="HG39" s="490">
        <v>88</v>
      </c>
      <c r="HH39" s="340" t="s">
        <v>1034</v>
      </c>
      <c r="HL39" s="504"/>
      <c r="HM39" s="490"/>
      <c r="HR39" s="504" t="s">
        <v>2196</v>
      </c>
      <c r="HS39" s="490">
        <v>10.57</v>
      </c>
      <c r="HT39" s="340" t="s">
        <v>93</v>
      </c>
      <c r="HX39" s="544">
        <v>40</v>
      </c>
      <c r="HY39" s="534" t="s">
        <v>2220</v>
      </c>
      <c r="HZ39" s="325" t="s">
        <v>2222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2634</v>
      </c>
      <c r="IO39" s="259">
        <f>SUM(IQ25:IQ32)</f>
        <v>303.81</v>
      </c>
      <c r="IP39" s="544">
        <v>7.9</v>
      </c>
      <c r="IQ39" s="549" t="s">
        <v>2405</v>
      </c>
      <c r="IV39" s="325" t="s">
        <v>2503</v>
      </c>
      <c r="IW39" s="335">
        <v>28.77</v>
      </c>
      <c r="IZ39" s="471"/>
      <c r="JA39" s="564"/>
      <c r="JB39" s="544">
        <v>130</v>
      </c>
      <c r="JC39" s="549" t="s">
        <v>2526</v>
      </c>
      <c r="JH39" s="544">
        <v>10</v>
      </c>
      <c r="JI39" s="549" t="s">
        <v>2616</v>
      </c>
      <c r="JM39" s="488"/>
      <c r="JN39" s="544">
        <v>10</v>
      </c>
      <c r="JO39" s="218" t="s">
        <v>2651</v>
      </c>
      <c r="JS39" s="565" t="s">
        <v>2745</v>
      </c>
      <c r="JT39" s="406" t="s">
        <v>2722</v>
      </c>
      <c r="JU39" s="405">
        <v>89.39</v>
      </c>
      <c r="JX39" s="461" t="s">
        <v>2653</v>
      </c>
      <c r="JY39" s="461"/>
      <c r="JZ39" s="297" t="s">
        <v>2768</v>
      </c>
      <c r="KA39" s="335">
        <v>31</v>
      </c>
      <c r="KF39" s="566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4">
        <v>40</v>
      </c>
      <c r="KM39" s="557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3211</v>
      </c>
      <c r="KS39" s="274">
        <v>547</v>
      </c>
      <c r="KT39" s="340" t="s">
        <v>506</v>
      </c>
      <c r="KX39" s="297" t="s">
        <v>3143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3170</v>
      </c>
      <c r="LE39" s="335">
        <v>32.5</v>
      </c>
      <c r="LF39" s="618" t="s">
        <v>2956</v>
      </c>
      <c r="LJ39" s="539">
        <v>22.09</v>
      </c>
      <c r="LK39" s="274"/>
      <c r="LL39" s="654" t="s">
        <v>3020</v>
      </c>
      <c r="LN39" s="309" t="s">
        <v>3288</v>
      </c>
      <c r="LO39" s="562">
        <v>300</v>
      </c>
      <c r="LP39" s="544"/>
      <c r="LQ39" s="549"/>
      <c r="LR39" s="689" t="s">
        <v>3160</v>
      </c>
      <c r="LT39" s="202"/>
    </row>
    <row r="40" spans="1:332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1933</v>
      </c>
      <c r="GC40" s="309"/>
      <c r="GH40" s="556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2052</v>
      </c>
      <c r="GV40" s="340" t="s">
        <v>478</v>
      </c>
      <c r="GZ40" s="297"/>
      <c r="HB40" s="340" t="s">
        <v>93</v>
      </c>
      <c r="HF40" s="504" t="s">
        <v>2096</v>
      </c>
      <c r="HG40" s="490">
        <v>9.2200000000000006</v>
      </c>
      <c r="HR40" s="504"/>
      <c r="HS40" s="490"/>
      <c r="HX40" s="544">
        <v>20</v>
      </c>
      <c r="HY40" s="534" t="s">
        <v>2243</v>
      </c>
      <c r="ID40" s="544">
        <v>70</v>
      </c>
      <c r="IE40" s="534" t="s">
        <v>2177</v>
      </c>
      <c r="IH40" s="740" t="s">
        <v>2134</v>
      </c>
      <c r="II40" s="740"/>
      <c r="IJ40" s="544">
        <v>20</v>
      </c>
      <c r="IK40" s="534" t="s">
        <v>2348</v>
      </c>
      <c r="IN40" s="534" t="s">
        <v>2447</v>
      </c>
      <c r="IO40" s="538">
        <f>100+400+100+100</f>
        <v>700</v>
      </c>
      <c r="IP40" s="544">
        <v>6</v>
      </c>
      <c r="IQ40" s="549" t="s">
        <v>2177</v>
      </c>
      <c r="IV40" s="511"/>
      <c r="IW40" s="335"/>
      <c r="JA40" s="488"/>
      <c r="JB40" s="544">
        <v>30</v>
      </c>
      <c r="JC40" s="549" t="s">
        <v>2557</v>
      </c>
      <c r="JH40" s="544">
        <v>12</v>
      </c>
      <c r="JI40" s="549" t="s">
        <v>2620</v>
      </c>
      <c r="JM40" s="488"/>
      <c r="JN40" s="544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4">
        <v>6</v>
      </c>
      <c r="KM40" s="549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9">
        <v>25.54</v>
      </c>
      <c r="KS40" s="274"/>
      <c r="KT40" s="340" t="s">
        <v>3020</v>
      </c>
      <c r="KX40" s="297" t="s">
        <v>3122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3211</v>
      </c>
      <c r="LE40" s="274">
        <f>385+59</f>
        <v>444</v>
      </c>
      <c r="LH40" s="309" t="s">
        <v>3231</v>
      </c>
      <c r="LI40" s="562">
        <v>300</v>
      </c>
      <c r="LJ40" s="540" t="s">
        <v>1411</v>
      </c>
      <c r="LK40" s="541">
        <f>LG23+LI40-LM23</f>
        <v>250</v>
      </c>
      <c r="LL40" s="654" t="s">
        <v>3019</v>
      </c>
      <c r="LP40" s="544"/>
      <c r="LQ40" s="549"/>
      <c r="LR40" s="686" t="s">
        <v>506</v>
      </c>
      <c r="LT40" s="202"/>
    </row>
    <row r="41" spans="1:332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1906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2216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9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4">
        <v>10</v>
      </c>
      <c r="KM41" s="549" t="s">
        <v>2947</v>
      </c>
      <c r="KN41" s="759" t="s">
        <v>2956</v>
      </c>
      <c r="KO41" s="759"/>
      <c r="KP41" s="297" t="s">
        <v>2128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3019</v>
      </c>
      <c r="KX41" s="297" t="s">
        <v>3123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9">
        <v>58.81</v>
      </c>
      <c r="LE41" s="274"/>
      <c r="LF41" s="621" t="s">
        <v>2954</v>
      </c>
      <c r="LJ41" s="544">
        <v>40</v>
      </c>
      <c r="LK41" s="557" t="s">
        <v>3191</v>
      </c>
      <c r="LL41" s="654" t="s">
        <v>3018</v>
      </c>
      <c r="LO41" s="690"/>
      <c r="LP41" s="544"/>
      <c r="LQ41" s="549"/>
      <c r="LR41" s="686" t="s">
        <v>3020</v>
      </c>
      <c r="LT41" s="202"/>
    </row>
    <row r="42" spans="1:332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1920</v>
      </c>
      <c r="GC42" s="340">
        <v>80</v>
      </c>
      <c r="GH42" s="556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8">
        <v>6</v>
      </c>
      <c r="GU42" s="534" t="s">
        <v>2071</v>
      </c>
      <c r="GV42" s="265"/>
      <c r="GZ42" s="540"/>
      <c r="HA42" s="218"/>
      <c r="HB42" s="340" t="s">
        <v>1149</v>
      </c>
      <c r="HF42" s="445" t="s">
        <v>2126</v>
      </c>
      <c r="HG42" s="445">
        <v>440</v>
      </c>
      <c r="HR42" s="504"/>
      <c r="HS42" s="490"/>
      <c r="HX42" s="544">
        <v>45</v>
      </c>
      <c r="HY42" s="534" t="s">
        <v>2242</v>
      </c>
      <c r="IB42" s="534" t="s">
        <v>2273</v>
      </c>
      <c r="IC42" s="538">
        <v>205</v>
      </c>
      <c r="ID42" s="544">
        <v>15</v>
      </c>
      <c r="IE42" s="534" t="s">
        <v>2259</v>
      </c>
      <c r="IH42" s="305" t="s">
        <v>1927</v>
      </c>
      <c r="II42" s="260">
        <f>SUM(IK7:IK9)</f>
        <v>1946.12</v>
      </c>
      <c r="IJ42" s="544">
        <v>40</v>
      </c>
      <c r="IK42" s="534" t="s">
        <v>2324</v>
      </c>
      <c r="IP42" s="544">
        <v>30</v>
      </c>
      <c r="IQ42" s="549" t="s">
        <v>2409</v>
      </c>
      <c r="IV42" s="511"/>
      <c r="IW42" s="335"/>
      <c r="JA42" s="559"/>
      <c r="JB42" s="544">
        <v>30</v>
      </c>
      <c r="JC42" s="549" t="s">
        <v>2540</v>
      </c>
      <c r="JG42" s="488"/>
      <c r="JH42" s="325" t="s">
        <v>2603</v>
      </c>
      <c r="JI42" s="335">
        <v>751</v>
      </c>
      <c r="JM42" s="559"/>
      <c r="JN42" s="511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4">
        <v>6</v>
      </c>
      <c r="KM42" s="549" t="s">
        <v>2946</v>
      </c>
      <c r="KP42" s="297" t="s">
        <v>2857</v>
      </c>
      <c r="KQ42" s="552">
        <f>SUM(KS30:KS37)</f>
        <v>271.73</v>
      </c>
      <c r="KR42" s="544">
        <v>45</v>
      </c>
      <c r="KS42" s="557" t="s">
        <v>2177</v>
      </c>
      <c r="KT42" s="340" t="s">
        <v>3018</v>
      </c>
      <c r="KV42" s="461" t="s">
        <v>2653</v>
      </c>
      <c r="KW42" s="461"/>
      <c r="KX42" s="297" t="s">
        <v>3121</v>
      </c>
      <c r="KY42" s="202">
        <f>26.4+39.9</f>
        <v>66.3</v>
      </c>
      <c r="LB42" s="297" t="s">
        <v>2128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2955</v>
      </c>
      <c r="LI42" s="658"/>
      <c r="LJ42" s="544">
        <v>10</v>
      </c>
      <c r="LK42" s="549" t="s">
        <v>3192</v>
      </c>
      <c r="LL42" s="658" t="s">
        <v>2956</v>
      </c>
      <c r="LO42" s="690"/>
      <c r="LP42" s="544"/>
      <c r="LQ42" s="549"/>
      <c r="LR42" s="686" t="s">
        <v>3019</v>
      </c>
      <c r="LT42" s="202"/>
    </row>
    <row r="43" spans="1:332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1912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2175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2">
        <f>SUM(KM28:KM34)</f>
        <v>362.27</v>
      </c>
      <c r="KL43" s="544">
        <v>100</v>
      </c>
      <c r="KM43" s="549" t="s">
        <v>2944</v>
      </c>
      <c r="KN43" s="340" t="s">
        <v>2954</v>
      </c>
      <c r="KR43" s="544">
        <v>12.4</v>
      </c>
      <c r="KS43" s="549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3144</v>
      </c>
      <c r="KY43" s="202">
        <v>6</v>
      </c>
      <c r="KZ43" s="340" t="s">
        <v>2954</v>
      </c>
      <c r="LB43" s="297" t="s">
        <v>2857</v>
      </c>
      <c r="LC43" s="552">
        <f>SUM(LE34:LE39)</f>
        <v>235.89</v>
      </c>
      <c r="LD43" s="544">
        <v>22.2</v>
      </c>
      <c r="LE43" s="557" t="s">
        <v>3148</v>
      </c>
      <c r="LI43" s="658"/>
      <c r="LJ43" s="544">
        <v>30</v>
      </c>
      <c r="LK43" s="549" t="s">
        <v>3198</v>
      </c>
      <c r="LP43" s="544"/>
      <c r="LQ43" s="549"/>
      <c r="LR43" s="686" t="s">
        <v>3018</v>
      </c>
      <c r="LT43" s="202"/>
    </row>
    <row r="44" spans="1:332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1924</v>
      </c>
      <c r="GC44" s="204">
        <v>11</v>
      </c>
      <c r="GH44" s="556" t="s">
        <v>1955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2218</v>
      </c>
      <c r="HY44" s="490">
        <v>98.89</v>
      </c>
      <c r="HZ44" s="340" t="s">
        <v>506</v>
      </c>
      <c r="ID44" s="544">
        <v>10</v>
      </c>
      <c r="IE44" s="534" t="s">
        <v>2292</v>
      </c>
      <c r="IH44" s="243" t="s">
        <v>1928</v>
      </c>
      <c r="II44" s="260">
        <f>SUM(IK14:IK15)</f>
        <v>1933.7466666666667</v>
      </c>
      <c r="IJ44" s="544">
        <v>10</v>
      </c>
      <c r="IK44" s="534" t="s">
        <v>2347</v>
      </c>
      <c r="IP44" s="544">
        <v>20</v>
      </c>
      <c r="IQ44" s="549" t="s">
        <v>2442</v>
      </c>
      <c r="IV44" s="511"/>
      <c r="IW44" s="335"/>
      <c r="JB44" s="544">
        <v>13</v>
      </c>
      <c r="JC44" s="549" t="s">
        <v>2569</v>
      </c>
      <c r="JG44" s="488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4">
        <v>9</v>
      </c>
      <c r="KM44" s="549" t="s">
        <v>2945</v>
      </c>
      <c r="KN44" s="340" t="s">
        <v>2955</v>
      </c>
      <c r="KP44" s="309" t="s">
        <v>3030</v>
      </c>
      <c r="KQ44" s="562">
        <v>100</v>
      </c>
      <c r="KR44" s="544">
        <v>10</v>
      </c>
      <c r="KS44" s="549" t="s">
        <v>3074</v>
      </c>
      <c r="KV44" s="312" t="s">
        <v>2985</v>
      </c>
      <c r="KW44" s="260">
        <f>SUM(KY23:KY23)</f>
        <v>1196.72</v>
      </c>
      <c r="KX44" s="297" t="s">
        <v>3145</v>
      </c>
      <c r="KY44" s="202">
        <v>7.9</v>
      </c>
      <c r="KZ44" s="340" t="s">
        <v>2955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2954</v>
      </c>
      <c r="LP44" s="692" t="s">
        <v>3261</v>
      </c>
      <c r="LQ44" s="202">
        <v>1.35</v>
      </c>
      <c r="LR44" s="690" t="s">
        <v>2956</v>
      </c>
      <c r="LT44" s="202"/>
    </row>
    <row r="45" spans="1:332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1929</v>
      </c>
      <c r="GC45" s="204">
        <v>20</v>
      </c>
      <c r="GD45" s="265"/>
      <c r="GH45" s="556" t="s">
        <v>1969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2034</v>
      </c>
      <c r="GU45" s="204">
        <v>70</v>
      </c>
      <c r="GZ45" s="560">
        <v>60</v>
      </c>
      <c r="HA45" s="534" t="s">
        <v>1827</v>
      </c>
      <c r="HF45" s="340" t="s">
        <v>2049</v>
      </c>
      <c r="HG45" s="204">
        <v>90</v>
      </c>
      <c r="HX45" s="571" t="s">
        <v>2261</v>
      </c>
      <c r="HY45" s="571"/>
      <c r="HZ45" s="340" t="s">
        <v>93</v>
      </c>
      <c r="ID45" s="544">
        <f>20+9</f>
        <v>29</v>
      </c>
      <c r="IE45" s="534" t="s">
        <v>2307</v>
      </c>
      <c r="IH45" s="310" t="s">
        <v>1392</v>
      </c>
      <c r="II45" s="259">
        <f>SUM(IK10:IK11)</f>
        <v>3467.75</v>
      </c>
      <c r="IJ45" s="544">
        <v>20</v>
      </c>
      <c r="IK45" s="534" t="s">
        <v>2366</v>
      </c>
      <c r="IO45" s="488"/>
      <c r="IP45" s="544">
        <v>12</v>
      </c>
      <c r="IQ45" s="549" t="s">
        <v>2420</v>
      </c>
      <c r="IV45" s="337"/>
      <c r="IW45" s="339"/>
      <c r="JB45" s="486" t="s">
        <v>2541</v>
      </c>
      <c r="JC45" s="492">
        <v>18</v>
      </c>
      <c r="JG45" s="559"/>
      <c r="JH45" s="511" t="s">
        <v>2921</v>
      </c>
      <c r="JI45" s="335">
        <v>65</v>
      </c>
      <c r="JN45" s="340" t="s">
        <v>2687</v>
      </c>
      <c r="JO45" s="335">
        <v>120.36</v>
      </c>
      <c r="JT45" s="572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3" t="s">
        <v>2867</v>
      </c>
      <c r="KG45" s="340">
        <v>98.58</v>
      </c>
      <c r="KJ45" s="309" t="s">
        <v>2958</v>
      </c>
      <c r="KK45" s="562">
        <v>250</v>
      </c>
      <c r="KL45" s="544">
        <v>10</v>
      </c>
      <c r="KM45" s="549" t="s">
        <v>2952</v>
      </c>
      <c r="KR45" s="544">
        <f>10+10+5+5</f>
        <v>30</v>
      </c>
      <c r="KS45" s="549" t="s">
        <v>3075</v>
      </c>
      <c r="KT45" s="340" t="s">
        <v>2954</v>
      </c>
      <c r="KV45" s="446" t="s">
        <v>2973</v>
      </c>
      <c r="KW45" s="259">
        <v>0</v>
      </c>
      <c r="KX45" s="297" t="s">
        <v>3132</v>
      </c>
      <c r="KY45" s="335">
        <f>40.5+66.1</f>
        <v>106.6</v>
      </c>
      <c r="LB45" s="309" t="s">
        <v>3174</v>
      </c>
      <c r="LC45" s="562">
        <v>200</v>
      </c>
      <c r="LD45" s="544">
        <v>20</v>
      </c>
      <c r="LE45" s="549" t="s">
        <v>3189</v>
      </c>
      <c r="LJ45" s="544">
        <v>13</v>
      </c>
      <c r="LK45" s="549" t="s">
        <v>3218</v>
      </c>
      <c r="LL45" s="654" t="s">
        <v>2955</v>
      </c>
      <c r="LP45" s="563"/>
      <c r="LQ45" s="492"/>
      <c r="LT45" s="202"/>
    </row>
    <row r="46" spans="1:332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6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6" t="s">
        <v>2048</v>
      </c>
      <c r="GU46" s="204">
        <v>29.6</v>
      </c>
      <c r="GZ46" s="558">
        <v>20</v>
      </c>
      <c r="HA46" s="534" t="s">
        <v>2111</v>
      </c>
      <c r="HX46" s="571"/>
      <c r="HY46" s="571"/>
      <c r="ID46" s="325" t="s">
        <v>2318</v>
      </c>
      <c r="IE46" s="490">
        <v>23</v>
      </c>
      <c r="IH46" s="300" t="s">
        <v>2129</v>
      </c>
      <c r="II46" s="311">
        <f>SUM(IK12:IK13)</f>
        <v>2138.0500000000002</v>
      </c>
      <c r="IJ46" s="544">
        <v>5</v>
      </c>
      <c r="IK46" s="534" t="s">
        <v>2350</v>
      </c>
      <c r="IO46" s="488"/>
      <c r="IP46" s="544">
        <v>20</v>
      </c>
      <c r="IQ46" s="549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1" t="s">
        <v>2674</v>
      </c>
      <c r="JO46" s="335">
        <v>2.79</v>
      </c>
      <c r="JT46" s="572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4">
        <v>20</v>
      </c>
      <c r="KM46" s="549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3131</v>
      </c>
      <c r="KY46" s="335">
        <v>5.8</v>
      </c>
      <c r="LD46" s="544">
        <v>10</v>
      </c>
      <c r="LE46" s="549" t="s">
        <v>2177</v>
      </c>
      <c r="LJ46" s="544">
        <v>7</v>
      </c>
      <c r="LK46" s="549" t="s">
        <v>3260</v>
      </c>
      <c r="LQ46" s="202"/>
      <c r="LR46" s="686" t="s">
        <v>2954</v>
      </c>
      <c r="LT46" s="202"/>
    </row>
    <row r="47" spans="1:332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1935</v>
      </c>
      <c r="GC47" s="204">
        <v>30.35</v>
      </c>
      <c r="GH47" s="340" t="s">
        <v>1571</v>
      </c>
      <c r="GI47" s="285">
        <v>638</v>
      </c>
      <c r="GN47" s="534" t="s">
        <v>1992</v>
      </c>
      <c r="GO47" s="309"/>
      <c r="GP47" s="340" t="s">
        <v>1034</v>
      </c>
      <c r="GT47" s="556" t="s">
        <v>2031</v>
      </c>
      <c r="GU47" s="204">
        <v>32.1</v>
      </c>
      <c r="GZ47" s="558">
        <v>30</v>
      </c>
      <c r="HA47" s="534" t="s">
        <v>2070</v>
      </c>
      <c r="HX47" s="213" t="s">
        <v>2255</v>
      </c>
      <c r="HY47" s="340">
        <f>40+150</f>
        <v>190</v>
      </c>
      <c r="ID47" s="511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4">
        <v>7</v>
      </c>
      <c r="IK47" s="534" t="s">
        <v>2362</v>
      </c>
      <c r="IO47" s="559"/>
      <c r="IP47" s="538">
        <v>10</v>
      </c>
      <c r="IQ47" s="549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2" t="s">
        <v>2728</v>
      </c>
      <c r="JU47" s="409">
        <v>19.46</v>
      </c>
      <c r="JZ47" s="217" t="s">
        <v>3211</v>
      </c>
      <c r="KA47" s="274">
        <f>670+187</f>
        <v>857</v>
      </c>
      <c r="KE47" s="285"/>
      <c r="KK47" s="285"/>
      <c r="KL47" s="544">
        <v>24</v>
      </c>
      <c r="KM47" s="549" t="s">
        <v>2959</v>
      </c>
      <c r="KQ47" s="285"/>
      <c r="KR47" s="340" t="s">
        <v>3027</v>
      </c>
      <c r="KS47" s="340">
        <v>82.45</v>
      </c>
      <c r="KV47" s="254" t="s">
        <v>2981</v>
      </c>
      <c r="KW47" s="627">
        <f>SUM(KY14:KY22)</f>
        <v>1574</v>
      </c>
      <c r="KX47" s="340" t="s">
        <v>2940</v>
      </c>
      <c r="KY47" s="261">
        <f>400+110</f>
        <v>510</v>
      </c>
      <c r="LB47" s="621" t="s">
        <v>3098</v>
      </c>
      <c r="LC47" s="618"/>
      <c r="LD47" s="544">
        <v>7</v>
      </c>
      <c r="LE47" s="549" t="s">
        <v>3164</v>
      </c>
      <c r="LJ47" s="544">
        <v>50</v>
      </c>
      <c r="LK47" s="218" t="s">
        <v>2984</v>
      </c>
      <c r="LQ47" s="492"/>
      <c r="LR47" s="686" t="s">
        <v>2955</v>
      </c>
      <c r="LT47" s="202"/>
    </row>
    <row r="48" spans="1:332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4" t="s">
        <v>2013</v>
      </c>
      <c r="GO48" s="309"/>
      <c r="GT48" s="556" t="s">
        <v>1492</v>
      </c>
      <c r="GU48" s="340">
        <v>2.66</v>
      </c>
      <c r="GZ48" s="556" t="s">
        <v>2074</v>
      </c>
      <c r="HA48" s="204">
        <v>6</v>
      </c>
      <c r="HB48" s="265"/>
      <c r="HX48" s="355" t="s">
        <v>2226</v>
      </c>
      <c r="HY48" s="490">
        <v>150</v>
      </c>
      <c r="ID48" s="511" t="s">
        <v>1656</v>
      </c>
      <c r="IE48" s="340">
        <v>54.6</v>
      </c>
      <c r="IH48" s="297" t="s">
        <v>2128</v>
      </c>
      <c r="II48" s="311">
        <f>SUM(IK24:IK36)</f>
        <v>602.14</v>
      </c>
      <c r="IJ48" s="538">
        <f>-IK7</f>
        <v>-15</v>
      </c>
      <c r="IK48" s="534" t="s">
        <v>2351</v>
      </c>
      <c r="IP48" s="538">
        <f>17+11+6</f>
        <v>34</v>
      </c>
      <c r="IQ48" s="549" t="s">
        <v>2435</v>
      </c>
      <c r="IV48" s="504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6" t="s">
        <v>2740</v>
      </c>
      <c r="JT48" s="572" t="s">
        <v>2730</v>
      </c>
      <c r="JU48" s="410">
        <f>5.42+0.41+0.58+2.33+0.29+0.28+0.26+1.45+0.29+4.73+1.54</f>
        <v>17.579999999999998</v>
      </c>
      <c r="JZ48" s="539">
        <v>47.04</v>
      </c>
      <c r="KA48" s="274" t="s">
        <v>2829</v>
      </c>
      <c r="KK48" s="285"/>
      <c r="KL48" s="544">
        <v>8</v>
      </c>
      <c r="KM48" s="549" t="s">
        <v>2987</v>
      </c>
      <c r="KR48" s="563" t="s">
        <v>3036</v>
      </c>
      <c r="KS48" s="492">
        <v>50</v>
      </c>
      <c r="KV48" s="448" t="s">
        <v>2835</v>
      </c>
      <c r="KW48" s="259">
        <f>SUM(KY24:KY31)</f>
        <v>699.97</v>
      </c>
      <c r="KX48" s="217" t="s">
        <v>3211</v>
      </c>
      <c r="KY48" s="274">
        <f>194+179+2</f>
        <v>375</v>
      </c>
      <c r="LB48" s="621" t="s">
        <v>3099</v>
      </c>
      <c r="LC48" s="618"/>
      <c r="LD48" s="544">
        <v>30</v>
      </c>
      <c r="LE48" s="549" t="s">
        <v>3187</v>
      </c>
      <c r="LJ48" s="544">
        <v>40</v>
      </c>
      <c r="LK48" s="218" t="s">
        <v>3248</v>
      </c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2057</v>
      </c>
      <c r="GO49" s="309"/>
      <c r="GT49" s="556" t="s">
        <v>2023</v>
      </c>
      <c r="GU49" s="204">
        <v>60.6</v>
      </c>
      <c r="GV49" s="743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1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2441</v>
      </c>
      <c r="IV49" s="337"/>
      <c r="IW49" s="471"/>
      <c r="JB49" s="511"/>
      <c r="JC49" s="335"/>
      <c r="JH49" s="504"/>
      <c r="JI49" s="337"/>
      <c r="JN49" s="325" t="s">
        <v>2694</v>
      </c>
      <c r="JO49" s="335">
        <v>15.000999999999999</v>
      </c>
      <c r="JS49" s="569" t="s">
        <v>2741</v>
      </c>
      <c r="JT49" s="572" t="s">
        <v>2732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9">
        <v>1.9</v>
      </c>
      <c r="KY49" s="274"/>
      <c r="LD49" s="563" t="s">
        <v>3147</v>
      </c>
      <c r="LE49" s="492">
        <f>7.77+2.71</f>
        <v>10.48</v>
      </c>
      <c r="LJ49" s="660" t="s">
        <v>3238</v>
      </c>
      <c r="LK49" s="202">
        <v>28.72</v>
      </c>
      <c r="LQ49" s="339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1939</v>
      </c>
      <c r="GC50" s="204"/>
      <c r="GN50" s="534" t="s">
        <v>2012</v>
      </c>
      <c r="GO50" s="309"/>
      <c r="GP50" s="340" t="s">
        <v>478</v>
      </c>
      <c r="GT50" s="556" t="s">
        <v>2030</v>
      </c>
      <c r="GU50" s="204">
        <v>14.9</v>
      </c>
      <c r="GV50" s="743"/>
      <c r="GZ50" s="445" t="s">
        <v>2081</v>
      </c>
      <c r="HX50" s="355" t="s">
        <v>2225</v>
      </c>
      <c r="HY50" s="561">
        <v>14.4</v>
      </c>
      <c r="ID50" s="511" t="s">
        <v>2303</v>
      </c>
      <c r="IE50" s="340">
        <v>50</v>
      </c>
      <c r="IH50" s="534" t="s">
        <v>2368</v>
      </c>
      <c r="II50" s="538">
        <v>300</v>
      </c>
      <c r="IJ50" s="538">
        <v>20</v>
      </c>
      <c r="IK50" s="534" t="s">
        <v>2364</v>
      </c>
      <c r="IP50" s="325" t="s">
        <v>2406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2695</v>
      </c>
      <c r="JO50" s="308">
        <v>7.67</v>
      </c>
      <c r="JS50" s="575"/>
      <c r="JT50" s="576" t="s">
        <v>2734</v>
      </c>
      <c r="JU50" s="410">
        <v>21.27</v>
      </c>
      <c r="JZ50" s="544">
        <v>34</v>
      </c>
      <c r="KA50" s="557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3154</v>
      </c>
      <c r="LE50" s="621">
        <v>6.3</v>
      </c>
      <c r="LJ50" s="679" t="s">
        <v>3239</v>
      </c>
      <c r="LK50" s="202">
        <v>39.75</v>
      </c>
      <c r="LQ50" s="687"/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6" t="s">
        <v>1997</v>
      </c>
      <c r="GO51" s="204">
        <f>360+18</f>
        <v>378</v>
      </c>
      <c r="GP51" s="265" t="s">
        <v>1306</v>
      </c>
      <c r="GT51" s="556" t="s">
        <v>2045</v>
      </c>
      <c r="GU51" s="204">
        <v>55.29</v>
      </c>
      <c r="GV51" s="743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1" t="s">
        <v>2305</v>
      </c>
      <c r="IE51" s="340">
        <v>26.8</v>
      </c>
      <c r="IJ51" s="544">
        <v>10</v>
      </c>
      <c r="IK51" s="218" t="s">
        <v>2345</v>
      </c>
      <c r="IP51" s="325" t="s">
        <v>2392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2696</v>
      </c>
      <c r="JO51" s="308">
        <v>3</v>
      </c>
      <c r="JT51" s="577" t="s">
        <v>2731</v>
      </c>
      <c r="JU51" s="411"/>
      <c r="JZ51" s="544">
        <v>25</v>
      </c>
      <c r="KA51" s="549" t="s">
        <v>2761</v>
      </c>
      <c r="KL51" s="563" t="s">
        <v>2967</v>
      </c>
      <c r="KM51" s="456">
        <v>1746</v>
      </c>
      <c r="KR51" s="563" t="s">
        <v>3063</v>
      </c>
      <c r="KS51" s="492">
        <v>19.07</v>
      </c>
      <c r="KX51" s="544">
        <v>20</v>
      </c>
      <c r="KY51" s="557" t="s">
        <v>3083</v>
      </c>
      <c r="LD51" s="563" t="s">
        <v>3153</v>
      </c>
      <c r="LE51" s="492">
        <v>6.8</v>
      </c>
      <c r="LJ51" s="563" t="s">
        <v>3204</v>
      </c>
      <c r="LK51" s="492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2004</v>
      </c>
      <c r="GO52" s="340">
        <v>38.9</v>
      </c>
      <c r="GU52" s="204"/>
      <c r="GV52" s="743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3105</v>
      </c>
      <c r="KW52" s="562">
        <v>200</v>
      </c>
      <c r="KX52" s="544">
        <v>10</v>
      </c>
      <c r="KY52" s="549" t="s">
        <v>3085</v>
      </c>
      <c r="LD52" s="621" t="s">
        <v>3169</v>
      </c>
      <c r="LE52" s="621">
        <f>53.6+6.5</f>
        <v>60.1</v>
      </c>
      <c r="LJ52" s="654" t="s">
        <v>3203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2007</v>
      </c>
      <c r="GO53" s="204">
        <v>33</v>
      </c>
      <c r="GT53" s="340" t="s">
        <v>2050</v>
      </c>
      <c r="GU53" s="578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1" t="s">
        <v>2261</v>
      </c>
      <c r="IE53" s="571"/>
      <c r="II53" s="488"/>
      <c r="IJ53" s="325" t="s">
        <v>2358</v>
      </c>
      <c r="IK53" s="332">
        <v>87.8</v>
      </c>
      <c r="IP53" s="504" t="s">
        <v>2421</v>
      </c>
      <c r="IQ53" s="335">
        <v>84.9</v>
      </c>
      <c r="IV53" s="511"/>
      <c r="JB53" s="337"/>
      <c r="JC53" s="308"/>
      <c r="JH53" s="511"/>
      <c r="JI53" s="337"/>
      <c r="JX53" s="309" t="s">
        <v>2818</v>
      </c>
      <c r="JY53" s="538">
        <v>200</v>
      </c>
      <c r="JZ53" s="579">
        <v>20</v>
      </c>
      <c r="KA53" s="580" t="s">
        <v>2766</v>
      </c>
      <c r="KL53" s="563"/>
      <c r="KM53" s="492"/>
      <c r="KX53" s="544">
        <v>10</v>
      </c>
      <c r="KY53" s="549" t="s">
        <v>1827</v>
      </c>
      <c r="LD53" s="621" t="s">
        <v>3184</v>
      </c>
      <c r="LE53" s="621">
        <v>70</v>
      </c>
      <c r="LJ53" s="673" t="s">
        <v>3205</v>
      </c>
      <c r="LK53" s="492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2047</v>
      </c>
      <c r="HB54" s="285"/>
      <c r="HC54" s="285"/>
      <c r="HD54" s="581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8"/>
      <c r="IJ54" s="325" t="s">
        <v>2367</v>
      </c>
      <c r="IK54" s="332">
        <f>40.6+11.5</f>
        <v>52.1</v>
      </c>
      <c r="IP54" s="511" t="s">
        <v>2422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2795</v>
      </c>
      <c r="KS54" s="204"/>
      <c r="KW54" s="285"/>
      <c r="KX54" s="544">
        <v>40</v>
      </c>
      <c r="KY54" s="549" t="s">
        <v>3133</v>
      </c>
      <c r="LE54" s="622"/>
      <c r="LJ54" s="654" t="s">
        <v>3209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1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9"/>
      <c r="IJ55" s="325" t="s">
        <v>2383</v>
      </c>
      <c r="IK55" s="332">
        <v>10.49</v>
      </c>
      <c r="IP55" s="511" t="s">
        <v>2425</v>
      </c>
      <c r="IQ55" s="335"/>
      <c r="IV55" s="511"/>
      <c r="JB55" s="504"/>
      <c r="JC55" s="337"/>
      <c r="JH55" s="511"/>
      <c r="JZ55" s="544">
        <v>80</v>
      </c>
      <c r="KA55" s="549" t="s">
        <v>2797</v>
      </c>
      <c r="KW55" s="285"/>
      <c r="KX55" s="544">
        <v>20</v>
      </c>
      <c r="KY55" s="549" t="s">
        <v>3117</v>
      </c>
      <c r="LJ55" s="680" t="s">
        <v>3247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1"/>
      <c r="HE56" s="285"/>
      <c r="HF56" s="285"/>
      <c r="HX56" s="511"/>
      <c r="ID56" s="355" t="s">
        <v>2275</v>
      </c>
      <c r="IE56" s="490">
        <v>67.61</v>
      </c>
      <c r="IJ56" s="325" t="s">
        <v>2241</v>
      </c>
      <c r="IK56" s="332">
        <v>135.09</v>
      </c>
      <c r="IP56" s="511" t="s">
        <v>2416</v>
      </c>
      <c r="IQ56" s="335">
        <v>47.05</v>
      </c>
      <c r="JB56" s="337"/>
      <c r="JC56" s="471"/>
      <c r="JH56" s="511"/>
      <c r="JZ56" s="544">
        <v>6</v>
      </c>
      <c r="KA56" s="549" t="s">
        <v>2796</v>
      </c>
      <c r="KM56" s="204"/>
      <c r="KX56" s="544">
        <v>10</v>
      </c>
      <c r="KY56" s="549" t="s">
        <v>3116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2283</v>
      </c>
      <c r="IE57" s="320">
        <v>-25.98</v>
      </c>
      <c r="IJ57" s="571" t="s">
        <v>2365</v>
      </c>
      <c r="IK57" s="571"/>
      <c r="IP57" s="511" t="s">
        <v>2443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3107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2301</v>
      </c>
      <c r="IE58" s="340">
        <v>8.8000000000000007</v>
      </c>
      <c r="IJ58" s="511" t="s">
        <v>2319</v>
      </c>
      <c r="IK58" s="340">
        <v>150</v>
      </c>
      <c r="IP58" s="337" t="s">
        <v>2446</v>
      </c>
      <c r="IQ58" s="308">
        <v>22.6</v>
      </c>
      <c r="JB58" s="511"/>
      <c r="JC58" s="337"/>
      <c r="JZ58" s="340" t="s">
        <v>2800</v>
      </c>
      <c r="KA58" s="340">
        <v>31.001000000000001</v>
      </c>
      <c r="KX58" s="544">
        <v>8</v>
      </c>
      <c r="KY58" s="549" t="s">
        <v>3113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2315</v>
      </c>
      <c r="IE59" s="340">
        <f>2000+1311.79</f>
        <v>3311.79</v>
      </c>
      <c r="IJ59" s="511" t="s">
        <v>2301</v>
      </c>
      <c r="IK59" s="340">
        <v>5.4</v>
      </c>
      <c r="IP59" s="337"/>
      <c r="IQ59" s="337"/>
      <c r="JB59" s="511"/>
      <c r="JC59" s="337"/>
      <c r="JW59" s="398"/>
      <c r="JZ59" s="340" t="s">
        <v>2902</v>
      </c>
      <c r="KA59" s="444">
        <f>30/5.217</f>
        <v>5.7504312823461765</v>
      </c>
      <c r="KC59" s="398"/>
      <c r="KX59" s="544">
        <v>10</v>
      </c>
      <c r="KY59" s="549" t="s">
        <v>3114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2798</v>
      </c>
      <c r="KA60" s="340">
        <v>21.81</v>
      </c>
      <c r="KX60" s="544">
        <v>40</v>
      </c>
      <c r="KY60" s="549" t="s">
        <v>3120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2832</v>
      </c>
      <c r="KA61" s="340">
        <v>11.25</v>
      </c>
      <c r="KX61" s="563" t="s">
        <v>3097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2759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2786</v>
      </c>
      <c r="KA63" s="340">
        <v>36.200000000000003</v>
      </c>
      <c r="KX63" s="563"/>
      <c r="KY63" s="492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2780</v>
      </c>
      <c r="KA64" s="340">
        <v>9.8000000000000007</v>
      </c>
      <c r="LS64" s="398"/>
      <c r="LT64" s="202"/>
    </row>
    <row r="65" spans="205:332">
      <c r="IP65" s="511"/>
      <c r="JK65" s="398"/>
      <c r="JQ65" s="398"/>
      <c r="JZ65" s="340" t="s">
        <v>2815</v>
      </c>
      <c r="KA65" s="340">
        <v>9.77</v>
      </c>
      <c r="LT65" s="202"/>
    </row>
    <row r="66" spans="205:332">
      <c r="IJ66" s="504"/>
      <c r="IK66" s="490"/>
      <c r="IP66" s="511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1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2745</v>
      </c>
      <c r="JZ68" s="220" t="s">
        <v>2767</v>
      </c>
      <c r="KA68" s="340">
        <v>69</v>
      </c>
      <c r="LT68" s="202"/>
    </row>
    <row r="69" spans="205:332">
      <c r="HO69" s="398"/>
      <c r="IG69" s="398"/>
      <c r="IJ69" s="511"/>
      <c r="JZ69" s="220" t="s">
        <v>2787</v>
      </c>
      <c r="KA69" s="340">
        <v>8</v>
      </c>
    </row>
    <row r="70" spans="205:332">
      <c r="IJ70" s="511"/>
      <c r="JZ70" s="585" t="s">
        <v>2831</v>
      </c>
      <c r="KA70" s="204">
        <v>29.7</v>
      </c>
    </row>
    <row r="71" spans="205:332">
      <c r="IJ71" s="511"/>
      <c r="JZ71" s="220" t="s">
        <v>2799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G43" sqref="G4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6" customFormat="1">
      <c r="B8" s="452">
        <v>5000</v>
      </c>
      <c r="C8" s="453">
        <v>45426</v>
      </c>
    </row>
    <row r="9" spans="2:3" s="606" customFormat="1">
      <c r="B9" s="452">
        <v>10000</v>
      </c>
      <c r="C9" s="453">
        <v>45440</v>
      </c>
    </row>
    <row r="10" spans="2:3" s="606" customFormat="1">
      <c r="B10" s="452">
        <v>5000</v>
      </c>
      <c r="C10" s="453">
        <v>45454</v>
      </c>
    </row>
    <row r="11" spans="2:3" s="668" customFormat="1">
      <c r="B11" s="452">
        <v>5000</v>
      </c>
      <c r="C11" s="453">
        <v>45468</v>
      </c>
    </row>
    <row r="12" spans="2:3" s="676" customFormat="1">
      <c r="B12" s="452">
        <v>5000</v>
      </c>
      <c r="C12" s="453">
        <v>45482</v>
      </c>
    </row>
    <row r="13" spans="2:3" s="676" customFormat="1">
      <c r="B13" s="452">
        <v>5000</v>
      </c>
      <c r="C13" s="453">
        <v>45496</v>
      </c>
    </row>
    <row r="14" spans="2:3" s="676" customFormat="1">
      <c r="B14" s="452"/>
      <c r="C14" s="453"/>
    </row>
    <row r="15" spans="2:3" s="676" customFormat="1">
      <c r="B15" s="452"/>
      <c r="C15" s="453"/>
    </row>
    <row r="16" spans="2:3">
      <c r="B16" s="600"/>
      <c r="C16" s="601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2024-02-07T05:27:58Z</cp:lastPrinted>
  <dcterms:created xsi:type="dcterms:W3CDTF">1998-07-18T13:03:51Z</dcterms:created>
  <dcterms:modified xsi:type="dcterms:W3CDTF">2024-02-08T03:35:37Z</dcterms:modified>
</cp:coreProperties>
</file>