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4DDB27F7-DD83-488F-8B66-9491B65AD21A}" xr6:coauthVersionLast="47" xr6:coauthVersionMax="47" xr10:uidLastSave="{00000000-0000-0000-0000-000000000000}"/>
  <bookViews>
    <workbookView xWindow="0" yWindow="0" windowWidth="13875" windowHeight="21600" activeTab="3" xr2:uid="{D4D1A54F-01AE-4300-8644-B16194D9355C}"/>
  </bookViews>
  <sheets>
    <sheet name="Fli2pm 200k" sheetId="6" r:id="rId1"/>
    <sheet name="Fli2pm" sheetId="5" r:id="rId2"/>
    <sheet name="LTIS" sheetId="2" r:id="rId3"/>
    <sheet name="overlap ptf" sheetId="4" r:id="rId4"/>
    <sheet name="FLI2" sheetId="1" r:id="rId5"/>
    <sheet name="xirr test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4" l="1"/>
  <c r="K15" i="4" s="1"/>
  <c r="G23" i="4"/>
  <c r="G8" i="4"/>
  <c r="G9" i="4" s="1"/>
  <c r="G27" i="4"/>
  <c r="D11" i="2"/>
  <c r="G21" i="4"/>
  <c r="A8" i="1"/>
  <c r="D10" i="5"/>
  <c r="D11" i="6"/>
  <c r="F6" i="4"/>
  <c r="K10" i="4" s="1"/>
  <c r="D4" i="4"/>
  <c r="D11" i="5"/>
  <c r="L3" i="5"/>
  <c r="D6" i="5"/>
  <c r="D3" i="5"/>
  <c r="D24" i="6"/>
  <c r="D23" i="6"/>
  <c r="D22" i="6"/>
  <c r="D18" i="6"/>
  <c r="D17" i="6"/>
  <c r="D16" i="6"/>
  <c r="D12" i="6"/>
  <c r="D10" i="6"/>
  <c r="D9" i="6"/>
  <c r="G6" i="6"/>
  <c r="D21" i="6" s="1"/>
  <c r="D6" i="6"/>
  <c r="A6" i="6"/>
  <c r="L5" i="6"/>
  <c r="L4" i="6"/>
  <c r="D4" i="6"/>
  <c r="J3" i="6"/>
  <c r="D3" i="6"/>
  <c r="D28" i="6" s="1"/>
  <c r="G4" i="2"/>
  <c r="J3" i="5"/>
  <c r="F7" i="4"/>
  <c r="D7" i="4" s="1"/>
  <c r="F17" i="4"/>
  <c r="D17" i="4" s="1"/>
  <c r="D4" i="5"/>
  <c r="F13" i="4" l="1"/>
  <c r="D13" i="4" s="1"/>
  <c r="F32" i="4"/>
  <c r="K33" i="4" s="1"/>
  <c r="F36" i="4"/>
  <c r="D36" i="4" s="1"/>
  <c r="F18" i="4"/>
  <c r="F33" i="4"/>
  <c r="D33" i="4" s="1"/>
  <c r="F38" i="4"/>
  <c r="D38" i="4" s="1"/>
  <c r="F37" i="4"/>
  <c r="D37" i="4" s="1"/>
  <c r="F35" i="4"/>
  <c r="D35" i="4" s="1"/>
  <c r="F34" i="4"/>
  <c r="D34" i="4" s="1"/>
  <c r="D6" i="4"/>
  <c r="A13" i="6"/>
  <c r="D25" i="6"/>
  <c r="A8" i="6"/>
  <c r="D20" i="6"/>
  <c r="A28" i="6" s="1"/>
  <c r="D26" i="6"/>
  <c r="D13" i="6"/>
  <c r="A19" i="6" s="1"/>
  <c r="A12" i="6"/>
  <c r="L6" i="6"/>
  <c r="D19" i="6"/>
  <c r="D27" i="6"/>
  <c r="A7" i="6"/>
  <c r="D14" i="6"/>
  <c r="A24" i="6" s="1"/>
  <c r="L3" i="6"/>
  <c r="A9" i="6"/>
  <c r="A15" i="6"/>
  <c r="A21" i="6"/>
  <c r="A4" i="6"/>
  <c r="D15" i="6"/>
  <c r="A10" i="6"/>
  <c r="B28" i="6"/>
  <c r="A5" i="6"/>
  <c r="A11" i="6"/>
  <c r="A17" i="6"/>
  <c r="A23" i="6"/>
  <c r="D9" i="5"/>
  <c r="G31" i="4"/>
  <c r="D31" i="4" s="1"/>
  <c r="D32" i="4" l="1"/>
  <c r="F24" i="4"/>
  <c r="A26" i="6"/>
  <c r="A16" i="6"/>
  <c r="A25" i="6"/>
  <c r="A18" i="6"/>
  <c r="A20" i="6"/>
  <c r="A22" i="6"/>
  <c r="A14" i="6"/>
  <c r="A27" i="6"/>
  <c r="A5" i="5"/>
  <c r="D28" i="5"/>
  <c r="G6" i="5"/>
  <c r="A4" i="5"/>
  <c r="D21" i="4"/>
  <c r="D27" i="4"/>
  <c r="G30" i="4"/>
  <c r="D30" i="4" s="1"/>
  <c r="G29" i="4"/>
  <c r="D29" i="4" s="1"/>
  <c r="G28" i="4"/>
  <c r="D28" i="4" s="1"/>
  <c r="G22" i="4"/>
  <c r="D22" i="4" s="1"/>
  <c r="E14" i="4"/>
  <c r="D14" i="4" s="1"/>
  <c r="A7" i="5" l="1"/>
  <c r="L6" i="5"/>
  <c r="L4" i="5"/>
  <c r="L5" i="5"/>
  <c r="D13" i="5"/>
  <c r="D19" i="5"/>
  <c r="D27" i="5"/>
  <c r="D23" i="5"/>
  <c r="D20" i="5"/>
  <c r="D12" i="5"/>
  <c r="D24" i="5"/>
  <c r="D15" i="5"/>
  <c r="D16" i="5"/>
  <c r="D17" i="5"/>
  <c r="D25" i="5"/>
  <c r="D26" i="5"/>
  <c r="D21" i="5"/>
  <c r="D22" i="5"/>
  <c r="D14" i="5"/>
  <c r="D18" i="5"/>
  <c r="D23" i="4"/>
  <c r="E15" i="4"/>
  <c r="D15" i="4" s="1"/>
  <c r="G12" i="4"/>
  <c r="D12" i="4" s="1"/>
  <c r="D9" i="4"/>
  <c r="E3" i="4"/>
  <c r="D3" i="4" l="1"/>
  <c r="D8" i="4"/>
  <c r="G20" i="4"/>
  <c r="D20" i="4" s="1"/>
  <c r="G19" i="4"/>
  <c r="D19" i="4" s="1"/>
  <c r="G11" i="4"/>
  <c r="G16" i="4"/>
  <c r="D16" i="4" s="1"/>
  <c r="D18" i="4"/>
  <c r="A14" i="5"/>
  <c r="A6" i="5"/>
  <c r="A24" i="5"/>
  <c r="A8" i="5"/>
  <c r="A11" i="5"/>
  <c r="A13" i="5"/>
  <c r="A21" i="5"/>
  <c r="A20" i="5"/>
  <c r="A10" i="5"/>
  <c r="A9" i="5"/>
  <c r="A27" i="5"/>
  <c r="A12" i="5"/>
  <c r="A19" i="5"/>
  <c r="A25" i="5"/>
  <c r="A15" i="5"/>
  <c r="A28" i="5"/>
  <c r="A16" i="5"/>
  <c r="A18" i="5"/>
  <c r="A22" i="5"/>
  <c r="A26" i="5"/>
  <c r="A17" i="5"/>
  <c r="A23" i="5"/>
  <c r="B28" i="5"/>
  <c r="E5" i="4"/>
  <c r="E25" i="4" s="1"/>
  <c r="E10" i="4"/>
  <c r="C7" i="3"/>
  <c r="C9" i="3" s="1"/>
  <c r="D11" i="4" l="1"/>
  <c r="G25" i="4"/>
  <c r="B4" i="4"/>
  <c r="E24" i="4"/>
  <c r="G24" i="4"/>
  <c r="D5" i="4"/>
  <c r="B5" i="4" s="1"/>
  <c r="D10" i="4"/>
  <c r="D13" i="2"/>
  <c r="D12" i="2"/>
  <c r="B31" i="4" l="1"/>
  <c r="B37" i="4"/>
  <c r="B30" i="4"/>
  <c r="B32" i="4"/>
  <c r="B29" i="4"/>
  <c r="B27" i="4"/>
  <c r="B33" i="4"/>
  <c r="B36" i="4"/>
  <c r="B28" i="4"/>
  <c r="B35" i="4"/>
  <c r="B38" i="4"/>
  <c r="B34" i="4"/>
  <c r="B15" i="4"/>
  <c r="B8" i="4"/>
  <c r="B23" i="4"/>
  <c r="B20" i="4"/>
  <c r="B14" i="4"/>
  <c r="B13" i="4"/>
  <c r="K13" i="4" s="1"/>
  <c r="B9" i="4"/>
  <c r="B12" i="4"/>
  <c r="B10" i="4"/>
  <c r="B18" i="4"/>
  <c r="B11" i="4"/>
  <c r="B7" i="4"/>
  <c r="B21" i="4"/>
  <c r="B6" i="4"/>
  <c r="B16" i="4"/>
  <c r="B22" i="4"/>
  <c r="B19" i="4"/>
  <c r="B17" i="4"/>
  <c r="D15" i="2"/>
  <c r="D28" i="2"/>
  <c r="D29" i="2"/>
  <c r="D27" i="2"/>
  <c r="D26" i="2"/>
  <c r="D25" i="2"/>
  <c r="D24" i="2"/>
  <c r="D23" i="2"/>
  <c r="D22" i="2"/>
  <c r="D21" i="2"/>
  <c r="D20" i="2"/>
  <c r="D19" i="2"/>
  <c r="D18" i="2"/>
  <c r="D17" i="2"/>
  <c r="D16" i="2"/>
  <c r="C8" i="1" l="1"/>
  <c r="C7" i="1"/>
  <c r="D7" i="2"/>
  <c r="D6" i="2"/>
  <c r="D5" i="2"/>
  <c r="D8" i="2"/>
  <c r="D9" i="2"/>
  <c r="D10" i="2"/>
  <c r="D4" i="2"/>
  <c r="B13" i="2" l="1"/>
  <c r="A15" i="2"/>
  <c r="A17" i="2"/>
  <c r="A23" i="2"/>
  <c r="A9" i="2"/>
  <c r="A5" i="2"/>
  <c r="A13" i="2"/>
  <c r="A29" i="2"/>
  <c r="A21" i="2"/>
  <c r="A7" i="2"/>
  <c r="A28" i="2"/>
  <c r="A24" i="2"/>
  <c r="A27" i="2"/>
  <c r="A26" i="2"/>
  <c r="A10" i="2"/>
  <c r="A20" i="2"/>
  <c r="A19" i="2"/>
  <c r="A22" i="2"/>
  <c r="A18" i="2"/>
  <c r="A6" i="2"/>
  <c r="A8" i="2"/>
  <c r="A4" i="2"/>
  <c r="A12" i="2"/>
  <c r="A16" i="2"/>
  <c r="A11" i="2"/>
  <c r="A25" i="2"/>
  <c r="C3" i="1"/>
  <c r="C5" i="1" s="1"/>
  <c r="C6" i="1" l="1"/>
  <c r="C10" i="1"/>
</calcChain>
</file>

<file path=xl/sharedStrings.xml><?xml version="1.0" encoding="utf-8"?>
<sst xmlns="http://schemas.openxmlformats.org/spreadsheetml/2006/main" count="77" uniqueCount="51">
  <si>
    <t>total prem</t>
  </si>
  <si>
    <t>XIRR</t>
  </si>
  <si>
    <t>cash in/out</t>
  </si>
  <si>
    <t>9% of 30k</t>
  </si>
  <si>
    <t>first payout</t>
  </si>
  <si>
    <t>total prem - FLI2</t>
  </si>
  <si>
    <t>xirr</t>
  </si>
  <si>
    <t>first payout FLI2</t>
  </si>
  <si>
    <t>first payout LTIS</t>
  </si>
  <si>
    <t>surrender LTIS</t>
  </si>
  <si>
    <t>total prem - Ltis</t>
  </si>
  <si>
    <t>golden handshake</t>
  </si>
  <si>
    <t>12M TD excess profit</t>
  </si>
  <si>
    <t>net income</t>
  </si>
  <si>
    <t>total prem - FLI2PF</t>
  </si>
  <si>
    <t>first payout Fli2pm</t>
  </si>
  <si>
    <t>30M int cost</t>
  </si>
  <si>
    <t>Fli2pm upfront</t>
  </si>
  <si>
    <t>Fli2pm down payment</t>
  </si>
  <si>
    <t>surrender Fli2pm #200k to wipe out $144k loan</t>
  </si>
  <si>
    <t>long term LIR</t>
  </si>
  <si>
    <t xml:space="preserve">Feb26-Jan27 LIR </t>
  </si>
  <si>
    <t>loan quantum</t>
  </si>
  <si>
    <t>upfront rebate</t>
  </si>
  <si>
    <t>Ltis 9% of 30k</t>
  </si>
  <si>
    <t>serrender FLI2</t>
  </si>
  <si>
    <t>FLI2PF upfront</t>
  </si>
  <si>
    <t>first payout FLI2PF</t>
  </si>
  <si>
    <t>surrender FLI2PF</t>
  </si>
  <si>
    <t>surrender Fli2pm #250k to wipe out $190k loan</t>
  </si>
  <si>
    <t>FLI2</t>
  </si>
  <si>
    <t>FLI2PF</t>
  </si>
  <si>
    <t>loan quantum #76%</t>
  </si>
  <si>
    <t>sumOf3-&gt;</t>
  </si>
  <si>
    <t>Feb26-Jan27 LIR#est</t>
  </si>
  <si>
    <t>FLI2 upfront</t>
  </si>
  <si>
    <t>end2end profix #cf other 3 tabs:</t>
  </si>
  <si>
    <t>keep -0.01 to satisfy xirr</t>
  </si>
  <si>
    <t>net payout rate</t>
  </si>
  <si>
    <t>LTIS</t>
  </si>
  <si>
    <t>XIRR 不适合FLI2PF</t>
  </si>
  <si>
    <t>net inc</t>
  </si>
  <si>
    <t>annual FCF, while keeping 210k liquid  in FLI2PF and LTIS</t>
  </si>
  <si>
    <t>net inc end-to-end excluding 210k nest egg</t>
  </si>
  <si>
    <t>$4512 bonus</t>
  </si>
  <si>
    <t>30M int 
#当作Nov26缴</t>
  </si>
  <si>
    <t>FLI2PF 首付</t>
  </si>
  <si>
    <t>12mTD excess profit</t>
  </si>
  <si>
    <t>capital deployed</t>
  </si>
  <si>
    <t>capital earmarked</t>
  </si>
  <si>
    <t>watermark of outlay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</si>
</sst>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/yy;@"/>
    <numFmt numFmtId="165" formatCode="&quot;$&quot;#,##0"/>
    <numFmt numFmtId="166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15" fontId="0" fillId="0" borderId="0" xfId="0" applyNumberFormat="1"/>
    <xf numFmtId="10" fontId="0" fillId="0" borderId="0" xfId="0" applyNumberFormat="1"/>
    <xf numFmtId="164" fontId="0" fillId="0" borderId="0" xfId="0" applyNumberFormat="1"/>
    <xf numFmtId="17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Border="1"/>
    <xf numFmtId="166" fontId="0" fillId="0" borderId="0" xfId="0" applyNumberFormat="1"/>
    <xf numFmtId="0" fontId="0" fillId="0" borderId="0" xfId="0" applyNumberFormat="1"/>
    <xf numFmtId="9" fontId="0" fillId="0" borderId="0" xfId="0" applyNumberFormat="1"/>
    <xf numFmtId="0" fontId="0" fillId="0" borderId="6" xfId="0" applyBorder="1"/>
    <xf numFmtId="164" fontId="0" fillId="0" borderId="6" xfId="0" applyNumberFormat="1" applyBorder="1"/>
    <xf numFmtId="3" fontId="0" fillId="0" borderId="6" xfId="0" applyNumberFormat="1" applyBorder="1"/>
    <xf numFmtId="17" fontId="0" fillId="0" borderId="6" xfId="0" applyNumberFormat="1" applyBorder="1"/>
    <xf numFmtId="10" fontId="0" fillId="0" borderId="6" xfId="0" applyNumberFormat="1" applyBorder="1"/>
    <xf numFmtId="0" fontId="0" fillId="0" borderId="6" xfId="0" applyBorder="1" applyAlignment="1">
      <alignment horizontal="left"/>
    </xf>
    <xf numFmtId="4" fontId="0" fillId="0" borderId="0" xfId="0" applyNumberFormat="1"/>
    <xf numFmtId="0" fontId="0" fillId="0" borderId="0" xfId="0" applyBorder="1" applyAlignment="1">
      <alignment horizontal="left"/>
    </xf>
    <xf numFmtId="1" fontId="0" fillId="0" borderId="0" xfId="0" applyNumberFormat="1"/>
    <xf numFmtId="3" fontId="0" fillId="0" borderId="8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7" fontId="0" fillId="0" borderId="3" xfId="0" applyNumberFormat="1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10" fontId="0" fillId="0" borderId="0" xfId="1" applyNumberFormat="1" applyFont="1"/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wrapText="1"/>
    </xf>
    <xf numFmtId="3" fontId="0" fillId="0" borderId="6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BD802-F9D4-40CD-9458-754DF046B7C7}">
  <dimension ref="A2:L31"/>
  <sheetViews>
    <sheetView topLeftCell="B1" workbookViewId="0">
      <selection activeCell="D11" sqref="D11"/>
    </sheetView>
  </sheetViews>
  <sheetFormatPr defaultRowHeight="15" x14ac:dyDescent="0.25"/>
  <cols>
    <col min="1" max="1" width="11" bestFit="1" customWidth="1"/>
    <col min="2" max="2" width="7.140625" customWidth="1"/>
    <col min="3" max="3" width="7.42578125" style="3" bestFit="1" customWidth="1"/>
    <col min="4" max="4" width="10.85546875" bestFit="1" customWidth="1"/>
    <col min="5" max="5" width="17.140625" customWidth="1"/>
    <col min="6" max="6" width="17.7109375" bestFit="1" customWidth="1"/>
  </cols>
  <sheetData>
    <row r="2" spans="1:12" x14ac:dyDescent="0.25">
      <c r="A2" t="s">
        <v>13</v>
      </c>
      <c r="B2" t="s">
        <v>6</v>
      </c>
      <c r="C2" s="4"/>
      <c r="D2" t="s">
        <v>2</v>
      </c>
    </row>
    <row r="3" spans="1:12" x14ac:dyDescent="0.25">
      <c r="A3" s="5"/>
      <c r="B3" s="2"/>
      <c r="C3" s="3">
        <v>45505</v>
      </c>
      <c r="D3" s="5">
        <f>-28%*G4</f>
        <v>-56000.000000000007</v>
      </c>
      <c r="E3" t="s">
        <v>18</v>
      </c>
      <c r="I3" s="2"/>
      <c r="J3">
        <f>5/12</f>
        <v>0.41666666666666669</v>
      </c>
      <c r="K3" s="2">
        <v>2.75E-2</v>
      </c>
      <c r="L3" s="9">
        <f>G6*J3*K3</f>
        <v>1650</v>
      </c>
    </row>
    <row r="4" spans="1:12" x14ac:dyDescent="0.25">
      <c r="A4" s="5">
        <f>SUM($D$3:D4)</f>
        <v>-53260.000000000007</v>
      </c>
      <c r="B4" s="2"/>
      <c r="C4" s="3">
        <v>45566</v>
      </c>
      <c r="D4" s="10">
        <f>G8*G4</f>
        <v>2740</v>
      </c>
      <c r="E4" t="s">
        <v>17</v>
      </c>
      <c r="F4" t="s">
        <v>14</v>
      </c>
      <c r="G4" s="7">
        <v>200000</v>
      </c>
      <c r="J4">
        <v>1</v>
      </c>
      <c r="K4" s="2">
        <v>2.5499999999999998E-2</v>
      </c>
      <c r="L4" s="9">
        <f>G6*J4*K4</f>
        <v>3671.9999999999995</v>
      </c>
    </row>
    <row r="5" spans="1:12" x14ac:dyDescent="0.25">
      <c r="A5" s="5">
        <f>SUM($D$3:D5)</f>
        <v>-53260.000000000007</v>
      </c>
      <c r="B5" s="2"/>
      <c r="F5" t="s">
        <v>21</v>
      </c>
      <c r="G5" s="2">
        <v>0.02</v>
      </c>
      <c r="L5">
        <f>G6*(J3*K3+J4*K4)</f>
        <v>5321.9999999999991</v>
      </c>
    </row>
    <row r="6" spans="1:12" x14ac:dyDescent="0.25">
      <c r="A6" s="5">
        <f>SUM($D$3:D6)</f>
        <v>-61462.000000000007</v>
      </c>
      <c r="B6" s="2"/>
      <c r="C6" s="3">
        <v>45962</v>
      </c>
      <c r="D6">
        <f>-(5322+G6*G5)</f>
        <v>-8202</v>
      </c>
      <c r="E6" t="s">
        <v>16</v>
      </c>
      <c r="F6" t="s">
        <v>22</v>
      </c>
      <c r="G6" s="7">
        <f>G4+D3</f>
        <v>144000</v>
      </c>
      <c r="J6">
        <v>1</v>
      </c>
      <c r="K6" s="11">
        <v>0.02</v>
      </c>
      <c r="L6" s="9">
        <f>G6*J6*K6</f>
        <v>2880</v>
      </c>
    </row>
    <row r="7" spans="1:12" x14ac:dyDescent="0.25">
      <c r="A7" s="5">
        <f>SUM($D$3:D7)</f>
        <v>-61462.000000000007</v>
      </c>
      <c r="B7" s="2"/>
      <c r="F7" t="s">
        <v>20</v>
      </c>
      <c r="G7" s="2">
        <v>0.02</v>
      </c>
    </row>
    <row r="8" spans="1:12" x14ac:dyDescent="0.25">
      <c r="A8" s="5">
        <f>SUM($D$3:D8)</f>
        <v>-61462.000000000007</v>
      </c>
      <c r="B8" s="2"/>
      <c r="F8" t="s">
        <v>23</v>
      </c>
      <c r="G8" s="2">
        <v>1.37E-2</v>
      </c>
    </row>
    <row r="9" spans="1:12" x14ac:dyDescent="0.25">
      <c r="A9" s="5">
        <f>SUM($D$3:D9)</f>
        <v>-55042.000000000007</v>
      </c>
      <c r="B9" s="2"/>
      <c r="C9" s="3">
        <v>46419</v>
      </c>
      <c r="D9">
        <f>3.21%*$G$4</f>
        <v>6419.9999999999991</v>
      </c>
      <c r="E9" t="s">
        <v>15</v>
      </c>
      <c r="F9" s="6"/>
      <c r="G9" s="6"/>
    </row>
    <row r="10" spans="1:12" x14ac:dyDescent="0.25">
      <c r="A10" s="5">
        <f>SUM($D$3:D10)</f>
        <v>958</v>
      </c>
      <c r="B10" s="2"/>
      <c r="C10" s="3">
        <v>46419</v>
      </c>
      <c r="D10" s="5">
        <f>-$D$3</f>
        <v>56000.000000000007</v>
      </c>
      <c r="E10" s="6" t="s">
        <v>19</v>
      </c>
    </row>
    <row r="11" spans="1:12" x14ac:dyDescent="0.25">
      <c r="A11" s="5">
        <f>SUM($D$3:D11)</f>
        <v>4497.9999999999991</v>
      </c>
      <c r="B11" s="2"/>
      <c r="C11" s="3">
        <v>46784</v>
      </c>
      <c r="D11">
        <f t="shared" ref="D11:D27" si="0">3.21%*$G$4-$G$7*$G$6</f>
        <v>3539.9999999999991</v>
      </c>
      <c r="F11" s="8"/>
      <c r="G11" s="8"/>
      <c r="H11" s="8"/>
      <c r="I11" s="8"/>
      <c r="J11" s="8"/>
    </row>
    <row r="12" spans="1:12" x14ac:dyDescent="0.25">
      <c r="A12" s="5">
        <f>SUM($D$3:D12)</f>
        <v>8037.9999999999982</v>
      </c>
      <c r="B12" s="2"/>
      <c r="C12" s="3">
        <v>47150</v>
      </c>
      <c r="D12">
        <f t="shared" si="0"/>
        <v>3539.9999999999991</v>
      </c>
      <c r="F12" s="8"/>
      <c r="G12" s="8"/>
      <c r="H12" s="8"/>
      <c r="I12" s="8"/>
      <c r="J12" s="8"/>
    </row>
    <row r="13" spans="1:12" x14ac:dyDescent="0.25">
      <c r="A13" s="5">
        <f>SUM($D$3:D13)</f>
        <v>11577.999999999996</v>
      </c>
      <c r="B13" s="2"/>
      <c r="C13" s="3">
        <v>47515</v>
      </c>
      <c r="D13">
        <f t="shared" si="0"/>
        <v>3539.9999999999991</v>
      </c>
      <c r="F13" s="8"/>
      <c r="G13" s="8"/>
      <c r="H13" s="8"/>
      <c r="I13" s="8"/>
      <c r="J13" s="8"/>
    </row>
    <row r="14" spans="1:12" x14ac:dyDescent="0.25">
      <c r="A14" s="5">
        <f>SUM($D$3:D14)</f>
        <v>15117.999999999996</v>
      </c>
      <c r="B14" s="2"/>
      <c r="C14" s="3">
        <v>47880</v>
      </c>
      <c r="D14">
        <f t="shared" si="0"/>
        <v>3539.9999999999991</v>
      </c>
    </row>
    <row r="15" spans="1:12" x14ac:dyDescent="0.25">
      <c r="A15" s="5">
        <f>SUM($D$3:D15)</f>
        <v>18657.999999999996</v>
      </c>
      <c r="B15" s="2"/>
      <c r="C15" s="3">
        <v>48245</v>
      </c>
      <c r="D15">
        <f t="shared" si="0"/>
        <v>3539.9999999999991</v>
      </c>
    </row>
    <row r="16" spans="1:12" x14ac:dyDescent="0.25">
      <c r="A16" s="5">
        <f>SUM($D$3:D16)</f>
        <v>22197.999999999996</v>
      </c>
      <c r="B16" s="2"/>
      <c r="C16" s="3">
        <v>48611</v>
      </c>
      <c r="D16">
        <f t="shared" si="0"/>
        <v>3539.9999999999991</v>
      </c>
    </row>
    <row r="17" spans="1:7" x14ac:dyDescent="0.25">
      <c r="A17" s="5">
        <f>SUM($D$3:D17)</f>
        <v>25737.999999999996</v>
      </c>
      <c r="B17" s="2"/>
      <c r="C17" s="3">
        <v>48976</v>
      </c>
      <c r="D17">
        <f t="shared" si="0"/>
        <v>3539.9999999999991</v>
      </c>
    </row>
    <row r="18" spans="1:7" x14ac:dyDescent="0.25">
      <c r="A18" s="5">
        <f>SUM($D$3:D18)</f>
        <v>29277.999999999996</v>
      </c>
      <c r="B18" s="2"/>
      <c r="C18" s="3">
        <v>49341</v>
      </c>
      <c r="D18">
        <f t="shared" si="0"/>
        <v>3539.9999999999991</v>
      </c>
    </row>
    <row r="19" spans="1:7" x14ac:dyDescent="0.25">
      <c r="A19" s="5">
        <f>SUM($D$3:D19)</f>
        <v>32817.999999999993</v>
      </c>
      <c r="B19" s="2"/>
      <c r="C19" s="3">
        <v>49706</v>
      </c>
      <c r="D19">
        <f t="shared" si="0"/>
        <v>3539.9999999999991</v>
      </c>
    </row>
    <row r="20" spans="1:7" x14ac:dyDescent="0.25">
      <c r="A20" s="5">
        <f>SUM($D$3:D20)</f>
        <v>36357.999999999993</v>
      </c>
      <c r="B20" s="2"/>
      <c r="C20" s="3">
        <v>50072</v>
      </c>
      <c r="D20">
        <f t="shared" si="0"/>
        <v>3539.9999999999991</v>
      </c>
    </row>
    <row r="21" spans="1:7" x14ac:dyDescent="0.25">
      <c r="A21" s="5">
        <f>SUM($D$3:D21)</f>
        <v>39897.999999999993</v>
      </c>
      <c r="B21" s="2"/>
      <c r="C21" s="3">
        <v>50437</v>
      </c>
      <c r="D21">
        <f t="shared" si="0"/>
        <v>3539.9999999999991</v>
      </c>
    </row>
    <row r="22" spans="1:7" x14ac:dyDescent="0.25">
      <c r="A22" s="5">
        <f>SUM($D$3:D22)</f>
        <v>43437.999999999993</v>
      </c>
      <c r="B22" s="2"/>
      <c r="C22" s="3">
        <v>50802</v>
      </c>
      <c r="D22">
        <f t="shared" si="0"/>
        <v>3539.9999999999991</v>
      </c>
    </row>
    <row r="23" spans="1:7" x14ac:dyDescent="0.25">
      <c r="A23" s="5">
        <f>SUM($D$3:D23)</f>
        <v>46977.999999999993</v>
      </c>
      <c r="B23" s="2"/>
      <c r="C23" s="3">
        <v>51167</v>
      </c>
      <c r="D23">
        <f t="shared" si="0"/>
        <v>3539.9999999999991</v>
      </c>
    </row>
    <row r="24" spans="1:7" x14ac:dyDescent="0.25">
      <c r="A24" s="5">
        <f>SUM($D$3:D24)</f>
        <v>50517.999999999993</v>
      </c>
      <c r="B24" s="2"/>
      <c r="C24" s="3">
        <v>51533</v>
      </c>
      <c r="D24">
        <f t="shared" si="0"/>
        <v>3539.9999999999991</v>
      </c>
    </row>
    <row r="25" spans="1:7" x14ac:dyDescent="0.25">
      <c r="A25" s="5">
        <f>SUM($D$3:D25)</f>
        <v>54057.999999999993</v>
      </c>
      <c r="B25" s="2"/>
      <c r="C25" s="3">
        <v>51898</v>
      </c>
      <c r="D25">
        <f t="shared" si="0"/>
        <v>3539.9999999999991</v>
      </c>
    </row>
    <row r="26" spans="1:7" x14ac:dyDescent="0.25">
      <c r="A26" s="5">
        <f>SUM($D$3:D26)</f>
        <v>57597.999999999993</v>
      </c>
      <c r="B26" s="2"/>
      <c r="C26" s="3">
        <v>52263</v>
      </c>
      <c r="D26">
        <f t="shared" si="0"/>
        <v>3539.9999999999991</v>
      </c>
    </row>
    <row r="27" spans="1:7" x14ac:dyDescent="0.25">
      <c r="A27" s="5">
        <f>SUM($D$3:D27)</f>
        <v>61137.999999999993</v>
      </c>
      <c r="B27" s="2"/>
      <c r="C27" s="3">
        <v>52628</v>
      </c>
      <c r="D27">
        <f t="shared" si="0"/>
        <v>3539.9999999999991</v>
      </c>
      <c r="F27" s="6"/>
      <c r="G27" s="6"/>
    </row>
    <row r="28" spans="1:7" x14ac:dyDescent="0.25">
      <c r="A28" s="5">
        <f>SUM($D$3:D28)</f>
        <v>117138</v>
      </c>
      <c r="B28" s="2">
        <f>XIRR(D3:D28,C3:C28)</f>
        <v>0.16009600758552556</v>
      </c>
      <c r="C28" s="3">
        <v>52628</v>
      </c>
      <c r="D28" s="5">
        <f>-$D$3</f>
        <v>56000.000000000007</v>
      </c>
      <c r="E28" s="6" t="s">
        <v>19</v>
      </c>
    </row>
    <row r="29" spans="1:7" x14ac:dyDescent="0.25">
      <c r="A29" s="5"/>
      <c r="B29" s="2"/>
    </row>
    <row r="30" spans="1:7" x14ac:dyDescent="0.25">
      <c r="A30" s="5"/>
      <c r="B30" s="2"/>
    </row>
    <row r="31" spans="1:7" x14ac:dyDescent="0.25">
      <c r="A31" s="5"/>
      <c r="B31" s="2"/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064C-1D35-49D7-BB91-35C1078A317A}">
  <dimension ref="A2:L31"/>
  <sheetViews>
    <sheetView workbookViewId="0">
      <selection activeCell="G5" sqref="G5"/>
    </sheetView>
  </sheetViews>
  <sheetFormatPr defaultRowHeight="15" x14ac:dyDescent="0.25"/>
  <cols>
    <col min="1" max="1" width="11" bestFit="1" customWidth="1"/>
    <col min="2" max="2" width="7.140625" bestFit="1" customWidth="1"/>
    <col min="3" max="3" width="7.42578125" style="3" bestFit="1" customWidth="1"/>
    <col min="4" max="4" width="10.85546875" bestFit="1" customWidth="1"/>
    <col min="5" max="5" width="17.140625" customWidth="1"/>
    <col min="6" max="6" width="17.7109375" bestFit="1" customWidth="1"/>
  </cols>
  <sheetData>
    <row r="2" spans="1:12" x14ac:dyDescent="0.25">
      <c r="A2" t="s">
        <v>13</v>
      </c>
      <c r="B2" t="s">
        <v>6</v>
      </c>
      <c r="C2" s="4"/>
      <c r="D2" t="s">
        <v>2</v>
      </c>
    </row>
    <row r="3" spans="1:12" x14ac:dyDescent="0.25">
      <c r="A3" s="5"/>
      <c r="B3" s="2"/>
      <c r="C3" s="3">
        <v>45505</v>
      </c>
      <c r="D3" s="5">
        <f>-24%*G4</f>
        <v>-60000</v>
      </c>
      <c r="E3" t="s">
        <v>18</v>
      </c>
      <c r="I3" s="2"/>
      <c r="J3">
        <f>5/12</f>
        <v>0.41666666666666669</v>
      </c>
      <c r="K3" s="2">
        <v>2.5600000000000001E-2</v>
      </c>
      <c r="L3" s="9">
        <f>G6*J3*K3</f>
        <v>2026.666666666667</v>
      </c>
    </row>
    <row r="4" spans="1:12" x14ac:dyDescent="0.25">
      <c r="A4" s="5">
        <f>SUM($D$3:D4)</f>
        <v>-56575</v>
      </c>
      <c r="B4" s="2"/>
      <c r="C4" s="3">
        <v>45566</v>
      </c>
      <c r="D4" s="10">
        <f>G8*G4</f>
        <v>3425</v>
      </c>
      <c r="E4" t="s">
        <v>17</v>
      </c>
      <c r="F4" t="s">
        <v>14</v>
      </c>
      <c r="G4" s="7">
        <v>250000</v>
      </c>
      <c r="J4">
        <v>1</v>
      </c>
      <c r="K4" s="2">
        <v>2.3599999999999999E-2</v>
      </c>
      <c r="L4" s="9">
        <f>G6*J4*K4</f>
        <v>4484</v>
      </c>
    </row>
    <row r="5" spans="1:12" x14ac:dyDescent="0.25">
      <c r="A5" s="5">
        <f>SUM($D$3:D5)</f>
        <v>-56575</v>
      </c>
      <c r="B5" s="2"/>
      <c r="F5" t="s">
        <v>21</v>
      </c>
      <c r="G5" s="2">
        <v>0.03</v>
      </c>
      <c r="L5">
        <f>G6*(J3*K3+J4*K4)</f>
        <v>6510.666666666667</v>
      </c>
    </row>
    <row r="6" spans="1:12" x14ac:dyDescent="0.25">
      <c r="A6" s="5">
        <f>SUM($D$3:D6)</f>
        <v>-68785</v>
      </c>
      <c r="B6" s="2"/>
      <c r="C6" s="3">
        <v>45962</v>
      </c>
      <c r="D6">
        <f>-(6510+G6*G5)</f>
        <v>-12210</v>
      </c>
      <c r="E6" t="s">
        <v>16</v>
      </c>
      <c r="F6" t="s">
        <v>22</v>
      </c>
      <c r="G6" s="7">
        <f>G4+D3</f>
        <v>190000</v>
      </c>
      <c r="J6">
        <v>1</v>
      </c>
      <c r="K6" s="11">
        <v>0.02</v>
      </c>
      <c r="L6" s="9">
        <f>G6*J6*K6</f>
        <v>3800</v>
      </c>
    </row>
    <row r="7" spans="1:12" x14ac:dyDescent="0.25">
      <c r="A7" s="5">
        <f>SUM($D$3:D7)</f>
        <v>-68785</v>
      </c>
      <c r="B7" s="2"/>
      <c r="F7" t="s">
        <v>20</v>
      </c>
      <c r="G7" s="2">
        <v>0.02</v>
      </c>
    </row>
    <row r="8" spans="1:12" x14ac:dyDescent="0.25">
      <c r="A8" s="5">
        <f>SUM($D$3:D8)</f>
        <v>-68785</v>
      </c>
      <c r="B8" s="2"/>
      <c r="F8" t="s">
        <v>23</v>
      </c>
      <c r="G8" s="2">
        <v>1.37E-2</v>
      </c>
    </row>
    <row r="9" spans="1:12" x14ac:dyDescent="0.25">
      <c r="A9" s="5">
        <f>SUM($D$3:D9)</f>
        <v>-60760</v>
      </c>
      <c r="B9" s="2"/>
      <c r="C9" s="3">
        <v>46419</v>
      </c>
      <c r="D9">
        <f>3.21%*$G$4</f>
        <v>8024.9999999999991</v>
      </c>
      <c r="E9" t="s">
        <v>15</v>
      </c>
      <c r="F9" s="6"/>
      <c r="G9" s="6"/>
    </row>
    <row r="10" spans="1:12" x14ac:dyDescent="0.25">
      <c r="A10" s="5">
        <f>SUM($D$3:D10)</f>
        <v>-760</v>
      </c>
      <c r="B10" s="2"/>
      <c r="C10" s="3">
        <v>46419</v>
      </c>
      <c r="D10" s="5">
        <f>-$D$3</f>
        <v>60000</v>
      </c>
      <c r="E10" s="6" t="s">
        <v>29</v>
      </c>
    </row>
    <row r="11" spans="1:12" x14ac:dyDescent="0.25">
      <c r="A11" s="5">
        <f>SUM($D$3:D11)</f>
        <v>3464.9999999999991</v>
      </c>
      <c r="B11" s="2"/>
      <c r="C11" s="3">
        <v>46784</v>
      </c>
      <c r="D11">
        <f t="shared" ref="D11:D27" si="0">3.21%*$G$4-$G$7*$G$6</f>
        <v>4224.9999999999991</v>
      </c>
      <c r="F11" s="8"/>
      <c r="G11" s="8"/>
      <c r="H11" s="8"/>
      <c r="I11" s="8"/>
      <c r="J11" s="8"/>
    </row>
    <row r="12" spans="1:12" x14ac:dyDescent="0.25">
      <c r="A12" s="5">
        <f>SUM($D$3:D12)</f>
        <v>7689.9999999999982</v>
      </c>
      <c r="B12" s="2"/>
      <c r="C12" s="3">
        <v>47150</v>
      </c>
      <c r="D12">
        <f t="shared" si="0"/>
        <v>4224.9999999999991</v>
      </c>
      <c r="F12" s="8"/>
      <c r="G12" s="8"/>
      <c r="H12" s="8"/>
      <c r="I12" s="8"/>
      <c r="J12" s="8"/>
    </row>
    <row r="13" spans="1:12" x14ac:dyDescent="0.25">
      <c r="A13" s="5">
        <f>SUM($D$3:D13)</f>
        <v>11914.999999999996</v>
      </c>
      <c r="B13" s="2"/>
      <c r="C13" s="3">
        <v>47515</v>
      </c>
      <c r="D13">
        <f t="shared" si="0"/>
        <v>4224.9999999999991</v>
      </c>
      <c r="F13" s="8"/>
      <c r="G13" s="8"/>
      <c r="H13" s="8"/>
      <c r="I13" s="8"/>
      <c r="J13" s="8"/>
    </row>
    <row r="14" spans="1:12" x14ac:dyDescent="0.25">
      <c r="A14" s="5">
        <f>SUM($D$3:D14)</f>
        <v>16139.999999999996</v>
      </c>
      <c r="B14" s="2"/>
      <c r="C14" s="3">
        <v>47880</v>
      </c>
      <c r="D14">
        <f t="shared" si="0"/>
        <v>4224.9999999999991</v>
      </c>
    </row>
    <row r="15" spans="1:12" x14ac:dyDescent="0.25">
      <c r="A15" s="5">
        <f>SUM($D$3:D15)</f>
        <v>20364.999999999996</v>
      </c>
      <c r="B15" s="2"/>
      <c r="C15" s="3">
        <v>48245</v>
      </c>
      <c r="D15">
        <f t="shared" si="0"/>
        <v>4224.9999999999991</v>
      </c>
    </row>
    <row r="16" spans="1:12" x14ac:dyDescent="0.25">
      <c r="A16" s="5">
        <f>SUM($D$3:D16)</f>
        <v>24589.999999999996</v>
      </c>
      <c r="B16" s="2"/>
      <c r="C16" s="3">
        <v>48611</v>
      </c>
      <c r="D16">
        <f t="shared" si="0"/>
        <v>4224.9999999999991</v>
      </c>
    </row>
    <row r="17" spans="1:7" x14ac:dyDescent="0.25">
      <c r="A17" s="5">
        <f>SUM($D$3:D17)</f>
        <v>28814.999999999996</v>
      </c>
      <c r="B17" s="2"/>
      <c r="C17" s="3">
        <v>48976</v>
      </c>
      <c r="D17">
        <f t="shared" si="0"/>
        <v>4224.9999999999991</v>
      </c>
    </row>
    <row r="18" spans="1:7" x14ac:dyDescent="0.25">
      <c r="A18" s="5">
        <f>SUM($D$3:D18)</f>
        <v>33039.999999999993</v>
      </c>
      <c r="B18" s="2"/>
      <c r="C18" s="3">
        <v>49341</v>
      </c>
      <c r="D18">
        <f t="shared" si="0"/>
        <v>4224.9999999999991</v>
      </c>
    </row>
    <row r="19" spans="1:7" x14ac:dyDescent="0.25">
      <c r="A19" s="5">
        <f>SUM($D$3:D19)</f>
        <v>37264.999999999993</v>
      </c>
      <c r="B19" s="2"/>
      <c r="C19" s="3">
        <v>49706</v>
      </c>
      <c r="D19">
        <f t="shared" si="0"/>
        <v>4224.9999999999991</v>
      </c>
    </row>
    <row r="20" spans="1:7" x14ac:dyDescent="0.25">
      <c r="A20" s="5">
        <f>SUM($D$3:D20)</f>
        <v>41489.999999999993</v>
      </c>
      <c r="B20" s="2"/>
      <c r="C20" s="3">
        <v>50072</v>
      </c>
      <c r="D20">
        <f t="shared" si="0"/>
        <v>4224.9999999999991</v>
      </c>
    </row>
    <row r="21" spans="1:7" x14ac:dyDescent="0.25">
      <c r="A21" s="5">
        <f>SUM($D$3:D21)</f>
        <v>45714.999999999993</v>
      </c>
      <c r="B21" s="2"/>
      <c r="C21" s="3">
        <v>50437</v>
      </c>
      <c r="D21">
        <f t="shared" si="0"/>
        <v>4224.9999999999991</v>
      </c>
    </row>
    <row r="22" spans="1:7" x14ac:dyDescent="0.25">
      <c r="A22" s="5">
        <f>SUM($D$3:D22)</f>
        <v>49939.999999999993</v>
      </c>
      <c r="B22" s="2"/>
      <c r="C22" s="3">
        <v>50802</v>
      </c>
      <c r="D22">
        <f t="shared" si="0"/>
        <v>4224.9999999999991</v>
      </c>
    </row>
    <row r="23" spans="1:7" x14ac:dyDescent="0.25">
      <c r="A23" s="5">
        <f>SUM($D$3:D23)</f>
        <v>54164.999999999993</v>
      </c>
      <c r="B23" s="2"/>
      <c r="C23" s="3">
        <v>51167</v>
      </c>
      <c r="D23">
        <f t="shared" si="0"/>
        <v>4224.9999999999991</v>
      </c>
    </row>
    <row r="24" spans="1:7" x14ac:dyDescent="0.25">
      <c r="A24" s="5">
        <f>SUM($D$3:D24)</f>
        <v>58389.999999999993</v>
      </c>
      <c r="B24" s="2"/>
      <c r="C24" s="3">
        <v>51533</v>
      </c>
      <c r="D24">
        <f t="shared" si="0"/>
        <v>4224.9999999999991</v>
      </c>
    </row>
    <row r="25" spans="1:7" x14ac:dyDescent="0.25">
      <c r="A25" s="5">
        <f>SUM($D$3:D25)</f>
        <v>62614.999999999993</v>
      </c>
      <c r="B25" s="2"/>
      <c r="C25" s="3">
        <v>51898</v>
      </c>
      <c r="D25">
        <f t="shared" si="0"/>
        <v>4224.9999999999991</v>
      </c>
    </row>
    <row r="26" spans="1:7" x14ac:dyDescent="0.25">
      <c r="A26" s="5">
        <f>SUM($D$3:D26)</f>
        <v>66839.999999999985</v>
      </c>
      <c r="B26" s="2"/>
      <c r="C26" s="3">
        <v>52263</v>
      </c>
      <c r="D26">
        <f t="shared" si="0"/>
        <v>4224.9999999999991</v>
      </c>
    </row>
    <row r="27" spans="1:7" x14ac:dyDescent="0.25">
      <c r="A27" s="5">
        <f>SUM($D$3:D27)</f>
        <v>71064.999999999985</v>
      </c>
      <c r="B27" s="2"/>
      <c r="C27" s="3">
        <v>52628</v>
      </c>
      <c r="D27">
        <f t="shared" si="0"/>
        <v>4224.9999999999991</v>
      </c>
      <c r="F27" s="6"/>
      <c r="G27" s="6"/>
    </row>
    <row r="28" spans="1:7" x14ac:dyDescent="0.25">
      <c r="A28" s="5">
        <f>SUM($D$3:D28)</f>
        <v>131064.99999999999</v>
      </c>
      <c r="B28" s="2">
        <f>XIRR(D3:D28,C3:C28)</f>
        <v>0.16061307787895202</v>
      </c>
      <c r="C28" s="3">
        <v>52628</v>
      </c>
      <c r="D28" s="5">
        <f>-$D$3</f>
        <v>60000</v>
      </c>
      <c r="E28" s="6" t="s">
        <v>29</v>
      </c>
    </row>
    <row r="29" spans="1:7" x14ac:dyDescent="0.25">
      <c r="A29" s="5"/>
      <c r="B29" s="2"/>
    </row>
    <row r="30" spans="1:7" x14ac:dyDescent="0.25">
      <c r="A30" s="5"/>
      <c r="B30" s="2"/>
    </row>
    <row r="31" spans="1:7" x14ac:dyDescent="0.25">
      <c r="A31" s="5"/>
      <c r="B31" s="2"/>
    </row>
  </sheetData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66B5-85E3-4992-A448-D22630C52578}">
  <dimension ref="A3:G29"/>
  <sheetViews>
    <sheetView workbookViewId="0">
      <selection activeCell="F23" sqref="F23"/>
    </sheetView>
  </sheetViews>
  <sheetFormatPr defaultRowHeight="15" x14ac:dyDescent="0.25"/>
  <cols>
    <col min="1" max="1" width="11" bestFit="1" customWidth="1"/>
    <col min="2" max="2" width="7.140625" customWidth="1"/>
    <col min="3" max="3" width="7.28515625" style="3" bestFit="1" customWidth="1"/>
    <col min="4" max="4" width="9.85546875" style="20" customWidth="1"/>
    <col min="5" max="5" width="20" bestFit="1" customWidth="1"/>
    <col min="6" max="6" width="24" bestFit="1" customWidth="1"/>
  </cols>
  <sheetData>
    <row r="3" spans="1:7" x14ac:dyDescent="0.25">
      <c r="A3" t="s">
        <v>13</v>
      </c>
      <c r="B3" t="s">
        <v>6</v>
      </c>
      <c r="C3" s="4"/>
      <c r="D3" s="20" t="s">
        <v>2</v>
      </c>
    </row>
    <row r="4" spans="1:7" x14ac:dyDescent="0.25">
      <c r="A4" s="5">
        <f>SUM($D$3:D4)</f>
        <v>-30078.95</v>
      </c>
      <c r="B4" s="2"/>
      <c r="C4" s="3">
        <v>45505</v>
      </c>
      <c r="D4" s="20">
        <f>-$G$4/5</f>
        <v>-30078.95</v>
      </c>
      <c r="F4" t="s">
        <v>10</v>
      </c>
      <c r="G4">
        <f>150394.75</f>
        <v>150394.75</v>
      </c>
    </row>
    <row r="5" spans="1:7" x14ac:dyDescent="0.25">
      <c r="A5" s="5">
        <f>SUM($D$3:D5)</f>
        <v>-27371.844499999999</v>
      </c>
      <c r="B5" s="2"/>
      <c r="C5" s="3">
        <v>45566</v>
      </c>
      <c r="D5" s="20">
        <f>1.8%*G4</f>
        <v>2707.1055000000001</v>
      </c>
      <c r="E5" t="s">
        <v>3</v>
      </c>
      <c r="G5" s="5"/>
    </row>
    <row r="6" spans="1:7" x14ac:dyDescent="0.25">
      <c r="A6" s="5">
        <f>SUM($D$3:D6)</f>
        <v>-57450.794500000004</v>
      </c>
      <c r="B6" s="2"/>
      <c r="C6" s="3">
        <v>45870</v>
      </c>
      <c r="D6" s="20">
        <f>-$G$4/5</f>
        <v>-30078.95</v>
      </c>
    </row>
    <row r="7" spans="1:7" x14ac:dyDescent="0.25">
      <c r="A7" s="5">
        <f>SUM($D$3:D7)</f>
        <v>-56322.833875000004</v>
      </c>
      <c r="B7" s="2"/>
      <c r="C7" s="3">
        <v>45870</v>
      </c>
      <c r="D7" s="20">
        <f>(0.0425-0.035)*G4</f>
        <v>1127.9606249999999</v>
      </c>
      <c r="E7" t="s">
        <v>12</v>
      </c>
    </row>
    <row r="8" spans="1:7" x14ac:dyDescent="0.25">
      <c r="A8" s="5">
        <f>SUM($D$3:D8)</f>
        <v>-86401.783875000008</v>
      </c>
      <c r="B8" s="2"/>
      <c r="C8" s="3">
        <v>46235</v>
      </c>
      <c r="D8" s="20">
        <f>-$G$4/5</f>
        <v>-30078.95</v>
      </c>
    </row>
    <row r="9" spans="1:7" x14ac:dyDescent="0.25">
      <c r="A9" s="5">
        <f>SUM($D$3:D9)</f>
        <v>-116480.73387500001</v>
      </c>
      <c r="B9" s="2"/>
      <c r="C9" s="3">
        <v>46600</v>
      </c>
      <c r="D9" s="20">
        <f>-$G$4/5</f>
        <v>-30078.95</v>
      </c>
    </row>
    <row r="10" spans="1:7" x14ac:dyDescent="0.25">
      <c r="A10" s="5">
        <f>SUM($D$3:D10)</f>
        <v>-146559.68387500002</v>
      </c>
      <c r="B10" s="2"/>
      <c r="C10" s="3">
        <v>46966</v>
      </c>
      <c r="D10" s="20">
        <f>-$G$4/5</f>
        <v>-30078.95</v>
      </c>
    </row>
    <row r="11" spans="1:7" x14ac:dyDescent="0.25">
      <c r="A11" s="5">
        <f>SUM($D$3:D11)</f>
        <v>-141459.79790250002</v>
      </c>
      <c r="B11" s="2"/>
      <c r="C11" s="3">
        <v>47331</v>
      </c>
      <c r="D11" s="20">
        <f>$G$4*0.03391</f>
        <v>5099.8859725000002</v>
      </c>
      <c r="E11" t="s">
        <v>8</v>
      </c>
    </row>
    <row r="12" spans="1:7" x14ac:dyDescent="0.25">
      <c r="A12" s="5">
        <f>SUM($D$3:D12)</f>
        <v>-136947.95540250003</v>
      </c>
      <c r="B12" s="2"/>
      <c r="C12" s="3">
        <v>47331</v>
      </c>
      <c r="D12" s="20">
        <f>G4*3%</f>
        <v>4511.8424999999997</v>
      </c>
      <c r="E12" t="s">
        <v>11</v>
      </c>
    </row>
    <row r="13" spans="1:7" x14ac:dyDescent="0.25">
      <c r="A13" s="5">
        <f>SUM($D$3:D13)</f>
        <v>13446.794597499975</v>
      </c>
      <c r="B13" s="2">
        <f>XIRR($D$4:D13,$C$4:C13)</f>
        <v>2.9796108603477478E-2</v>
      </c>
      <c r="C13" s="3">
        <v>47331</v>
      </c>
      <c r="D13" s="20">
        <f>G4</f>
        <v>150394.75</v>
      </c>
      <c r="E13" t="s">
        <v>9</v>
      </c>
    </row>
    <row r="14" spans="1:7" x14ac:dyDescent="0.25">
      <c r="A14" s="5"/>
      <c r="B14" s="2"/>
    </row>
    <row r="15" spans="1:7" x14ac:dyDescent="0.25">
      <c r="A15" s="5">
        <f>SUM($D$3:D15)</f>
        <v>18545.176622499974</v>
      </c>
      <c r="B15" s="2"/>
      <c r="C15" s="3">
        <v>47696</v>
      </c>
      <c r="D15" s="20">
        <f t="shared" ref="D15:D29" si="0">$G$4*0.0339</f>
        <v>5098.3820249999999</v>
      </c>
    </row>
    <row r="16" spans="1:7" x14ac:dyDescent="0.25">
      <c r="A16" s="5">
        <f>SUM($D$3:D16)</f>
        <v>23643.558647499973</v>
      </c>
      <c r="B16" s="2"/>
      <c r="C16" s="3">
        <v>48061</v>
      </c>
      <c r="D16" s="20">
        <f t="shared" si="0"/>
        <v>5098.3820249999999</v>
      </c>
    </row>
    <row r="17" spans="1:4" x14ac:dyDescent="0.25">
      <c r="A17" s="5">
        <f>SUM($D$3:D17)</f>
        <v>28741.940672499972</v>
      </c>
      <c r="B17" s="2"/>
      <c r="C17" s="3">
        <v>48427</v>
      </c>
      <c r="D17" s="20">
        <f t="shared" si="0"/>
        <v>5098.3820249999999</v>
      </c>
    </row>
    <row r="18" spans="1:4" x14ac:dyDescent="0.25">
      <c r="A18" s="5">
        <f>SUM($D$3:D18)</f>
        <v>33840.322697499971</v>
      </c>
      <c r="B18" s="2"/>
      <c r="C18" s="3">
        <v>48792</v>
      </c>
      <c r="D18" s="20">
        <f t="shared" si="0"/>
        <v>5098.3820249999999</v>
      </c>
    </row>
    <row r="19" spans="1:4" x14ac:dyDescent="0.25">
      <c r="A19" s="5">
        <f>SUM($D$3:D19)</f>
        <v>38938.70472249997</v>
      </c>
      <c r="B19" s="2"/>
      <c r="C19" s="3">
        <v>49157</v>
      </c>
      <c r="D19" s="20">
        <f t="shared" si="0"/>
        <v>5098.3820249999999</v>
      </c>
    </row>
    <row r="20" spans="1:4" x14ac:dyDescent="0.25">
      <c r="A20" s="5">
        <f>SUM($D$3:D20)</f>
        <v>44037.086747499969</v>
      </c>
      <c r="B20" s="2"/>
      <c r="C20" s="3">
        <v>49522</v>
      </c>
      <c r="D20" s="20">
        <f t="shared" si="0"/>
        <v>5098.3820249999999</v>
      </c>
    </row>
    <row r="21" spans="1:4" x14ac:dyDescent="0.25">
      <c r="A21" s="5">
        <f>SUM($D$3:D21)</f>
        <v>49135.468772499968</v>
      </c>
      <c r="B21" s="2"/>
      <c r="C21" s="3">
        <v>49888</v>
      </c>
      <c r="D21" s="20">
        <f t="shared" si="0"/>
        <v>5098.3820249999999</v>
      </c>
    </row>
    <row r="22" spans="1:4" x14ac:dyDescent="0.25">
      <c r="A22" s="5">
        <f>SUM($D$3:D22)</f>
        <v>54233.850797499967</v>
      </c>
      <c r="B22" s="2"/>
      <c r="C22" s="3">
        <v>50253</v>
      </c>
      <c r="D22" s="20">
        <f t="shared" si="0"/>
        <v>5098.3820249999999</v>
      </c>
    </row>
    <row r="23" spans="1:4" x14ac:dyDescent="0.25">
      <c r="A23" s="5">
        <f>SUM($D$3:D23)</f>
        <v>59332.232822499966</v>
      </c>
      <c r="B23" s="2"/>
      <c r="C23" s="3">
        <v>50618</v>
      </c>
      <c r="D23" s="20">
        <f t="shared" si="0"/>
        <v>5098.3820249999999</v>
      </c>
    </row>
    <row r="24" spans="1:4" x14ac:dyDescent="0.25">
      <c r="A24" s="5">
        <f>SUM($D$3:D24)</f>
        <v>64430.614847499965</v>
      </c>
      <c r="B24" s="2"/>
      <c r="C24" s="3">
        <v>50983</v>
      </c>
      <c r="D24" s="20">
        <f t="shared" si="0"/>
        <v>5098.3820249999999</v>
      </c>
    </row>
    <row r="25" spans="1:4" x14ac:dyDescent="0.25">
      <c r="A25" s="5">
        <f>SUM($D$3:D25)</f>
        <v>69528.996872499964</v>
      </c>
      <c r="B25" s="2"/>
      <c r="C25" s="3">
        <v>51349</v>
      </c>
      <c r="D25" s="20">
        <f t="shared" si="0"/>
        <v>5098.3820249999999</v>
      </c>
    </row>
    <row r="26" spans="1:4" x14ac:dyDescent="0.25">
      <c r="A26" s="5">
        <f>SUM($D$3:D26)</f>
        <v>74627.378897499962</v>
      </c>
      <c r="B26" s="2"/>
      <c r="C26" s="3">
        <v>51714</v>
      </c>
      <c r="D26" s="20">
        <f t="shared" si="0"/>
        <v>5098.3820249999999</v>
      </c>
    </row>
    <row r="27" spans="1:4" x14ac:dyDescent="0.25">
      <c r="A27" s="5">
        <f>SUM($D$3:D27)</f>
        <v>79725.760922499961</v>
      </c>
      <c r="B27" s="2"/>
      <c r="C27" s="3">
        <v>52079</v>
      </c>
      <c r="D27" s="20">
        <f t="shared" si="0"/>
        <v>5098.3820249999999</v>
      </c>
    </row>
    <row r="28" spans="1:4" x14ac:dyDescent="0.25">
      <c r="A28" s="5">
        <f>SUM($D$3:D28)</f>
        <v>84824.14294749996</v>
      </c>
      <c r="B28" s="2"/>
      <c r="C28" s="3">
        <v>52444</v>
      </c>
      <c r="D28" s="20">
        <f t="shared" si="0"/>
        <v>5098.3820249999999</v>
      </c>
    </row>
    <row r="29" spans="1:4" x14ac:dyDescent="0.25">
      <c r="A29" s="5">
        <f>SUM($D$3:D29)</f>
        <v>89922.524972499959</v>
      </c>
      <c r="B29" s="2"/>
      <c r="C29" s="3">
        <v>52810</v>
      </c>
      <c r="D29" s="20">
        <f t="shared" si="0"/>
        <v>5098.3820249999999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D748-F112-4127-97BA-6CDBDF125DA1}">
  <dimension ref="B1:K38"/>
  <sheetViews>
    <sheetView tabSelected="1" workbookViewId="0">
      <selection activeCell="L4" sqref="L4"/>
    </sheetView>
  </sheetViews>
  <sheetFormatPr defaultRowHeight="15" x14ac:dyDescent="0.25"/>
  <cols>
    <col min="1" max="1" width="1.140625" customWidth="1"/>
    <col min="2" max="2" width="8.28515625" bestFit="1" customWidth="1"/>
    <col min="3" max="3" width="7.42578125" style="4" bestFit="1" customWidth="1"/>
    <col min="4" max="4" width="9.5703125" style="5" bestFit="1" customWidth="1"/>
    <col min="5" max="6" width="7.28515625" style="5" bestFit="1" customWidth="1"/>
    <col min="7" max="7" width="7.5703125" style="5" bestFit="1" customWidth="1"/>
    <col min="8" max="8" width="18.140625" customWidth="1"/>
    <col min="9" max="9" width="1.85546875" customWidth="1"/>
    <col min="10" max="10" width="18.85546875" bestFit="1" customWidth="1"/>
    <col min="11" max="11" width="10" bestFit="1" customWidth="1"/>
  </cols>
  <sheetData>
    <row r="1" spans="2:11" ht="5.25" customHeight="1" x14ac:dyDescent="0.25"/>
    <row r="2" spans="2:11" x14ac:dyDescent="0.25">
      <c r="B2" s="12" t="s">
        <v>41</v>
      </c>
      <c r="C2" s="15"/>
      <c r="D2" s="14" t="s">
        <v>33</v>
      </c>
      <c r="E2" s="14" t="s">
        <v>30</v>
      </c>
      <c r="F2" s="14" t="s">
        <v>31</v>
      </c>
      <c r="G2" s="14" t="s">
        <v>39</v>
      </c>
      <c r="H2" s="12"/>
      <c r="I2" s="8"/>
    </row>
    <row r="3" spans="2:11" x14ac:dyDescent="0.25">
      <c r="B3" s="12"/>
      <c r="C3" s="15">
        <v>45170</v>
      </c>
      <c r="D3" s="14">
        <f>SUM(E3:G3)</f>
        <v>-50065.676666666666</v>
      </c>
      <c r="E3" s="14">
        <f>-K8/3</f>
        <v>-50065.666666666664</v>
      </c>
      <c r="F3" s="14"/>
      <c r="G3" s="14">
        <v>-0.01</v>
      </c>
      <c r="H3" s="12" t="s">
        <v>37</v>
      </c>
      <c r="I3" s="8"/>
    </row>
    <row r="4" spans="2:11" x14ac:dyDescent="0.25">
      <c r="B4" s="14">
        <f>SUM($D$3:D4)</f>
        <v>-43936.676666666666</v>
      </c>
      <c r="C4" s="15">
        <v>45261</v>
      </c>
      <c r="D4" s="14">
        <f t="shared" ref="D4:D38" si="0">SUM(E4:G4)</f>
        <v>6129</v>
      </c>
      <c r="E4" s="14">
        <v>6129</v>
      </c>
      <c r="F4" s="14"/>
      <c r="G4" s="14"/>
      <c r="H4" s="12" t="s">
        <v>35</v>
      </c>
      <c r="I4" s="8"/>
    </row>
    <row r="5" spans="2:11" x14ac:dyDescent="0.25">
      <c r="B5" s="14">
        <f>SUM($D$3:D5)</f>
        <v>-94002.343333333323</v>
      </c>
      <c r="C5" s="15">
        <v>45352</v>
      </c>
      <c r="D5" s="14">
        <f t="shared" si="0"/>
        <v>-50065.666666666664</v>
      </c>
      <c r="E5" s="14">
        <f>E3</f>
        <v>-50065.666666666664</v>
      </c>
      <c r="F5" s="14"/>
      <c r="G5" s="14"/>
      <c r="H5" s="12"/>
      <c r="I5" s="8"/>
    </row>
    <row r="6" spans="2:11" x14ac:dyDescent="0.25">
      <c r="B6" s="14">
        <f>SUM($D$3:D6)</f>
        <v>-154002.34333333332</v>
      </c>
      <c r="C6" s="15">
        <v>45505</v>
      </c>
      <c r="D6" s="14">
        <f t="shared" si="0"/>
        <v>-60000</v>
      </c>
      <c r="E6" s="14"/>
      <c r="F6" s="14">
        <f>-24%*K9</f>
        <v>-60000</v>
      </c>
      <c r="G6" s="14"/>
      <c r="H6" s="12" t="s">
        <v>46</v>
      </c>
      <c r="I6" s="8"/>
    </row>
    <row r="7" spans="2:11" x14ac:dyDescent="0.25">
      <c r="B7" s="14">
        <f>SUM($D$3:D7)</f>
        <v>-150577.34333333332</v>
      </c>
      <c r="C7" s="15">
        <v>45566</v>
      </c>
      <c r="D7" s="14">
        <f t="shared" si="0"/>
        <v>3425</v>
      </c>
      <c r="E7" s="14"/>
      <c r="F7" s="14">
        <f>1.37%*K9</f>
        <v>3425</v>
      </c>
      <c r="G7" s="14"/>
      <c r="H7" s="12" t="s">
        <v>26</v>
      </c>
      <c r="I7" s="8"/>
      <c r="J7" t="s">
        <v>10</v>
      </c>
      <c r="K7" s="18">
        <v>150394.75</v>
      </c>
    </row>
    <row r="8" spans="2:11" x14ac:dyDescent="0.25">
      <c r="B8" s="14">
        <f>SUM($D$3:D8)</f>
        <v>-180656.29333333333</v>
      </c>
      <c r="C8" s="15">
        <v>45505</v>
      </c>
      <c r="D8" s="14">
        <f t="shared" si="0"/>
        <v>-30078.95</v>
      </c>
      <c r="E8" s="14"/>
      <c r="F8" s="14"/>
      <c r="G8" s="14">
        <f>-$K$7/5</f>
        <v>-30078.95</v>
      </c>
      <c r="H8" s="12"/>
      <c r="I8" s="8"/>
      <c r="J8" t="s">
        <v>5</v>
      </c>
      <c r="K8" s="5">
        <v>150197</v>
      </c>
    </row>
    <row r="9" spans="2:11" x14ac:dyDescent="0.25">
      <c r="B9" s="14">
        <f>SUM($D$3:D9)</f>
        <v>-183363.39883333334</v>
      </c>
      <c r="C9" s="15">
        <v>45566</v>
      </c>
      <c r="D9" s="14">
        <f t="shared" si="0"/>
        <v>-2707.1055000000001</v>
      </c>
      <c r="E9" s="14"/>
      <c r="F9" s="14"/>
      <c r="G9" s="14">
        <f>9%*G8</f>
        <v>-2707.1055000000001</v>
      </c>
      <c r="H9" s="12" t="s">
        <v>24</v>
      </c>
      <c r="I9" s="8"/>
      <c r="J9" t="s">
        <v>14</v>
      </c>
      <c r="K9" s="5">
        <v>250000</v>
      </c>
    </row>
    <row r="10" spans="2:11" x14ac:dyDescent="0.25">
      <c r="B10" s="14">
        <f>SUM($D$3:D10)</f>
        <v>-233429.0655</v>
      </c>
      <c r="C10" s="15">
        <v>45717</v>
      </c>
      <c r="D10" s="14">
        <f t="shared" si="0"/>
        <v>-50065.666666666664</v>
      </c>
      <c r="E10" s="14">
        <f>E3</f>
        <v>-50065.666666666664</v>
      </c>
      <c r="F10" s="14"/>
      <c r="G10" s="14"/>
      <c r="H10" s="12"/>
      <c r="I10" s="8"/>
      <c r="J10" t="s">
        <v>32</v>
      </c>
      <c r="K10" s="5">
        <f>K9+F6</f>
        <v>190000</v>
      </c>
    </row>
    <row r="11" spans="2:11" x14ac:dyDescent="0.25">
      <c r="B11" s="14">
        <f>SUM($D$3:D11)</f>
        <v>-263508.01549999998</v>
      </c>
      <c r="C11" s="15">
        <v>45870</v>
      </c>
      <c r="D11" s="14">
        <f t="shared" si="0"/>
        <v>-30078.95</v>
      </c>
      <c r="E11" s="14"/>
      <c r="F11" s="14"/>
      <c r="G11" s="14">
        <f>G8</f>
        <v>-30078.95</v>
      </c>
      <c r="H11" s="12"/>
      <c r="I11" s="8"/>
      <c r="J11" t="s">
        <v>34</v>
      </c>
      <c r="K11" s="2">
        <v>2.5000000000000001E-2</v>
      </c>
    </row>
    <row r="12" spans="2:11" x14ac:dyDescent="0.25">
      <c r="B12" s="14">
        <f>SUM($D$3:D12)</f>
        <v>-262380.05487499997</v>
      </c>
      <c r="C12" s="15">
        <v>45870</v>
      </c>
      <c r="D12" s="14">
        <f t="shared" si="0"/>
        <v>1127.9606249999999</v>
      </c>
      <c r="E12" s="14"/>
      <c r="F12" s="14"/>
      <c r="G12" s="14">
        <f>(0.0425-0.035)*K7</f>
        <v>1127.9606249999999</v>
      </c>
      <c r="H12" s="12" t="s">
        <v>47</v>
      </c>
      <c r="I12" s="8"/>
    </row>
    <row r="13" spans="2:11" ht="30" x14ac:dyDescent="0.25">
      <c r="B13" s="14">
        <f>SUM($D$3:D13)</f>
        <v>-273640.05487499997</v>
      </c>
      <c r="C13" s="15">
        <v>45962</v>
      </c>
      <c r="D13" s="14">
        <f t="shared" si="0"/>
        <v>-11260</v>
      </c>
      <c r="E13" s="14"/>
      <c r="F13" s="14">
        <f>-(6510+K10*K11)</f>
        <v>-11260</v>
      </c>
      <c r="G13" s="14"/>
      <c r="H13" s="34" t="s">
        <v>45</v>
      </c>
      <c r="I13" s="8"/>
      <c r="J13" s="34" t="s">
        <v>50</v>
      </c>
      <c r="K13" s="35">
        <f>B13</f>
        <v>-273640.05487499997</v>
      </c>
    </row>
    <row r="14" spans="2:11" x14ac:dyDescent="0.25">
      <c r="B14" s="14">
        <f>SUM($D$3:D14)</f>
        <v>-269167.18821499997</v>
      </c>
      <c r="C14" s="15">
        <v>46082</v>
      </c>
      <c r="D14" s="14">
        <f>SUM(E14:G14)</f>
        <v>4472.8666599999997</v>
      </c>
      <c r="E14" s="14">
        <f>2.978%*K8</f>
        <v>4472.8666599999997</v>
      </c>
      <c r="F14" s="14"/>
      <c r="G14" s="14"/>
      <c r="H14" s="12" t="s">
        <v>7</v>
      </c>
      <c r="I14" s="8"/>
      <c r="J14" s="12" t="s">
        <v>48</v>
      </c>
      <c r="K14" s="14">
        <f>B5</f>
        <v>-94002.343333333323</v>
      </c>
    </row>
    <row r="15" spans="2:11" x14ac:dyDescent="0.25">
      <c r="B15" s="14">
        <f>SUM($D$3:D15)</f>
        <v>-118970.18821499997</v>
      </c>
      <c r="C15" s="15">
        <v>46082</v>
      </c>
      <c r="D15" s="14">
        <f>SUM(E15:G15)</f>
        <v>150197</v>
      </c>
      <c r="E15" s="14">
        <f>K8</f>
        <v>150197</v>
      </c>
      <c r="F15" s="14"/>
      <c r="G15" s="14"/>
      <c r="H15" s="12" t="s">
        <v>25</v>
      </c>
      <c r="I15" s="8"/>
      <c r="J15" s="12" t="s">
        <v>49</v>
      </c>
      <c r="K15" s="14">
        <f>K13-K14</f>
        <v>-179637.71154166665</v>
      </c>
    </row>
    <row r="16" spans="2:11" x14ac:dyDescent="0.25">
      <c r="B16" s="14">
        <f>SUM($D$3:D16)</f>
        <v>-149049.13821499998</v>
      </c>
      <c r="C16" s="15">
        <v>46235</v>
      </c>
      <c r="D16" s="14">
        <f t="shared" si="0"/>
        <v>-30078.95</v>
      </c>
      <c r="E16" s="14"/>
      <c r="F16" s="14"/>
      <c r="G16" s="14">
        <f>G8</f>
        <v>-30078.95</v>
      </c>
      <c r="H16" s="12"/>
      <c r="I16" s="8"/>
    </row>
    <row r="17" spans="2:11" x14ac:dyDescent="0.25">
      <c r="B17" s="14">
        <f>SUM($D$3:D17)</f>
        <v>-141024.13821499998</v>
      </c>
      <c r="C17" s="15">
        <v>46419</v>
      </c>
      <c r="D17" s="14">
        <f t="shared" si="0"/>
        <v>8024.9999999999991</v>
      </c>
      <c r="E17" s="14"/>
      <c r="F17" s="14">
        <f>3.21%*$K$9</f>
        <v>8024.9999999999991</v>
      </c>
      <c r="G17" s="14"/>
      <c r="H17" s="12" t="s">
        <v>27</v>
      </c>
      <c r="I17" s="8"/>
    </row>
    <row r="18" spans="2:11" x14ac:dyDescent="0.25">
      <c r="B18" s="14">
        <f>SUM($D$3:D18)</f>
        <v>-81024.138214999984</v>
      </c>
      <c r="C18" s="15">
        <v>46419</v>
      </c>
      <c r="D18" s="14">
        <f t="shared" si="0"/>
        <v>60000</v>
      </c>
      <c r="E18" s="14"/>
      <c r="F18" s="14">
        <f>-F6</f>
        <v>60000</v>
      </c>
      <c r="G18" s="14"/>
      <c r="H18" s="17" t="s">
        <v>28</v>
      </c>
      <c r="I18" s="19"/>
    </row>
    <row r="19" spans="2:11" x14ac:dyDescent="0.25">
      <c r="B19" s="14">
        <f>SUM($D$3:D19)</f>
        <v>-111103.08821499998</v>
      </c>
      <c r="C19" s="15">
        <v>46600</v>
      </c>
      <c r="D19" s="14">
        <f t="shared" si="0"/>
        <v>-30078.95</v>
      </c>
      <c r="E19" s="14"/>
      <c r="F19" s="14"/>
      <c r="G19" s="14">
        <f>G8</f>
        <v>-30078.95</v>
      </c>
      <c r="H19" s="12"/>
      <c r="I19" s="8"/>
    </row>
    <row r="20" spans="2:11" x14ac:dyDescent="0.25">
      <c r="B20" s="14">
        <f>SUM($D$3:D20)</f>
        <v>-141182.03821499998</v>
      </c>
      <c r="C20" s="15">
        <v>46966</v>
      </c>
      <c r="D20" s="14">
        <f t="shared" si="0"/>
        <v>-30078.95</v>
      </c>
      <c r="E20" s="14"/>
      <c r="F20" s="14"/>
      <c r="G20" s="14">
        <f>G8</f>
        <v>-30078.95</v>
      </c>
      <c r="H20" s="12"/>
      <c r="I20" s="8"/>
    </row>
    <row r="21" spans="2:11" x14ac:dyDescent="0.25">
      <c r="B21" s="14">
        <f>SUM($D$3:D21)</f>
        <v>-136082.15224249999</v>
      </c>
      <c r="C21" s="15">
        <v>47331</v>
      </c>
      <c r="D21" s="14">
        <f t="shared" si="0"/>
        <v>5099.8859725000002</v>
      </c>
      <c r="E21" s="14"/>
      <c r="F21" s="14"/>
      <c r="G21" s="14">
        <f>3.391%*$K$7</f>
        <v>5099.8859725000002</v>
      </c>
      <c r="H21" s="12" t="s">
        <v>8</v>
      </c>
      <c r="I21" s="8"/>
    </row>
    <row r="22" spans="2:11" x14ac:dyDescent="0.25">
      <c r="B22" s="14">
        <f>SUM($D$3:D22)</f>
        <v>-131570.30974249999</v>
      </c>
      <c r="C22" s="15">
        <v>47331</v>
      </c>
      <c r="D22" s="14">
        <f t="shared" si="0"/>
        <v>4511.8424999999997</v>
      </c>
      <c r="E22" s="14"/>
      <c r="F22" s="14"/>
      <c r="G22" s="14">
        <f>3%*K7</f>
        <v>4511.8424999999997</v>
      </c>
      <c r="H22" s="12" t="s">
        <v>44</v>
      </c>
      <c r="I22" s="8"/>
    </row>
    <row r="23" spans="2:11" ht="15.75" thickBot="1" x14ac:dyDescent="0.3">
      <c r="B23" s="23">
        <f>SUM($D$3:D23)</f>
        <v>18824.440257500013</v>
      </c>
      <c r="C23" s="22">
        <v>47331</v>
      </c>
      <c r="D23" s="23">
        <f t="shared" si="0"/>
        <v>150394.75</v>
      </c>
      <c r="E23" s="23"/>
      <c r="F23" s="23"/>
      <c r="G23" s="23">
        <f>K7</f>
        <v>150394.75</v>
      </c>
      <c r="H23" s="12" t="s">
        <v>9</v>
      </c>
      <c r="I23" s="8"/>
    </row>
    <row r="24" spans="2:11" ht="15.75" thickTop="1" x14ac:dyDescent="0.25">
      <c r="B24" s="26" t="s">
        <v>36</v>
      </c>
      <c r="C24" s="27"/>
      <c r="D24" s="28"/>
      <c r="E24" s="21">
        <f>SUM(E3:E23)</f>
        <v>10601.86666</v>
      </c>
      <c r="F24" s="21">
        <f>SUM(F3:F23)</f>
        <v>190</v>
      </c>
      <c r="G24" s="21">
        <f>SUM(G3:G23)</f>
        <v>8032.5735974999843</v>
      </c>
      <c r="H24" s="12"/>
      <c r="I24" s="8"/>
    </row>
    <row r="25" spans="2:11" x14ac:dyDescent="0.25">
      <c r="B25" s="24"/>
      <c r="C25" s="29"/>
      <c r="D25" s="25"/>
      <c r="E25" s="16">
        <f>XIRR(E3:E23,C3:C23)</f>
        <v>3.9722254872322102E-2</v>
      </c>
      <c r="F25" s="16"/>
      <c r="G25" s="16">
        <f>XIRR($G$3:G23,$C$3:C23)</f>
        <v>1.7060789465904235E-2</v>
      </c>
      <c r="H25" s="12" t="s">
        <v>40</v>
      </c>
      <c r="I25" s="8"/>
    </row>
    <row r="26" spans="2:11" x14ac:dyDescent="0.25">
      <c r="B26" s="12" t="s">
        <v>43</v>
      </c>
      <c r="C26" s="15"/>
      <c r="D26" s="14"/>
      <c r="E26" s="14"/>
      <c r="F26" s="14"/>
      <c r="G26" s="16"/>
      <c r="H26" s="12"/>
      <c r="I26" s="8"/>
    </row>
    <row r="27" spans="2:11" x14ac:dyDescent="0.25">
      <c r="B27" s="14">
        <f>SUM($D$3:D27)-$F$18-SUM($G$22:$G$23)</f>
        <v>-190982.26626999999</v>
      </c>
      <c r="C27" s="15">
        <v>47696</v>
      </c>
      <c r="D27" s="14">
        <f t="shared" si="0"/>
        <v>5099.8859725000002</v>
      </c>
      <c r="E27" s="14"/>
      <c r="F27" s="14"/>
      <c r="G27" s="14">
        <f>3.391%*$K$7</f>
        <v>5099.8859725000002</v>
      </c>
      <c r="H27" s="31" t="s">
        <v>42</v>
      </c>
      <c r="I27" s="8"/>
    </row>
    <row r="28" spans="2:11" x14ac:dyDescent="0.25">
      <c r="B28" s="14">
        <f>SUM($D$3:D28)-$F$18-SUM($G$22:$G$23)</f>
        <v>-185882.3802975</v>
      </c>
      <c r="C28" s="15">
        <v>48061</v>
      </c>
      <c r="D28" s="14">
        <f t="shared" si="0"/>
        <v>5099.8859725000002</v>
      </c>
      <c r="E28" s="14"/>
      <c r="F28" s="14"/>
      <c r="G28" s="14">
        <f>3.391%*$K$7</f>
        <v>5099.8859725000002</v>
      </c>
      <c r="H28" s="32"/>
      <c r="I28" s="8"/>
    </row>
    <row r="29" spans="2:11" x14ac:dyDescent="0.25">
      <c r="B29" s="14">
        <f>SUM($D$3:D29)-$F$18-SUM($G$22:$G$23)</f>
        <v>-180782.49432499998</v>
      </c>
      <c r="C29" s="15">
        <v>48427</v>
      </c>
      <c r="D29" s="14">
        <f t="shared" si="0"/>
        <v>5099.8859725000002</v>
      </c>
      <c r="E29" s="14"/>
      <c r="F29" s="14"/>
      <c r="G29" s="14">
        <f>3.391%*$K$7</f>
        <v>5099.8859725000002</v>
      </c>
      <c r="H29" s="32"/>
      <c r="I29" s="8"/>
    </row>
    <row r="30" spans="2:11" x14ac:dyDescent="0.25">
      <c r="B30" s="14">
        <f>SUM($D$3:D30)-$F$18-SUM($G$22:$G$23)</f>
        <v>-175682.60835249998</v>
      </c>
      <c r="C30" s="15">
        <v>48792</v>
      </c>
      <c r="D30" s="14">
        <f t="shared" si="0"/>
        <v>5099.8859725000002</v>
      </c>
      <c r="E30" s="14"/>
      <c r="F30" s="14"/>
      <c r="G30" s="14">
        <f>3.391%*$K$7</f>
        <v>5099.8859725000002</v>
      </c>
      <c r="H30" s="32"/>
      <c r="I30" s="8"/>
    </row>
    <row r="31" spans="2:11" x14ac:dyDescent="0.25">
      <c r="B31" s="14">
        <f>SUM($D$3:D31)-$F$18-SUM($G$22:$G$23)</f>
        <v>-170582.72237999999</v>
      </c>
      <c r="C31" s="15">
        <v>49157</v>
      </c>
      <c r="D31" s="14">
        <f t="shared" si="0"/>
        <v>5099.8859725000002</v>
      </c>
      <c r="E31" s="14"/>
      <c r="F31" s="14"/>
      <c r="G31" s="14">
        <f>3.391%*$K$7</f>
        <v>5099.8859725000002</v>
      </c>
      <c r="H31" s="32"/>
      <c r="I31" s="8"/>
    </row>
    <row r="32" spans="2:11" x14ac:dyDescent="0.25">
      <c r="B32" s="14">
        <f>SUM($D$3:D32)-$F$18-SUM($G$22:$G$23)</f>
        <v>-166357.72237999999</v>
      </c>
      <c r="C32" s="13">
        <v>46784</v>
      </c>
      <c r="D32" s="14">
        <f t="shared" si="0"/>
        <v>4224.9999999999991</v>
      </c>
      <c r="E32" s="14"/>
      <c r="F32" s="12">
        <f>3.21%*$K$9-$K$10*$K$32</f>
        <v>4224.9999999999991</v>
      </c>
      <c r="G32" s="14"/>
      <c r="H32" s="32"/>
      <c r="I32" s="8"/>
      <c r="J32" t="s">
        <v>20</v>
      </c>
      <c r="K32" s="2">
        <v>0.02</v>
      </c>
    </row>
    <row r="33" spans="2:11" x14ac:dyDescent="0.25">
      <c r="B33" s="14">
        <f>SUM($D$3:D33)-$F$18-SUM($G$22:$G$23)</f>
        <v>-162132.72237999999</v>
      </c>
      <c r="C33" s="13">
        <v>47150</v>
      </c>
      <c r="D33" s="14">
        <f t="shared" si="0"/>
        <v>4224.9999999999991</v>
      </c>
      <c r="E33" s="14"/>
      <c r="F33" s="12">
        <f>3.21%*$K$9-$K$10*$K$32</f>
        <v>4224.9999999999991</v>
      </c>
      <c r="G33" s="14"/>
      <c r="H33" s="32"/>
      <c r="I33" s="8"/>
      <c r="J33" t="s">
        <v>38</v>
      </c>
      <c r="K33" s="30">
        <f>-F32/F6</f>
        <v>7.0416666666666655E-2</v>
      </c>
    </row>
    <row r="34" spans="2:11" x14ac:dyDescent="0.25">
      <c r="B34" s="14">
        <f>SUM($D$3:D34)-$F$18-SUM($G$22:$G$23)</f>
        <v>-157907.72237999999</v>
      </c>
      <c r="C34" s="13">
        <v>47515</v>
      </c>
      <c r="D34" s="14">
        <f t="shared" si="0"/>
        <v>4224.9999999999991</v>
      </c>
      <c r="E34" s="14"/>
      <c r="F34" s="12">
        <f>3.21%*$K$9-$K$10*$K$32</f>
        <v>4224.9999999999991</v>
      </c>
      <c r="G34" s="14"/>
      <c r="H34" s="32"/>
      <c r="I34" s="8"/>
    </row>
    <row r="35" spans="2:11" x14ac:dyDescent="0.25">
      <c r="B35" s="14">
        <f>SUM($D$3:D35)-$F$18-SUM($G$22:$G$23)</f>
        <v>-153682.72237999999</v>
      </c>
      <c r="C35" s="13">
        <v>47880</v>
      </c>
      <c r="D35" s="14">
        <f t="shared" si="0"/>
        <v>4224.9999999999991</v>
      </c>
      <c r="E35" s="14"/>
      <c r="F35" s="12">
        <f>3.21%*$K$9-$K$10*$K$32</f>
        <v>4224.9999999999991</v>
      </c>
      <c r="G35" s="14"/>
      <c r="H35" s="32"/>
      <c r="I35" s="8"/>
    </row>
    <row r="36" spans="2:11" x14ac:dyDescent="0.25">
      <c r="B36" s="14">
        <f>SUM($D$3:D36)-$F$18-SUM($G$22:$G$23)</f>
        <v>-149457.72237999999</v>
      </c>
      <c r="C36" s="13">
        <v>48245</v>
      </c>
      <c r="D36" s="14">
        <f t="shared" si="0"/>
        <v>4224.9999999999991</v>
      </c>
      <c r="E36" s="14"/>
      <c r="F36" s="12">
        <f>3.21%*$K$9-$K$10*$K$32</f>
        <v>4224.9999999999991</v>
      </c>
      <c r="G36" s="14"/>
      <c r="H36" s="32"/>
      <c r="I36" s="8"/>
    </row>
    <row r="37" spans="2:11" x14ac:dyDescent="0.25">
      <c r="B37" s="14">
        <f>SUM($D$3:D37)-$F$18-SUM($G$22:$G$23)</f>
        <v>-145232.72237999999</v>
      </c>
      <c r="C37" s="13">
        <v>48611</v>
      </c>
      <c r="D37" s="14">
        <f t="shared" si="0"/>
        <v>4224.9999999999991</v>
      </c>
      <c r="E37" s="14"/>
      <c r="F37" s="12">
        <f>3.21%*$K$9-$K$10*$K$32</f>
        <v>4224.9999999999991</v>
      </c>
      <c r="G37" s="14"/>
      <c r="H37" s="32"/>
      <c r="I37" s="8"/>
    </row>
    <row r="38" spans="2:11" x14ac:dyDescent="0.25">
      <c r="B38" s="14">
        <f>SUM($D$3:D38)-$F$18-SUM($G$22:$G$23)</f>
        <v>-141007.72237999999</v>
      </c>
      <c r="C38" s="13">
        <v>48976</v>
      </c>
      <c r="D38" s="14">
        <f t="shared" si="0"/>
        <v>4224.9999999999991</v>
      </c>
      <c r="E38" s="14"/>
      <c r="F38" s="12">
        <f>3.21%*$K$9-$K$10*$K$32</f>
        <v>4224.9999999999991</v>
      </c>
      <c r="G38" s="14"/>
      <c r="H38" s="33"/>
      <c r="I38" s="8"/>
    </row>
  </sheetData>
  <mergeCells count="2">
    <mergeCell ref="B24:D25"/>
    <mergeCell ref="H27:H38"/>
  </mergeCell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E085-7913-4032-AD19-3529039FBF47}">
  <dimension ref="A2:F10"/>
  <sheetViews>
    <sheetView workbookViewId="0">
      <selection activeCell="H26" sqref="H26"/>
    </sheetView>
  </sheetViews>
  <sheetFormatPr defaultRowHeight="15" x14ac:dyDescent="0.25"/>
  <cols>
    <col min="1" max="1" width="9.140625" style="5"/>
    <col min="2" max="2" width="7.140625" style="4" bestFit="1" customWidth="1"/>
    <col min="3" max="3" width="9.85546875" customWidth="1"/>
    <col min="4" max="4" width="5.7109375" customWidth="1"/>
    <col min="5" max="5" width="10.28515625" bestFit="1" customWidth="1"/>
  </cols>
  <sheetData>
    <row r="2" spans="1:6" x14ac:dyDescent="0.25">
      <c r="A2" s="5" t="s">
        <v>13</v>
      </c>
      <c r="C2" t="s">
        <v>2</v>
      </c>
    </row>
    <row r="3" spans="1:6" x14ac:dyDescent="0.25">
      <c r="B3" s="4">
        <v>45170</v>
      </c>
      <c r="C3">
        <f>-F3/3</f>
        <v>-50065.666666666664</v>
      </c>
      <c r="E3" t="s">
        <v>0</v>
      </c>
      <c r="F3">
        <v>150197</v>
      </c>
    </row>
    <row r="4" spans="1:6" x14ac:dyDescent="0.25">
      <c r="B4" s="4">
        <v>45261</v>
      </c>
      <c r="C4">
        <v>6129</v>
      </c>
    </row>
    <row r="5" spans="1:6" x14ac:dyDescent="0.25">
      <c r="B5" s="4">
        <v>45352</v>
      </c>
      <c r="C5">
        <f>C3</f>
        <v>-50065.666666666664</v>
      </c>
    </row>
    <row r="6" spans="1:6" x14ac:dyDescent="0.25">
      <c r="B6" s="4">
        <v>45717</v>
      </c>
      <c r="C6">
        <f>C3</f>
        <v>-50065.666666666664</v>
      </c>
    </row>
    <row r="7" spans="1:6" x14ac:dyDescent="0.25">
      <c r="B7" s="4">
        <v>46082</v>
      </c>
      <c r="C7">
        <f>2.978%*F3</f>
        <v>4472.8666599999997</v>
      </c>
      <c r="D7" t="s">
        <v>4</v>
      </c>
    </row>
    <row r="8" spans="1:6" x14ac:dyDescent="0.25">
      <c r="A8" s="5">
        <f>SUM(C3:C8)</f>
        <v>10601.86666</v>
      </c>
      <c r="B8" s="4">
        <v>46082</v>
      </c>
      <c r="C8">
        <f>F3</f>
        <v>150197</v>
      </c>
    </row>
    <row r="10" spans="1:6" x14ac:dyDescent="0.25">
      <c r="B10" s="4" t="s">
        <v>1</v>
      </c>
      <c r="C10" s="2">
        <f>XIRR(C3:C8,B3:B8)</f>
        <v>3.9722254872322102E-2</v>
      </c>
    </row>
  </sheetData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6274-01E4-460C-874E-5FDFF94A143D}">
  <dimension ref="B2:C9"/>
  <sheetViews>
    <sheetView workbookViewId="0">
      <selection activeCell="J10" sqref="J10"/>
    </sheetView>
  </sheetViews>
  <sheetFormatPr defaultRowHeight="15" x14ac:dyDescent="0.25"/>
  <cols>
    <col min="2" max="2" width="9.85546875" bestFit="1" customWidth="1"/>
    <col min="3" max="3" width="9.85546875" customWidth="1"/>
    <col min="4" max="4" width="5.7109375" customWidth="1"/>
    <col min="5" max="5" width="10.28515625" bestFit="1" customWidth="1"/>
  </cols>
  <sheetData>
    <row r="2" spans="2:3" x14ac:dyDescent="0.25">
      <c r="C2" t="s">
        <v>2</v>
      </c>
    </row>
    <row r="3" spans="2:3" x14ac:dyDescent="0.25">
      <c r="B3" s="1">
        <v>44986</v>
      </c>
      <c r="C3">
        <v>-100</v>
      </c>
    </row>
    <row r="4" spans="2:3" x14ac:dyDescent="0.25">
      <c r="B4" s="1">
        <v>45352</v>
      </c>
      <c r="C4">
        <v>3</v>
      </c>
    </row>
    <row r="5" spans="2:3" x14ac:dyDescent="0.25">
      <c r="B5" s="1">
        <v>45717</v>
      </c>
      <c r="C5">
        <v>3</v>
      </c>
    </row>
    <row r="6" spans="2:3" x14ac:dyDescent="0.25">
      <c r="B6" s="1">
        <v>46082</v>
      </c>
      <c r="C6">
        <v>3</v>
      </c>
    </row>
    <row r="7" spans="2:3" x14ac:dyDescent="0.25">
      <c r="B7" s="1">
        <v>46082</v>
      </c>
      <c r="C7">
        <f>-C3</f>
        <v>100</v>
      </c>
    </row>
    <row r="9" spans="2:3" x14ac:dyDescent="0.25">
      <c r="B9" t="s">
        <v>1</v>
      </c>
      <c r="C9" s="2">
        <f>XIRR(C3:C7,B3:B7)</f>
        <v>2.9971399903297419E-2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Fli2pm 200k</vt:lpstr>
      <vt:lpstr>Fli2pm</vt:lpstr>
      <vt:lpstr>LTIS</vt:lpstr>
      <vt:lpstr>overlap ptf</vt:lpstr>
      <vt:lpstr>FLI2</vt:lpstr>
      <vt:lpstr>xirr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Tan, Victor</cp:lastModifiedBy>
  <dcterms:created xsi:type="dcterms:W3CDTF">2023-08-09T09:59:57Z</dcterms:created>
  <dcterms:modified xsi:type="dcterms:W3CDTF">2024-08-16T11:49:34Z</dcterms:modified>
</cp:coreProperties>
</file>