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2DD7B0FB-40E4-4E5C-89C1-205ABA800768}" xr6:coauthVersionLast="38" xr6:coauthVersionMax="47" xr10:uidLastSave="{00000000-0000-0000-0000-000000000000}"/>
  <bookViews>
    <workbookView xWindow="21540" yWindow="13590" windowWidth="38520" windowHeight="21720" tabRatio="673" firstSheet="7" activeTab="7" xr2:uid="{00000000-000D-0000-FFFF-FFFF00000000}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tBill" sheetId="48" r:id="rId9"/>
    <sheet name="EGA+SC ADB" sheetId="44" r:id="rId10"/>
    <sheet name="MCS ADB" sheetId="42" r:id="rId11"/>
    <sheet name="wife100k" sheetId="43" state="hidden" r:id="rId12"/>
    <sheet name="Bj15d" sheetId="46" state="hidden" r:id="rId13"/>
    <sheet name="!" sheetId="33" r:id="rId14"/>
  </sheets>
  <calcPr calcId="179021"/>
</workbook>
</file>

<file path=xl/calcChain.xml><?xml version="1.0" encoding="utf-8"?>
<calcChain xmlns="http://schemas.openxmlformats.org/spreadsheetml/2006/main">
  <c r="LS2" i="32" l="1"/>
  <c r="LQ5" i="32" l="1"/>
  <c r="LO2" i="32"/>
  <c r="LO34" i="32"/>
  <c r="LO29" i="32"/>
  <c r="LO30" i="32"/>
  <c r="LO36" i="32"/>
  <c r="LO31" i="32"/>
  <c r="LO33" i="32"/>
  <c r="LK33" i="32"/>
  <c r="LO35" i="32" l="1"/>
  <c r="LO32" i="32"/>
  <c r="LK31" i="32"/>
  <c r="LK27" i="32"/>
  <c r="LK20" i="32" l="1"/>
  <c r="LK38" i="32"/>
  <c r="LI33" i="32" l="1"/>
  <c r="LK26" i="32"/>
  <c r="LK11" i="32" l="1"/>
  <c r="LM2" i="32"/>
  <c r="LQ2" i="32" s="1"/>
  <c r="LQ4" i="32" l="1"/>
  <c r="LQ3" i="32"/>
  <c r="LI38" i="32"/>
  <c r="LI19" i="32"/>
  <c r="LI20" i="32"/>
  <c r="T3" i="44"/>
  <c r="LK17" i="32"/>
  <c r="LK40" i="32" l="1"/>
  <c r="LK5" i="32" s="1"/>
  <c r="LI34" i="32"/>
  <c r="LI32" i="32"/>
  <c r="LI35" i="32"/>
  <c r="LE40" i="32"/>
  <c r="LE31" i="32"/>
  <c r="LE28" i="32"/>
  <c r="LE8" i="32"/>
  <c r="LE21" i="32"/>
  <c r="LI36" i="32" l="1"/>
  <c r="LI31" i="32"/>
  <c r="LI2" i="32"/>
  <c r="LI37" i="32"/>
  <c r="LE30" i="32"/>
  <c r="LE7" i="32" l="1"/>
  <c r="LE38" i="32"/>
  <c r="LE52" i="32"/>
  <c r="LE37" i="32"/>
  <c r="LG29" i="32"/>
  <c r="LC43" i="32" l="1"/>
  <c r="LE33" i="32"/>
  <c r="LE17" i="32"/>
  <c r="LE14" i="32"/>
  <c r="LC38" i="32" l="1"/>
  <c r="LE49" i="32"/>
  <c r="LC16" i="32" l="1"/>
  <c r="LC37" i="32" l="1"/>
  <c r="LC21" i="32"/>
  <c r="X32" i="44" l="1"/>
  <c r="X33" i="44"/>
  <c r="X31" i="44"/>
  <c r="T4" i="44"/>
  <c r="T5" i="44"/>
  <c r="T6" i="44"/>
  <c r="T7" i="44"/>
  <c r="T8" i="44"/>
  <c r="T9" i="44"/>
  <c r="T10" i="44"/>
  <c r="T11" i="44"/>
  <c r="T12" i="44"/>
  <c r="LC17" i="32"/>
  <c r="LC2" i="32" s="1"/>
  <c r="X35" i="44" l="1"/>
  <c r="X37" i="44" s="1"/>
  <c r="LC41" i="32"/>
  <c r="LC39" i="32"/>
  <c r="LG17" i="32"/>
  <c r="LG2" i="32" s="1"/>
  <c r="LK2" i="32" s="1"/>
  <c r="LC36" i="32"/>
  <c r="LE42" i="32"/>
  <c r="LE5" i="32" s="1"/>
  <c r="LK4" i="32" l="1"/>
  <c r="LK3" i="32"/>
  <c r="LC40" i="32"/>
  <c r="LC42" i="32"/>
  <c r="KY31" i="32"/>
  <c r="KY19" i="32"/>
  <c r="KY48" i="32"/>
  <c r="KY28" i="32" l="1"/>
  <c r="KY30" i="32"/>
  <c r="KY23" i="32"/>
  <c r="LA27" i="32"/>
  <c r="KY41" i="32" l="1"/>
  <c r="KY40" i="32"/>
  <c r="KY45" i="32"/>
  <c r="KY42" i="32"/>
  <c r="KW50" i="32" l="1"/>
  <c r="KY16" i="32"/>
  <c r="KY14" i="32"/>
  <c r="KY22" i="32" l="1"/>
  <c r="T14" i="44"/>
  <c r="T15" i="44"/>
  <c r="T16" i="44"/>
  <c r="T17" i="44"/>
  <c r="T18" i="44"/>
  <c r="T19" i="44"/>
  <c r="T20" i="44"/>
  <c r="T21" i="44"/>
  <c r="T22" i="44"/>
  <c r="T23" i="44"/>
  <c r="T24" i="44"/>
  <c r="T25" i="44"/>
  <c r="T26" i="44"/>
  <c r="T27" i="44"/>
  <c r="T28" i="44"/>
  <c r="T29" i="44"/>
  <c r="T30" i="44"/>
  <c r="T31" i="44"/>
  <c r="T32" i="44"/>
  <c r="T33" i="44"/>
  <c r="T13" i="44"/>
  <c r="KW24" i="32"/>
  <c r="KY35" i="32"/>
  <c r="KW12" i="32"/>
  <c r="T35" i="44" l="1"/>
  <c r="T37" i="44" s="1"/>
  <c r="KY36" i="32"/>
  <c r="LA19" i="32"/>
  <c r="LA2" i="32" s="1"/>
  <c r="LE2" i="32" s="1"/>
  <c r="B17" i="48"/>
  <c r="KY47" i="32"/>
  <c r="LE4" i="32" l="1"/>
  <c r="LE3" i="32"/>
  <c r="KY9" i="32"/>
  <c r="KY38" i="32" l="1"/>
  <c r="KW49" i="32" s="1"/>
  <c r="KW23" i="32" l="1"/>
  <c r="KW20" i="32"/>
  <c r="KW19" i="32"/>
  <c r="KW43" i="32"/>
  <c r="KW2" i="32" l="1"/>
  <c r="KS8" i="32"/>
  <c r="KP25" i="32"/>
  <c r="KS30" i="32"/>
  <c r="KY50" i="32"/>
  <c r="KY5" i="32" s="1"/>
  <c r="KW48" i="32"/>
  <c r="KW44" i="32"/>
  <c r="KW46" i="32"/>
  <c r="KW47" i="32"/>
  <c r="KS36" i="32"/>
  <c r="KS37" i="32"/>
  <c r="P36" i="44"/>
  <c r="L36" i="44"/>
  <c r="H36" i="44"/>
  <c r="D36" i="44"/>
  <c r="KS27" i="32"/>
  <c r="KS16" i="32" l="1"/>
  <c r="KQ39" i="32" s="1"/>
  <c r="KS17" i="32"/>
  <c r="KU20" i="32" l="1"/>
  <c r="KQ17" i="32"/>
  <c r="KS25" i="32"/>
  <c r="KM17" i="32" l="1"/>
  <c r="KS26" i="32"/>
  <c r="KQ42" i="32"/>
  <c r="KQ9" i="32"/>
  <c r="KU10" i="32" l="1"/>
  <c r="KR45" i="32"/>
  <c r="KQ36" i="32" l="1"/>
  <c r="KA30" i="32"/>
  <c r="KA33" i="32"/>
  <c r="KQ16" i="32"/>
  <c r="B3" i="42" l="1"/>
  <c r="KQ14" i="32"/>
  <c r="KD24" i="32" l="1"/>
  <c r="KQ15" i="32" l="1"/>
  <c r="KQ2" i="32" s="1"/>
  <c r="KM12" i="32" l="1"/>
  <c r="KM10" i="32"/>
  <c r="KM11" i="32"/>
  <c r="KS41" i="32" l="1"/>
  <c r="KS5" i="32" s="1"/>
  <c r="KU3" i="32"/>
  <c r="KY2" i="32" s="1"/>
  <c r="KQ40" i="32"/>
  <c r="KQ41" i="32"/>
  <c r="KQ38" i="32"/>
  <c r="KY3" i="32" l="1"/>
  <c r="KY4" i="32"/>
  <c r="KM36" i="32"/>
  <c r="KQ37" i="32" l="1"/>
  <c r="KO9" i="32"/>
  <c r="KK25" i="32" l="1"/>
  <c r="KK40" i="32" l="1"/>
  <c r="KM23" i="32" l="1"/>
  <c r="KM22" i="32"/>
  <c r="KM19" i="32"/>
  <c r="KM16" i="32" s="1"/>
  <c r="KK37" i="32" l="1"/>
  <c r="KM26" i="32"/>
  <c r="KK42" i="32" l="1"/>
  <c r="KM25" i="32" l="1"/>
  <c r="KK16" i="32"/>
  <c r="KK41" i="32" l="1"/>
  <c r="KG10" i="32"/>
  <c r="KK24" i="32" l="1"/>
  <c r="KE35" i="32" l="1"/>
  <c r="KK43" i="32"/>
  <c r="KK13" i="32" l="1"/>
  <c r="KK19" i="32" l="1"/>
  <c r="KO21" i="32" l="1"/>
  <c r="KO4" i="32" s="1"/>
  <c r="KS2" i="32" s="1"/>
  <c r="KK2" i="32"/>
  <c r="KS3" i="32" l="1"/>
  <c r="KS4" i="32"/>
  <c r="KO2" i="32"/>
  <c r="KI8" i="32"/>
  <c r="KN12" i="32" s="1"/>
  <c r="KE30" i="32" l="1"/>
  <c r="KM38" i="32" l="1"/>
  <c r="KM5" i="32" s="1"/>
  <c r="KG31" i="32"/>
  <c r="KI20" i="32"/>
  <c r="KI17" i="32"/>
  <c r="KK36" i="32"/>
  <c r="KK39" i="32"/>
  <c r="KI4" i="32" l="1"/>
  <c r="KG29" i="32"/>
  <c r="KI2" i="32" l="1"/>
  <c r="KM2" i="32"/>
  <c r="KG19" i="32" l="1"/>
  <c r="KE23" i="32"/>
  <c r="KG15" i="32" l="1"/>
  <c r="KE11" i="32" l="1"/>
  <c r="KG16" i="32" l="1"/>
  <c r="KE33" i="32" s="1"/>
  <c r="E8" i="42" l="1"/>
  <c r="KE21" i="32" l="1"/>
  <c r="KE22" i="32" l="1"/>
  <c r="KE34" i="32" l="1"/>
  <c r="P3" i="44" l="1"/>
  <c r="P4" i="44"/>
  <c r="P5" i="44"/>
  <c r="P6" i="44"/>
  <c r="P8" i="44"/>
  <c r="P9" i="44"/>
  <c r="P10" i="44"/>
  <c r="P11" i="44"/>
  <c r="P12" i="44"/>
  <c r="P13" i="44"/>
  <c r="P14" i="44"/>
  <c r="P15" i="44"/>
  <c r="P16" i="44"/>
  <c r="P17" i="44"/>
  <c r="P18" i="44"/>
  <c r="P19" i="44"/>
  <c r="P20" i="44"/>
  <c r="P21" i="44"/>
  <c r="P22" i="44"/>
  <c r="P23" i="44"/>
  <c r="P24" i="44"/>
  <c r="P25" i="44"/>
  <c r="P26" i="44"/>
  <c r="P27" i="44"/>
  <c r="P28" i="44"/>
  <c r="P29" i="44"/>
  <c r="P30" i="44"/>
  <c r="P31" i="44"/>
  <c r="P32" i="44"/>
  <c r="P33" i="44"/>
  <c r="P7" i="44"/>
  <c r="KM4" i="32" l="1"/>
  <c r="KM3" i="32"/>
  <c r="KC5" i="32"/>
  <c r="KC4" i="32"/>
  <c r="KE7" i="32" l="1"/>
  <c r="KE2" i="32" s="1"/>
  <c r="KC2" i="32"/>
  <c r="KG2" i="32" l="1"/>
  <c r="E3" i="42"/>
  <c r="B4" i="42"/>
  <c r="B5" i="42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5" i="42" l="1"/>
  <c r="KA43" i="32" l="1"/>
  <c r="KA27" i="32" l="1"/>
  <c r="KA7" i="32"/>
  <c r="KA9" i="32"/>
  <c r="KA47" i="32" l="1"/>
  <c r="KA29" i="32"/>
  <c r="KA45" i="32"/>
  <c r="KG5" i="32"/>
  <c r="KE29" i="32"/>
  <c r="KE32" i="32" l="1"/>
  <c r="JY41" i="32" l="1"/>
  <c r="JY40" i="32" l="1"/>
  <c r="KA49" i="32"/>
  <c r="JY42" i="32"/>
  <c r="KA28" i="32"/>
  <c r="KA32" i="32"/>
  <c r="JY4" i="32"/>
  <c r="KG3" i="32" l="1"/>
  <c r="KG4" i="32"/>
  <c r="KA16" i="32"/>
  <c r="KA24" i="32" l="1"/>
  <c r="JY44" i="32" s="1"/>
  <c r="KA36" i="32" l="1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5" i="44"/>
  <c r="L4" i="44"/>
  <c r="L3" i="44"/>
  <c r="H3" i="44"/>
  <c r="H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4" i="44"/>
  <c r="H25" i="44"/>
  <c r="H26" i="44"/>
  <c r="H27" i="44"/>
  <c r="H28" i="44"/>
  <c r="H29" i="44"/>
  <c r="H30" i="44"/>
  <c r="H31" i="44"/>
  <c r="H32" i="44"/>
  <c r="H23" i="44"/>
  <c r="L33" i="44"/>
  <c r="H35" i="44" l="1"/>
  <c r="H37" i="44" s="1"/>
  <c r="D35" i="44"/>
  <c r="D37" i="44" s="1"/>
  <c r="L35" i="44"/>
  <c r="L37" i="44" s="1"/>
  <c r="KA59" i="32" l="1"/>
  <c r="C4" i="46" l="1"/>
  <c r="C5" i="46" s="1"/>
  <c r="C6" i="46" s="1"/>
  <c r="C7" i="46" s="1"/>
  <c r="C9" i="46" s="1"/>
  <c r="C10" i="46" s="1"/>
  <c r="B6" i="43"/>
  <c r="G5" i="43"/>
  <c r="G3" i="43"/>
  <c r="E33" i="42"/>
  <c r="E32" i="42"/>
  <c r="E31" i="42"/>
  <c r="E30" i="42"/>
  <c r="E29" i="42"/>
  <c r="E28" i="42"/>
  <c r="E27" i="42"/>
  <c r="E26" i="42"/>
  <c r="E25" i="42"/>
  <c r="E24" i="42"/>
  <c r="E23" i="42"/>
  <c r="E22" i="42"/>
  <c r="E21" i="42"/>
  <c r="E20" i="42"/>
  <c r="E19" i="42"/>
  <c r="E18" i="42"/>
  <c r="E17" i="42"/>
  <c r="E16" i="42"/>
  <c r="E15" i="42"/>
  <c r="E14" i="42"/>
  <c r="E13" i="42"/>
  <c r="E12" i="42"/>
  <c r="E11" i="42"/>
  <c r="E10" i="42"/>
  <c r="E9" i="42"/>
  <c r="E7" i="42"/>
  <c r="E6" i="42"/>
  <c r="E5" i="42"/>
  <c r="E4" i="42"/>
  <c r="DH59" i="32"/>
  <c r="IE59" i="32"/>
  <c r="DH55" i="32"/>
  <c r="IK54" i="32"/>
  <c r="IE54" i="32"/>
  <c r="IC33" i="32" s="1"/>
  <c r="HY54" i="32"/>
  <c r="IQ52" i="32"/>
  <c r="IK52" i="32"/>
  <c r="AP51" i="32"/>
  <c r="GO51" i="32"/>
  <c r="IQ50" i="32"/>
  <c r="AP49" i="32"/>
  <c r="JU49" i="32"/>
  <c r="HY49" i="32"/>
  <c r="JU48" i="32"/>
  <c r="IP48" i="32"/>
  <c r="IJ48" i="32"/>
  <c r="HY47" i="32"/>
  <c r="AP46" i="32"/>
  <c r="GO46" i="32"/>
  <c r="EY45" i="32"/>
  <c r="AV45" i="32"/>
  <c r="II45" i="32"/>
  <c r="ID45" i="32"/>
  <c r="HA44" i="32"/>
  <c r="DP44" i="32"/>
  <c r="DP57" i="32" s="1"/>
  <c r="JU44" i="32"/>
  <c r="EY43" i="32"/>
  <c r="ES43" i="32"/>
  <c r="GO42" i="32"/>
  <c r="GO10" i="32" s="1"/>
  <c r="JU40" i="32"/>
  <c r="JN40" i="32"/>
  <c r="IO40" i="32"/>
  <c r="IQ36" i="32" s="1"/>
  <c r="X39" i="32"/>
  <c r="IO39" i="32"/>
  <c r="IK39" i="32"/>
  <c r="IE39" i="32"/>
  <c r="HA38" i="32"/>
  <c r="FQ38" i="32"/>
  <c r="ES38" i="32"/>
  <c r="CV38" i="32"/>
  <c r="CD38" i="32"/>
  <c r="CD5" i="32" s="1"/>
  <c r="JC38" i="32"/>
  <c r="IO38" i="32"/>
  <c r="DT37" i="32"/>
  <c r="X37" i="32"/>
  <c r="IK37" i="32"/>
  <c r="FK36" i="32"/>
  <c r="DN36" i="32"/>
  <c r="BF36" i="32"/>
  <c r="X36" i="32"/>
  <c r="L36" i="32"/>
  <c r="L10" i="32" s="1"/>
  <c r="JC36" i="32"/>
  <c r="DZ35" i="32"/>
  <c r="DH35" i="32"/>
  <c r="DF35" i="32"/>
  <c r="CP35" i="32"/>
  <c r="JM35" i="32"/>
  <c r="JO31" i="32" s="1"/>
  <c r="JI35" i="32"/>
  <c r="HY35" i="32"/>
  <c r="GU35" i="32"/>
  <c r="DT34" i="32"/>
  <c r="DH34" i="32"/>
  <c r="DF34" i="32"/>
  <c r="CP34" i="32"/>
  <c r="BR34" i="32"/>
  <c r="BR5" i="32" s="1"/>
  <c r="BF34" i="32"/>
  <c r="BF10" i="32" s="1"/>
  <c r="IQ34" i="32"/>
  <c r="HS33" i="32"/>
  <c r="HQ33" i="32"/>
  <c r="GC34" i="32"/>
  <c r="DZ33" i="32"/>
  <c r="DH33" i="32"/>
  <c r="DF33" i="32"/>
  <c r="AP33" i="32"/>
  <c r="AP10" i="32" s="1"/>
  <c r="JI33" i="32"/>
  <c r="IO33" i="32"/>
  <c r="HA32" i="32"/>
  <c r="GI33" i="32"/>
  <c r="FQ32" i="32"/>
  <c r="FQ9" i="32" s="1"/>
  <c r="DH32" i="32"/>
  <c r="IK32" i="32"/>
  <c r="IE32" i="32"/>
  <c r="HG32" i="32"/>
  <c r="GU32" i="32"/>
  <c r="FW31" i="32"/>
  <c r="FU31" i="32"/>
  <c r="FA31" i="32"/>
  <c r="DT31" i="32"/>
  <c r="KA38" i="32"/>
  <c r="JY45" i="32" s="1"/>
  <c r="JU31" i="32"/>
  <c r="JS31" i="32"/>
  <c r="JI31" i="32"/>
  <c r="JA31" i="32"/>
  <c r="IK31" i="32"/>
  <c r="HQ30" i="32"/>
  <c r="FU30" i="32"/>
  <c r="FK30" i="32"/>
  <c r="DN30" i="32"/>
  <c r="DH30" i="32"/>
  <c r="CJ30" i="32"/>
  <c r="CJ10" i="32" s="1"/>
  <c r="JS30" i="32"/>
  <c r="JI30" i="32"/>
  <c r="JG30" i="32"/>
  <c r="JC30" i="32"/>
  <c r="JA35" i="32" s="1"/>
  <c r="II30" i="32"/>
  <c r="HK30" i="32"/>
  <c r="HA29" i="32"/>
  <c r="FU29" i="32"/>
  <c r="EM29" i="32"/>
  <c r="CV29" i="32"/>
  <c r="AP29" i="32"/>
  <c r="AP7" i="32" s="1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FU28" i="32"/>
  <c r="FE28" i="32"/>
  <c r="DN28" i="32"/>
  <c r="DF28" i="32"/>
  <c r="CP28" i="32"/>
  <c r="AD28" i="32"/>
  <c r="JU28" i="32"/>
  <c r="JS28" i="32"/>
  <c r="JI28" i="32"/>
  <c r="JG28" i="32"/>
  <c r="IU28" i="32"/>
  <c r="IK28" i="32"/>
  <c r="IC28" i="32"/>
  <c r="HQ27" i="32"/>
  <c r="HG28" i="32"/>
  <c r="GO28" i="32"/>
  <c r="GI28" i="32"/>
  <c r="FU27" i="32"/>
  <c r="DT27" i="32"/>
  <c r="CV27" i="32"/>
  <c r="AV27" i="32"/>
  <c r="AV7" i="32" s="1"/>
  <c r="AJ27" i="32"/>
  <c r="AJ5" i="32" s="1"/>
  <c r="AD27" i="32"/>
  <c r="L27" i="32"/>
  <c r="JS27" i="32"/>
  <c r="JM27" i="32"/>
  <c r="JI27" i="32"/>
  <c r="IW27" i="32"/>
  <c r="HY27" i="32"/>
  <c r="HM27" i="32"/>
  <c r="HG27" i="32"/>
  <c r="GU27" i="32"/>
  <c r="GO27" i="32"/>
  <c r="GC27" i="32"/>
  <c r="GC9" i="32" s="1"/>
  <c r="FU26" i="32"/>
  <c r="FK26" i="32"/>
  <c r="FK8" i="32" s="1"/>
  <c r="ER26" i="32"/>
  <c r="ES26" i="32" s="1"/>
  <c r="DZ26" i="32"/>
  <c r="DN26" i="32"/>
  <c r="DH26" i="32"/>
  <c r="DH8" i="32" s="1"/>
  <c r="CV26" i="32"/>
  <c r="IW26" i="32"/>
  <c r="IU26" i="32"/>
  <c r="IK26" i="32"/>
  <c r="IE26" i="32"/>
  <c r="IC26" i="32"/>
  <c r="HW26" i="32"/>
  <c r="HA25" i="32"/>
  <c r="FW25" i="32"/>
  <c r="FU25" i="32"/>
  <c r="FQ25" i="32"/>
  <c r="BL25" i="32"/>
  <c r="BL7" i="32" s="1"/>
  <c r="BF25" i="32"/>
  <c r="BF7" i="32" s="1"/>
  <c r="L25" i="32"/>
  <c r="JS25" i="32"/>
  <c r="JC25" i="32"/>
  <c r="IU25" i="32"/>
  <c r="HY25" i="32"/>
  <c r="HG25" i="32"/>
  <c r="HA24" i="32"/>
  <c r="GU25" i="32"/>
  <c r="FE24" i="32"/>
  <c r="FE8" i="32" s="1"/>
  <c r="EF24" i="32"/>
  <c r="JO24" i="32"/>
  <c r="JM33" i="32" s="1"/>
  <c r="JI24" i="32"/>
  <c r="IE24" i="32"/>
  <c r="HY24" i="32"/>
  <c r="HW24" i="32"/>
  <c r="HS23" i="32"/>
  <c r="HK24" i="32"/>
  <c r="HG24" i="32"/>
  <c r="HA23" i="32"/>
  <c r="GU24" i="32"/>
  <c r="GG24" i="32"/>
  <c r="EY23" i="32"/>
  <c r="EY8" i="32" s="1"/>
  <c r="ES23" i="32"/>
  <c r="EM23" i="32"/>
  <c r="DF23" i="32"/>
  <c r="CR23" i="32"/>
  <c r="CR2" i="32" s="1"/>
  <c r="JC23" i="32"/>
  <c r="IU23" i="32"/>
  <c r="IK23" i="32"/>
  <c r="II23" i="32"/>
  <c r="IE23" i="32"/>
  <c r="HU23" i="32"/>
  <c r="HA22" i="32"/>
  <c r="GO23" i="32"/>
  <c r="GG23" i="32"/>
  <c r="FK22" i="32"/>
  <c r="FE22" i="32"/>
  <c r="EY22" i="32"/>
  <c r="EW22" i="32"/>
  <c r="EM22" i="32"/>
  <c r="BZ22" i="32"/>
  <c r="BB22" i="32"/>
  <c r="AV22" i="32"/>
  <c r="AV8" i="32" s="1"/>
  <c r="JU22" i="32"/>
  <c r="JI22" i="32"/>
  <c r="JC22" i="32"/>
  <c r="II22" i="32"/>
  <c r="IC22" i="32"/>
  <c r="HU22" i="32"/>
  <c r="GI22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JS21" i="32"/>
  <c r="JO21" i="32"/>
  <c r="HY21" i="32"/>
  <c r="HU21" i="32"/>
  <c r="GU21" i="32"/>
  <c r="GM21" i="32"/>
  <c r="GA21" i="32"/>
  <c r="FW20" i="32"/>
  <c r="FQ20" i="32"/>
  <c r="EO20" i="32"/>
  <c r="DB20" i="32"/>
  <c r="BZ20" i="32"/>
  <c r="BF20" i="32"/>
  <c r="BF8" i="32" s="1"/>
  <c r="BB20" i="32"/>
  <c r="JY23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GM20" i="32"/>
  <c r="GA20" i="32"/>
  <c r="FE19" i="32"/>
  <c r="ES19" i="32"/>
  <c r="EO19" i="32"/>
  <c r="EM19" i="32"/>
  <c r="AX19" i="32"/>
  <c r="BB19" i="32" s="1"/>
  <c r="AR19" i="32"/>
  <c r="AR2" i="32" s="1"/>
  <c r="JU19" i="32"/>
  <c r="JS19" i="32"/>
  <c r="JO19" i="32"/>
  <c r="IW19" i="32"/>
  <c r="IQ19" i="32"/>
  <c r="IM19" i="32"/>
  <c r="HS18" i="32"/>
  <c r="HA18" i="32"/>
  <c r="HA13" i="32" s="1"/>
  <c r="HA7" i="32" s="1"/>
  <c r="FW18" i="32"/>
  <c r="FK18" i="32"/>
  <c r="FI18" i="32"/>
  <c r="EY18" i="32"/>
  <c r="EM18" i="32"/>
  <c r="CN18" i="32"/>
  <c r="CN2" i="32" s="1"/>
  <c r="BL18" i="32"/>
  <c r="BB18" i="32"/>
  <c r="JU18" i="32"/>
  <c r="JS18" i="32"/>
  <c r="JM18" i="32"/>
  <c r="IM18" i="32"/>
  <c r="IE18" i="32"/>
  <c r="IE17" i="32" s="1"/>
  <c r="IC18" i="32"/>
  <c r="HW18" i="32"/>
  <c r="HS17" i="32"/>
  <c r="HM18" i="32"/>
  <c r="HE18" i="32"/>
  <c r="HA17" i="32"/>
  <c r="FI17" i="32"/>
  <c r="EF17" i="32"/>
  <c r="DZ17" i="32"/>
  <c r="DP17" i="32"/>
  <c r="BB17" i="32"/>
  <c r="JY18" i="32"/>
  <c r="JM17" i="32"/>
  <c r="JK17" i="32"/>
  <c r="JC17" i="32"/>
  <c r="JC16" i="32" s="1"/>
  <c r="JA30" i="32" s="1"/>
  <c r="JA17" i="32"/>
  <c r="IW17" i="32"/>
  <c r="IO17" i="32"/>
  <c r="HM17" i="32"/>
  <c r="FQ16" i="32"/>
  <c r="FQ10" i="32" s="1"/>
  <c r="FI16" i="32"/>
  <c r="DP16" i="32"/>
  <c r="DN16" i="32"/>
  <c r="BB16" i="32"/>
  <c r="JY17" i="32"/>
  <c r="JM16" i="32"/>
  <c r="IS16" i="32"/>
  <c r="IQ16" i="32"/>
  <c r="IK16" i="32"/>
  <c r="IK15" i="32" s="1"/>
  <c r="II44" i="32" s="1"/>
  <c r="II16" i="32"/>
  <c r="IG16" i="32"/>
  <c r="IC16" i="32"/>
  <c r="HY16" i="32"/>
  <c r="HY15" i="32" s="1"/>
  <c r="HW16" i="32"/>
  <c r="HA15" i="32"/>
  <c r="GU16" i="32"/>
  <c r="FI15" i="32"/>
  <c r="FE15" i="32"/>
  <c r="FE9" i="32" s="1"/>
  <c r="ES15" i="32"/>
  <c r="ES9" i="32" s="1"/>
  <c r="EM15" i="32"/>
  <c r="EM8" i="32" s="1"/>
  <c r="DB15" i="32"/>
  <c r="DB6" i="32" s="1"/>
  <c r="BB15" i="32"/>
  <c r="JG15" i="32"/>
  <c r="IW15" i="32"/>
  <c r="IW14" i="32" s="1"/>
  <c r="IS15" i="32"/>
  <c r="IG15" i="32"/>
  <c r="HM15" i="32"/>
  <c r="FW14" i="32"/>
  <c r="EO14" i="32"/>
  <c r="DV14" i="32"/>
  <c r="DV2" i="32" s="1"/>
  <c r="BB14" i="32"/>
  <c r="R14" i="32"/>
  <c r="R7" i="32" s="1"/>
  <c r="F14" i="32"/>
  <c r="F4" i="32" s="1"/>
  <c r="JU14" i="32"/>
  <c r="JS14" i="32"/>
  <c r="JO14" i="32"/>
  <c r="JO13" i="32" s="1"/>
  <c r="JM28" i="32" s="1"/>
  <c r="IO14" i="32"/>
  <c r="HY14" i="32"/>
  <c r="HM14" i="32"/>
  <c r="FS13" i="32"/>
  <c r="EW13" i="32"/>
  <c r="EY27" i="32" s="1"/>
  <c r="EO13" i="32"/>
  <c r="EB13" i="32"/>
  <c r="EB2" i="32" s="1"/>
  <c r="DT13" i="32"/>
  <c r="CV13" i="32"/>
  <c r="CV6" i="32" s="1"/>
  <c r="BB13" i="32"/>
  <c r="AP13" i="32"/>
  <c r="AP6" i="32" s="1"/>
  <c r="KA17" i="32"/>
  <c r="JY11" i="32"/>
  <c r="JC13" i="32"/>
  <c r="IQ13" i="32"/>
  <c r="IQ12" i="32" s="1"/>
  <c r="IO34" i="32" s="1"/>
  <c r="IK13" i="32"/>
  <c r="II46" i="32" s="1"/>
  <c r="II13" i="32"/>
  <c r="HS12" i="32"/>
  <c r="HS11" i="32" s="1"/>
  <c r="HQ28" i="32" s="1"/>
  <c r="GU13" i="32"/>
  <c r="GU7" i="32" s="1"/>
  <c r="FG12" i="32"/>
  <c r="FA12" i="32"/>
  <c r="EF12" i="32"/>
  <c r="EF6" i="32" s="1"/>
  <c r="DN12" i="32"/>
  <c r="BB12" i="32"/>
  <c r="AV12" i="32"/>
  <c r="AV6" i="32" s="1"/>
  <c r="R12" i="32"/>
  <c r="JI12" i="32"/>
  <c r="JG29" i="32" s="1"/>
  <c r="JG12" i="32"/>
  <c r="II12" i="32"/>
  <c r="HY12" i="32"/>
  <c r="HG12" i="32"/>
  <c r="HA11" i="32"/>
  <c r="GO12" i="32"/>
  <c r="GM12" i="32"/>
  <c r="GI12" i="32"/>
  <c r="GC12" i="32"/>
  <c r="FW11" i="32"/>
  <c r="FQ11" i="32"/>
  <c r="BZ11" i="32"/>
  <c r="BB11" i="32"/>
  <c r="F11" i="32"/>
  <c r="KA14" i="32"/>
  <c r="JI11" i="32"/>
  <c r="JG31" i="32" s="1"/>
  <c r="JC11" i="32"/>
  <c r="IQ11" i="32"/>
  <c r="IO36" i="32" s="1"/>
  <c r="HY11" i="32"/>
  <c r="HG11" i="32"/>
  <c r="GO11" i="32"/>
  <c r="GI11" i="32"/>
  <c r="GC11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JO10" i="32"/>
  <c r="IE10" i="32"/>
  <c r="HM10" i="32"/>
  <c r="HM9" i="32" s="1"/>
  <c r="GY9" i="32"/>
  <c r="GY2" i="32" s="1"/>
  <c r="GI10" i="32"/>
  <c r="GC10" i="32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JK9" i="32"/>
  <c r="JE9" i="32"/>
  <c r="JA9" i="32"/>
  <c r="IY9" i="32"/>
  <c r="IO9" i="32"/>
  <c r="IK9" i="32"/>
  <c r="II42" i="32" s="1"/>
  <c r="HK9" i="32"/>
  <c r="HE9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IU8" i="32"/>
  <c r="GO8" i="32"/>
  <c r="GI8" i="32"/>
  <c r="GC8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JQ8" i="32"/>
  <c r="HG7" i="32"/>
  <c r="HA6" i="32"/>
  <c r="GO7" i="32"/>
  <c r="GI7" i="32"/>
  <c r="GG7" i="32"/>
  <c r="GC7" i="32"/>
  <c r="GA7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JE6" i="32"/>
  <c r="JA6" i="32"/>
  <c r="HU6" i="32"/>
  <c r="HK6" i="32"/>
  <c r="GG6" i="32"/>
  <c r="GA6" i="32"/>
  <c r="BX5" i="32"/>
  <c r="BB5" i="32"/>
  <c r="JK5" i="32"/>
  <c r="JE5" i="32"/>
  <c r="IY5" i="32"/>
  <c r="IU5" i="32"/>
  <c r="HU5" i="32"/>
  <c r="BB4" i="32"/>
  <c r="JQ4" i="32"/>
  <c r="JW4" i="32" s="1"/>
  <c r="JW3" i="32"/>
  <c r="JQ3" i="32"/>
  <c r="IS3" i="32"/>
  <c r="IM3" i="32"/>
  <c r="IG3" i="32"/>
  <c r="IA3" i="32"/>
  <c r="IA2" i="32" s="1"/>
  <c r="HQ2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M2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P40" i="34"/>
  <c r="G34" i="34"/>
  <c r="J33" i="34"/>
  <c r="G31" i="34"/>
  <c r="J27" i="34"/>
  <c r="G26" i="34"/>
  <c r="G24" i="34"/>
  <c r="M23" i="34"/>
  <c r="J23" i="34"/>
  <c r="G23" i="34"/>
  <c r="M22" i="34"/>
  <c r="J22" i="34"/>
  <c r="G22" i="34"/>
  <c r="J21" i="34"/>
  <c r="G21" i="34"/>
  <c r="O20" i="34"/>
  <c r="O40" i="34" s="1"/>
  <c r="J20" i="34"/>
  <c r="G20" i="34"/>
  <c r="K19" i="34"/>
  <c r="H19" i="34"/>
  <c r="K18" i="34"/>
  <c r="H18" i="34"/>
  <c r="K17" i="34"/>
  <c r="K15" i="34"/>
  <c r="K14" i="34"/>
  <c r="K12" i="34"/>
  <c r="H10" i="34"/>
  <c r="N5" i="34"/>
  <c r="N40" i="34" s="1"/>
  <c r="H5" i="34"/>
  <c r="K4" i="34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B21" i="43" l="1"/>
  <c r="G21" i="43" s="1"/>
  <c r="B22" i="43"/>
  <c r="G22" i="43" s="1"/>
  <c r="AI8" i="28"/>
  <c r="D35" i="42"/>
  <c r="K33" i="42" s="1"/>
  <c r="JY46" i="32"/>
  <c r="KA5" i="32"/>
  <c r="JY43" i="32"/>
  <c r="JY2" i="32"/>
  <c r="F6" i="32"/>
  <c r="Z1" i="19"/>
  <c r="AX1" i="19"/>
  <c r="W3" i="21"/>
  <c r="Y3" i="21" s="1"/>
  <c r="AM3" i="21"/>
  <c r="CQ2" i="28"/>
  <c r="CQ3" i="28" s="1"/>
  <c r="CQ4" i="28" s="1"/>
  <c r="I3" i="21"/>
  <c r="G3" i="21" s="1"/>
  <c r="O44" i="34"/>
  <c r="AC8" i="28"/>
  <c r="AE10" i="21"/>
  <c r="BG1" i="19"/>
  <c r="O3" i="21"/>
  <c r="AG3" i="21"/>
  <c r="M4" i="21"/>
  <c r="M7" i="21" s="1"/>
  <c r="S9" i="21"/>
  <c r="E19" i="31"/>
  <c r="BA2" i="28"/>
  <c r="BA3" i="28" s="1"/>
  <c r="BA4" i="28" s="1"/>
  <c r="BA5" i="28" s="1"/>
  <c r="BM2" i="28"/>
  <c r="BM3" i="28" s="1"/>
  <c r="BM4" i="28" s="1"/>
  <c r="BM5" i="28" s="1"/>
  <c r="BS2" i="28"/>
  <c r="BS3" i="28" s="1"/>
  <c r="BS4" i="28" s="1"/>
  <c r="BS5" i="28" s="1"/>
  <c r="CK2" i="28"/>
  <c r="CK3" i="28" s="1"/>
  <c r="CK4" i="28" s="1"/>
  <c r="EK2" i="28"/>
  <c r="EG2" i="28"/>
  <c r="EG3" i="28" s="1"/>
  <c r="EG4" i="28" s="1"/>
  <c r="CU2" i="28"/>
  <c r="CW2" i="28" s="1"/>
  <c r="CW3" i="28" s="1"/>
  <c r="CW4" i="28" s="1"/>
  <c r="B19" i="43"/>
  <c r="G19" i="43" s="1"/>
  <c r="B20" i="43"/>
  <c r="G20" i="43" s="1"/>
  <c r="AI2" i="28"/>
  <c r="AI3" i="28" s="1"/>
  <c r="HW3" i="32"/>
  <c r="GI9" i="32"/>
  <c r="BL5" i="32"/>
  <c r="EW2" i="32"/>
  <c r="HG10" i="32"/>
  <c r="HW28" i="32"/>
  <c r="HW30" i="32"/>
  <c r="IG2" i="32"/>
  <c r="AD5" i="32"/>
  <c r="B10" i="43"/>
  <c r="G10" i="43" s="1"/>
  <c r="B12" i="43"/>
  <c r="G12" i="43" s="1"/>
  <c r="B17" i="43"/>
  <c r="G17" i="43" s="1"/>
  <c r="BA1" i="19"/>
  <c r="K3" i="21"/>
  <c r="EQ2" i="28"/>
  <c r="BY2" i="28"/>
  <c r="BY3" i="28" s="1"/>
  <c r="EA2" i="28"/>
  <c r="EA3" i="28" s="1"/>
  <c r="EA4" i="28" s="1"/>
  <c r="B18" i="43"/>
  <c r="G18" i="43" s="1"/>
  <c r="E1" i="19"/>
  <c r="AK5" i="21"/>
  <c r="AK7" i="21" s="1"/>
  <c r="M40" i="34"/>
  <c r="M44" i="34" s="1"/>
  <c r="Q1" i="19"/>
  <c r="AO1" i="19"/>
  <c r="AS3" i="21"/>
  <c r="AO8" i="28"/>
  <c r="BY8" i="28"/>
  <c r="AC1" i="19"/>
  <c r="W1" i="19"/>
  <c r="J40" i="34"/>
  <c r="EO2" i="28"/>
  <c r="HG9" i="32"/>
  <c r="CJ5" i="32"/>
  <c r="BZ2" i="32"/>
  <c r="BX2" i="32" s="1"/>
  <c r="BM1" i="19"/>
  <c r="F15" i="24"/>
  <c r="K1" i="19"/>
  <c r="AI1" i="19"/>
  <c r="Q2" i="28"/>
  <c r="Q3" i="28" s="1"/>
  <c r="Q4" i="28" s="1"/>
  <c r="GM3" i="32"/>
  <c r="GO3" i="32" s="1"/>
  <c r="DI2" i="28"/>
  <c r="DI3" i="28" s="1"/>
  <c r="DI4" i="28" s="1"/>
  <c r="DQ2" i="28"/>
  <c r="DO2" i="28" s="1"/>
  <c r="DO3" i="28" s="1"/>
  <c r="DO4" i="28" s="1"/>
  <c r="W8" i="28"/>
  <c r="N1" i="19"/>
  <c r="AL1" i="19"/>
  <c r="BJ1" i="19"/>
  <c r="H40" i="34"/>
  <c r="G40" i="34"/>
  <c r="ES8" i="28"/>
  <c r="EY8" i="28"/>
  <c r="B13" i="43"/>
  <c r="G13" i="43" s="1"/>
  <c r="G6" i="43"/>
  <c r="AC3" i="21"/>
  <c r="T1" i="19"/>
  <c r="AR1" i="19"/>
  <c r="BP1" i="19"/>
  <c r="AU1" i="19"/>
  <c r="BS1" i="19"/>
  <c r="Y9" i="21"/>
  <c r="BC3" i="21"/>
  <c r="S6" i="21"/>
  <c r="K5" i="34"/>
  <c r="K40" i="34" s="1"/>
  <c r="E26" i="26"/>
  <c r="E25" i="26" s="1"/>
  <c r="E2" i="28"/>
  <c r="E3" i="28" s="1"/>
  <c r="E4" i="28" s="1"/>
  <c r="AC2" i="28"/>
  <c r="AC3" i="28" s="1"/>
  <c r="BG2" i="28"/>
  <c r="BG3" i="28" s="1"/>
  <c r="BG4" i="28" s="1"/>
  <c r="BG5" i="28" s="1"/>
  <c r="FY2" i="32"/>
  <c r="GE2" i="32" s="1"/>
  <c r="DT10" i="32"/>
  <c r="J31" i="42"/>
  <c r="J33" i="42" s="1"/>
  <c r="B7" i="43"/>
  <c r="G7" i="43" s="1"/>
  <c r="B14" i="43"/>
  <c r="G14" i="43" s="1"/>
  <c r="FF2" i="28"/>
  <c r="AE5" i="21"/>
  <c r="JS29" i="32"/>
  <c r="B9" i="43"/>
  <c r="G9" i="43" s="1"/>
  <c r="Q3" i="21"/>
  <c r="AQ5" i="21"/>
  <c r="AQ7" i="21" s="1"/>
  <c r="K2" i="28"/>
  <c r="K3" i="28" s="1"/>
  <c r="K4" i="28" s="1"/>
  <c r="FC15" i="28"/>
  <c r="EY2" i="28"/>
  <c r="EY3" i="28" s="1"/>
  <c r="JU13" i="32"/>
  <c r="JS26" i="32" s="1"/>
  <c r="CE2" i="28"/>
  <c r="CE3" i="28" s="1"/>
  <c r="CE4" i="28" s="1"/>
  <c r="CE5" i="28" s="1"/>
  <c r="DC2" i="28"/>
  <c r="DC3" i="28" s="1"/>
  <c r="DC4" i="28" s="1"/>
  <c r="AO2" i="28"/>
  <c r="AO3" i="28" s="1"/>
  <c r="FD25" i="28"/>
  <c r="FC24" i="28" s="1"/>
  <c r="B16" i="43"/>
  <c r="G16" i="43" s="1"/>
  <c r="DB2" i="32"/>
  <c r="DB3" i="32" s="1"/>
  <c r="IS2" i="32"/>
  <c r="JM2" i="32"/>
  <c r="DF2" i="32"/>
  <c r="DH2" i="32" s="1"/>
  <c r="HK3" i="32"/>
  <c r="HM2" i="32" s="1"/>
  <c r="IO2" i="32"/>
  <c r="X11" i="32"/>
  <c r="AP5" i="32"/>
  <c r="DN6" i="32"/>
  <c r="GO6" i="32"/>
  <c r="FA2" i="32"/>
  <c r="II47" i="32"/>
  <c r="FG2" i="32"/>
  <c r="L4" i="32"/>
  <c r="DH5" i="32"/>
  <c r="FQ8" i="32"/>
  <c r="CV10" i="32"/>
  <c r="IC2" i="32"/>
  <c r="FS2" i="32"/>
  <c r="FQ2" i="32" s="1"/>
  <c r="FQ3" i="32" s="1"/>
  <c r="IU2" i="32"/>
  <c r="Y7" i="21"/>
  <c r="BD1" i="19"/>
  <c r="AF1" i="19"/>
  <c r="H1" i="19"/>
  <c r="S5" i="21"/>
  <c r="Y6" i="21"/>
  <c r="FC16" i="28"/>
  <c r="JW2" i="32"/>
  <c r="BL8" i="32"/>
  <c r="W2" i="28"/>
  <c r="W3" i="28" s="1"/>
  <c r="AX2" i="32"/>
  <c r="AV2" i="32" s="1"/>
  <c r="B11" i="43"/>
  <c r="G11" i="43" s="1"/>
  <c r="B15" i="43"/>
  <c r="G15" i="43" s="1"/>
  <c r="R5" i="32"/>
  <c r="JA2" i="32"/>
  <c r="JG2" i="32"/>
  <c r="GC6" i="32"/>
  <c r="EF5" i="32"/>
  <c r="X5" i="32"/>
  <c r="S11" i="21"/>
  <c r="S12" i="21" s="1"/>
  <c r="AS2" i="28"/>
  <c r="AU2" i="28" s="1"/>
  <c r="AU3" i="28" s="1"/>
  <c r="AU4" i="28" s="1"/>
  <c r="AU5" i="28" s="1"/>
  <c r="FE5" i="32"/>
  <c r="HA9" i="32"/>
  <c r="HW25" i="32"/>
  <c r="F2" i="32"/>
  <c r="F3" i="32" s="1"/>
  <c r="GU3" i="32"/>
  <c r="II49" i="32"/>
  <c r="P35" i="44"/>
  <c r="P37" i="44" s="1"/>
  <c r="IY2" i="32"/>
  <c r="JQ2" i="32"/>
  <c r="X2" i="32"/>
  <c r="X3" i="32" s="1"/>
  <c r="BB2" i="32"/>
  <c r="BF2" i="32" s="1"/>
  <c r="BF3" i="32" s="1"/>
  <c r="JE2" i="32"/>
  <c r="GA3" i="32"/>
  <c r="GC3" i="32" s="1"/>
  <c r="GC4" i="32" s="1"/>
  <c r="IC27" i="32"/>
  <c r="II2" i="32"/>
  <c r="HQ31" i="32"/>
  <c r="HK28" i="32"/>
  <c r="HA10" i="32"/>
  <c r="DP2" i="32"/>
  <c r="DT2" i="32" s="1"/>
  <c r="FE7" i="32"/>
  <c r="JM31" i="32"/>
  <c r="BF5" i="32"/>
  <c r="GU9" i="32"/>
  <c r="EF9" i="32"/>
  <c r="EM9" i="32"/>
  <c r="GO9" i="32"/>
  <c r="ES7" i="32"/>
  <c r="IC30" i="32"/>
  <c r="FW8" i="32"/>
  <c r="JA34" i="32"/>
  <c r="IE6" i="32"/>
  <c r="FI2" i="32"/>
  <c r="HE3" i="32"/>
  <c r="HG2" i="32" s="1"/>
  <c r="IM2" i="32"/>
  <c r="JS2" i="32"/>
  <c r="CP2" i="32"/>
  <c r="CP3" i="32" s="1"/>
  <c r="EO2" i="32"/>
  <c r="EM2" i="32" s="1"/>
  <c r="EM3" i="32" s="1"/>
  <c r="IQ5" i="32"/>
  <c r="HU3" i="32"/>
  <c r="HU2" i="32" s="1"/>
  <c r="JI5" i="32"/>
  <c r="GG3" i="32"/>
  <c r="GI3" i="32" s="1"/>
  <c r="GI4" i="32" s="1"/>
  <c r="CV5" i="32"/>
  <c r="R2" i="32"/>
  <c r="R3" i="32" s="1"/>
  <c r="AD2" i="32"/>
  <c r="AP2" i="32"/>
  <c r="AP3" i="32" s="1"/>
  <c r="BR2" i="32"/>
  <c r="BR4" i="32" s="1"/>
  <c r="DZ2" i="32"/>
  <c r="DZ3" i="32" s="1"/>
  <c r="IK6" i="32"/>
  <c r="HA8" i="32"/>
  <c r="JK2" i="32"/>
  <c r="FU2" i="32"/>
  <c r="DT11" i="32"/>
  <c r="GU10" i="32"/>
  <c r="JM32" i="32"/>
  <c r="DH9" i="32"/>
  <c r="GI6" i="32"/>
  <c r="L2" i="32"/>
  <c r="AJ2" i="32"/>
  <c r="BL2" i="32"/>
  <c r="CJ2" i="32"/>
  <c r="CV2" i="32"/>
  <c r="EF2" i="32"/>
  <c r="HA2" i="32"/>
  <c r="HK25" i="32"/>
  <c r="HM6" i="32"/>
  <c r="DZ9" i="32"/>
  <c r="DZ5" i="32"/>
  <c r="EY5" i="32"/>
  <c r="FK7" i="32"/>
  <c r="FK5" i="32"/>
  <c r="DB9" i="32"/>
  <c r="DB5" i="32"/>
  <c r="DN9" i="32"/>
  <c r="DN5" i="32"/>
  <c r="CP10" i="32"/>
  <c r="CP5" i="32"/>
  <c r="JA33" i="32"/>
  <c r="ES5" i="32"/>
  <c r="FQ5" i="32"/>
  <c r="HA5" i="32"/>
  <c r="HS5" i="32"/>
  <c r="EY7" i="32"/>
  <c r="JO5" i="32"/>
  <c r="HY7" i="32"/>
  <c r="JC6" i="32"/>
  <c r="IO37" i="32"/>
  <c r="DT7" i="32"/>
  <c r="DT6" i="32"/>
  <c r="FW7" i="32"/>
  <c r="FW5" i="32"/>
  <c r="IU24" i="32"/>
  <c r="IW6" i="32"/>
  <c r="EM5" i="32"/>
  <c r="GQ38" i="32"/>
  <c r="GQ2" i="32" s="1"/>
  <c r="GU8" i="32"/>
  <c r="GU6" i="32"/>
  <c r="HG8" i="32"/>
  <c r="HG6" i="32"/>
  <c r="HW27" i="32"/>
  <c r="JG32" i="32"/>
  <c r="II48" i="32"/>
  <c r="IU27" i="32"/>
  <c r="JG34" i="32"/>
  <c r="JG33" i="32"/>
  <c r="AV5" i="32"/>
  <c r="HW29" i="32"/>
  <c r="JM30" i="32"/>
  <c r="IC32" i="32"/>
  <c r="IC31" i="32"/>
  <c r="JA32" i="32"/>
  <c r="AI4" i="28" l="1"/>
  <c r="G43" i="34"/>
  <c r="AE3" i="21"/>
  <c r="AE4" i="21" s="1"/>
  <c r="AQ3" i="21"/>
  <c r="AQ4" i="21" s="1"/>
  <c r="EY4" i="28"/>
  <c r="H31" i="42"/>
  <c r="H33" i="42" s="1"/>
  <c r="EM2" i="28"/>
  <c r="EM3" i="28" s="1"/>
  <c r="EM4" i="28" s="1"/>
  <c r="AE7" i="21"/>
  <c r="AK3" i="21"/>
  <c r="AK4" i="21" s="1"/>
  <c r="I31" i="42"/>
  <c r="I33" i="42" s="1"/>
  <c r="S7" i="21"/>
  <c r="AC4" i="28"/>
  <c r="M3" i="21"/>
  <c r="S3" i="21"/>
  <c r="S4" i="21" s="1"/>
  <c r="BY4" i="28"/>
  <c r="BY5" i="28" s="1"/>
  <c r="ES2" i="28"/>
  <c r="ES3" i="28" s="1"/>
  <c r="ES4" i="28" s="1"/>
  <c r="EY2" i="32"/>
  <c r="EY3" i="32" s="1"/>
  <c r="IE2" i="32"/>
  <c r="IE3" i="32" s="1"/>
  <c r="IE4" i="32" s="1"/>
  <c r="AD4" i="32"/>
  <c r="FW2" i="32"/>
  <c r="FW3" i="32" s="1"/>
  <c r="CD2" i="32"/>
  <c r="CD4" i="32" s="1"/>
  <c r="BX3" i="32"/>
  <c r="BX4" i="32"/>
  <c r="W4" i="28"/>
  <c r="DU2" i="28"/>
  <c r="DU3" i="28" s="1"/>
  <c r="DU4" i="28" s="1"/>
  <c r="FD31" i="28"/>
  <c r="AO4" i="28"/>
  <c r="J44" i="34"/>
  <c r="GO5" i="32"/>
  <c r="GC5" i="32"/>
  <c r="DB4" i="32"/>
  <c r="DH4" i="32"/>
  <c r="FK2" i="32"/>
  <c r="FK3" i="32" s="1"/>
  <c r="KA2" i="32"/>
  <c r="KA3" i="32" s="1"/>
  <c r="JU5" i="32"/>
  <c r="G44" i="34"/>
  <c r="Y4" i="21"/>
  <c r="GU4" i="32"/>
  <c r="JO2" i="32"/>
  <c r="JO4" i="32" s="1"/>
  <c r="IQ2" i="32"/>
  <c r="IQ4" i="32" s="1"/>
  <c r="GU5" i="32"/>
  <c r="DH3" i="32"/>
  <c r="L3" i="32"/>
  <c r="IW2" i="32"/>
  <c r="IW5" i="32" s="1"/>
  <c r="FE2" i="32"/>
  <c r="ES2" i="32"/>
  <c r="ES4" i="32" s="1"/>
  <c r="HY2" i="32"/>
  <c r="HY6" i="32" s="1"/>
  <c r="HS2" i="32"/>
  <c r="HS3" i="32" s="1"/>
  <c r="AZ2" i="32"/>
  <c r="BR3" i="32"/>
  <c r="BF4" i="32"/>
  <c r="AD3" i="32"/>
  <c r="CP4" i="32"/>
  <c r="FC20" i="28"/>
  <c r="JU2" i="32"/>
  <c r="EM4" i="32"/>
  <c r="X4" i="32"/>
  <c r="GO4" i="32"/>
  <c r="DZ4" i="32"/>
  <c r="AP4" i="32"/>
  <c r="R4" i="32"/>
  <c r="DN2" i="32"/>
  <c r="DN3" i="32" s="1"/>
  <c r="DT3" i="32"/>
  <c r="DT4" i="32" s="1"/>
  <c r="DT5" i="32"/>
  <c r="FQ4" i="32"/>
  <c r="GI5" i="32"/>
  <c r="JI2" i="32"/>
  <c r="JI3" i="32" s="1"/>
  <c r="JC2" i="32"/>
  <c r="JC3" i="32" s="1"/>
  <c r="JC4" i="32" s="1"/>
  <c r="IK2" i="32"/>
  <c r="HA4" i="32"/>
  <c r="HA3" i="32"/>
  <c r="CV4" i="32"/>
  <c r="CV3" i="32"/>
  <c r="BL4" i="32"/>
  <c r="BL3" i="32"/>
  <c r="AJ4" i="32"/>
  <c r="AJ3" i="32"/>
  <c r="HM5" i="32"/>
  <c r="HM3" i="32"/>
  <c r="HM4" i="32" s="1"/>
  <c r="EF4" i="32"/>
  <c r="EF3" i="32"/>
  <c r="CJ4" i="32"/>
  <c r="CJ3" i="32"/>
  <c r="AV4" i="32"/>
  <c r="AV3" i="32"/>
  <c r="HG5" i="32"/>
  <c r="HG3" i="32"/>
  <c r="HG4" i="32" s="1"/>
  <c r="EY4" i="32" l="1"/>
  <c r="FC22" i="28"/>
  <c r="FC28" i="28" s="1"/>
  <c r="FC5" i="28" s="1"/>
  <c r="FC6" i="28" s="1"/>
  <c r="IE5" i="32"/>
  <c r="FW4" i="32"/>
  <c r="CD3" i="32"/>
  <c r="IW3" i="32"/>
  <c r="IW4" i="32" s="1"/>
  <c r="IQ3" i="32"/>
  <c r="KA4" i="32"/>
  <c r="HY4" i="32"/>
  <c r="HY5" i="32" s="1"/>
  <c r="FK4" i="32"/>
  <c r="JO3" i="32"/>
  <c r="ES3" i="32"/>
  <c r="JI4" i="32"/>
  <c r="HS4" i="32"/>
  <c r="FE3" i="32"/>
  <c r="FE4" i="32"/>
  <c r="JU3" i="32"/>
  <c r="JU4" i="32"/>
  <c r="FC18" i="28"/>
  <c r="DN4" i="32"/>
  <c r="JC5" i="32"/>
  <c r="IK3" i="32"/>
  <c r="IK4" i="32" s="1"/>
  <c r="IK5" i="32"/>
  <c r="FC21" i="28" l="1"/>
  <c r="FD32" i="28"/>
  <c r="FC7" i="28" s="1"/>
  <c r="FC8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L1" authorId="0" shapeId="0" xr:uid="{00000000-0006-0000-0700-00001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R1" authorId="0" shapeId="0" xr:uid="{00000000-0006-0000-0700-00001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X1" authorId="0" shapeId="0" xr:uid="{C6529B8A-AF41-4138-BA1E-53F8AC204E36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LD1" authorId="0" shapeId="0" xr:uid="{640BFB2C-736D-4837-8447-B99233AC4A93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LJ1" authorId="0" shapeId="0" xr:uid="{8F9B0B66-1718-49E8-9A78-2A7A9CACB059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LP1" authorId="0" shapeId="0" xr:uid="{C0EAF218-124B-4501-B4B2-99E45D3C677C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8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9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A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B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9" authorId="2" shapeId="0" xr:uid="{00000000-0006-0000-0700-00001C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700-00001F000000}">
      <text>
        <r>
          <rPr>
            <sz val="9"/>
            <color indexed="81"/>
            <rFont val="Tahoma"/>
            <family val="2"/>
          </rPr>
          <t>bao4xiao1</t>
        </r>
      </text>
    </comment>
    <comment ref="KV11" authorId="0" shapeId="0" xr:uid="{FFC1761B-CB8A-4840-A1CE-5B9A8E86D567}">
      <text>
        <r>
          <rPr>
            <sz val="9"/>
            <color indexed="81"/>
            <rFont val="Tahoma"/>
            <family val="2"/>
          </rPr>
          <t>$488 so far</t>
        </r>
      </text>
    </comment>
    <comment ref="HA13" authorId="0" shapeId="0" xr:uid="{00000000-0006-0000-0700-000020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700-000021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KL19" authorId="0" shapeId="0" xr:uid="{00000000-0006-0000-0700-000022000000}">
      <text>
        <r>
          <rPr>
            <sz val="9"/>
            <color indexed="81"/>
            <rFont val="Tahoma"/>
            <family val="2"/>
          </rPr>
          <t>est is better than precise record. Lighter sys2 load</t>
        </r>
      </text>
    </comment>
    <comment ref="JZ24" authorId="3" shapeId="0" xr:uid="{00000000-0006-0000-0700-000024000000}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KD30" authorId="1" shapeId="0" xr:uid="{00000000-0006-0000-0700-000025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KJ37" authorId="1" shapeId="0" xr:uid="{00000000-0006-0000-0700-000026000000}">
      <text>
        <r>
          <rPr>
            <sz val="9"/>
            <color indexed="81"/>
            <rFont val="Tahoma"/>
            <family val="2"/>
          </rPr>
          <t>tanbinvest.dreamhosters.com/17190/annual-burn-rate-sensible-exclusions/</t>
        </r>
      </text>
    </comment>
    <comment ref="JX41" authorId="1" shapeId="0" xr:uid="{00000000-0006-0000-0700-000027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IP52" authorId="1" shapeId="0" xr:uid="{00000000-0006-0000-0700-000028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</authors>
  <commentList>
    <comment ref="D21" authorId="0" shapeId="0" xr:uid="{BE63A71B-F3F6-4997-9103-34E833C2414A}">
      <text>
        <r>
          <rPr>
            <sz val="9"/>
            <color indexed="81"/>
            <rFont val="Tahoma"/>
            <family val="2"/>
          </rPr>
          <t>temp increase</t>
        </r>
      </text>
    </comment>
  </commentList>
</comments>
</file>

<file path=xl/sharedStrings.xml><?xml version="1.0" encoding="utf-8"?>
<sst xmlns="http://schemas.openxmlformats.org/spreadsheetml/2006/main" count="8010" uniqueCount="3277">
  <si>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</si>
  <si>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</si>
  <si>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</si>
  <si>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</si>
  <si>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</si>
  <si>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</si>
  <si>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</si>
  <si>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</si>
  <si>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</si>
  <si>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</si>
  <si>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</si>
  <si>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</si>
  <si>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</si>
  <si>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</si>
  <si>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</si>
  <si>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</si>
  <si>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</si>
  <si>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</si>
  <si>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</si>
  <si>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</si>
  <si>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</si>
  <si>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</si>
  <si>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</si>
  <si>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</si>
  <si>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</si>
  <si>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</si>
  <si>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</si>
  <si>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</si>
  <si>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</si>
  <si>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</si>
  <si>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</si>
  <si>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</si>
  <si>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</si>
  <si>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</si>
  <si>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</si>
  <si>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</si>
  <si>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</si>
  <si>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</si>
  <si>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</si>
  <si>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</si>
  <si>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</si>
  <si>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</si>
  <si>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</si>
  <si>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</si>
  <si>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</si>
  <si>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</si>
  <si>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</si>
  <si>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</si>
  <si>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</si>
  <si>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</si>
  <si>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</si>
  <si>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</si>
  <si>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</si>
  <si>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</si>
  <si>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</si>
  <si>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</si>
  <si>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</si>
  <si>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</si>
  <si>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</si>
  <si>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</si>
  <si>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</si>
  <si>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</si>
  <si>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</si>
  <si>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</si>
  <si>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</si>
  <si>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</si>
  <si>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</si>
  <si>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</si>
  <si>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</si>
  <si>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</si>
  <si>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</si>
  <si>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</si>
  <si>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</si>
  <si>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</si>
  <si>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</si>
  <si>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</si>
  <si>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</si>
  <si>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</si>
  <si>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</si>
  <si>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</si>
  <si>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</si>
  <si>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</si>
  <si>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</si>
  <si>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</si>
  <si>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</si>
  <si>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</si>
  <si>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</si>
  <si>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</si>
  <si>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</si>
  <si>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</si>
  <si>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</si>
  <si>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</si>
  <si>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</si>
  <si>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</si>
  <si>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</si>
  <si>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</si>
  <si>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</si>
  <si>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</si>
  <si>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</si>
  <si>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</si>
  <si>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</si>
  <si>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</si>
  <si>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</si>
  <si>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</si>
  <si>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</si>
  <si>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</si>
  <si>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</si>
  <si>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</si>
  <si>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</si>
  <si>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</si>
  <si>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</si>
  <si>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</si>
  <si>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</si>
  <si>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</si>
  <si>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</si>
  <si>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</si>
  <si>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</si>
  <si>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</si>
  <si>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</si>
  <si>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</si>
  <si>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</si>
  <si>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</si>
  <si>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</si>
  <si>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</si>
  <si>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</si>
  <si>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</si>
  <si>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</si>
  <si>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</si>
  <si>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</si>
  <si>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</si>
  <si>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</si>
  <si>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</si>
  <si>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</si>
  <si>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</si>
  <si>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</si>
  <si>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</si>
  <si>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</si>
  <si>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</si>
  <si>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</si>
  <si>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</si>
  <si>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</si>
  <si>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</si>
  <si>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</si>
  <si>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</si>
  <si>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</si>
  <si>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</si>
  <si>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</si>
  <si>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</si>
  <si>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</si>
  <si>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</si>
  <si>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</si>
  <si>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</si>
  <si>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</si>
  <si>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</si>
  <si>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</si>
  <si>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</si>
  <si>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</si>
  <si>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</si>
  <si>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</si>
  <si>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</si>
  <si>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</si>
  <si>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</si>
  <si>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</si>
  <si>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</si>
  <si>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</si>
  <si>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</si>
  <si>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</si>
  <si>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</si>
  <si>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</si>
  <si>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</si>
  <si>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</si>
  <si>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</si>
  <si>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</si>
  <si>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</si>
  <si>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</si>
  <si>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</si>
  <si>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</si>
  <si>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</si>
  <si>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</si>
  <si>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</si>
  <si>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</si>
  <si>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</si>
  <si>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</si>
  <si>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</si>
  <si>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</si>
  <si>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</si>
  <si>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</si>
  <si>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</si>
  <si>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</si>
  <si>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</si>
  <si>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</si>
  <si>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</si>
  <si>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</si>
  <si>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</si>
  <si>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</si>
  <si>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</si>
  <si>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</si>
  <si>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</si>
  <si>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</si>
  <si>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</si>
  <si>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</si>
  <si>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</si>
  <si>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</si>
  <si>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</si>
  <si>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</si>
  <si>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</si>
  <si>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</si>
  <si>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</si>
  <si>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</si>
  <si>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</si>
  <si>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</si>
  <si>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</si>
  <si>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</si>
  <si>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</si>
  <si>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</si>
  <si>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</si>
  <si>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</si>
  <si>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</si>
  <si>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</si>
  <si>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</si>
  <si>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</si>
  <si>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</si>
  <si>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</si>
  <si>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</si>
  <si>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</si>
  <si>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</si>
  <si>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</si>
  <si>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</si>
  <si>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</si>
  <si>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</si>
  <si>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</si>
  <si>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</si>
  <si>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</si>
  <si>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</si>
  <si>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</si>
  <si>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</si>
  <si>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</si>
  <si>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</si>
  <si>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</si>
  <si>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</si>
  <si>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</si>
  <si>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</si>
  <si>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</si>
  <si>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</si>
  <si>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</si>
  <si>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</si>
  <si>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</si>
  <si>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</si>
  <si>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</si>
  <si>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</si>
  <si>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</si>
  <si>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</si>
  <si>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</si>
  <si>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</si>
  <si>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</si>
  <si>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</si>
  <si>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</si>
  <si>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</si>
  <si>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</si>
  <si>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</si>
  <si>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</si>
  <si>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</si>
  <si>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</si>
  <si>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</si>
  <si>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</si>
  <si>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</si>
  <si>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</si>
  <si>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</si>
  <si>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</si>
  <si>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</si>
  <si>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</si>
  <si>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</si>
  <si>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</si>
  <si>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</si>
  <si>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</si>
  <si>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</si>
  <si>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</si>
  <si>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</si>
  <si>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</si>
  <si>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</si>
  <si>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</si>
  <si>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</si>
  <si>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</si>
  <si>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</si>
  <si>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</si>
  <si>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</si>
  <si>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</si>
  <si>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</si>
  <si>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</si>
  <si>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</si>
  <si>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</si>
  <si>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</si>
  <si>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</si>
  <si>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</si>
  <si>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</si>
  <si>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</si>
  <si>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</si>
  <si>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</si>
  <si>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</si>
  <si>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</si>
  <si>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</si>
  <si>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</si>
  <si>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</si>
  <si>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</si>
  <si>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</si>
  <si>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</si>
  <si>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</si>
  <si>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</si>
  <si>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</si>
  <si>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</si>
  <si>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</si>
  <si>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</si>
  <si>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</si>
  <si>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</si>
  <si>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</si>
  <si>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</si>
  <si>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</si>
  <si>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</si>
  <si>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</si>
  <si>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</si>
  <si>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</si>
  <si>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</si>
  <si>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</si>
  <si>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</si>
  <si>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</si>
  <si>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</si>
  <si>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</si>
  <si>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</si>
  <si>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</si>
  <si>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</si>
  <si>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</si>
  <si>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</si>
  <si>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</si>
  <si>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</si>
  <si>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</si>
  <si>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</si>
  <si>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</si>
  <si>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</si>
  <si>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</si>
  <si>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</si>
  <si>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</si>
  <si>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</si>
  <si>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</si>
  <si>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</si>
  <si>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</si>
  <si>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</si>
  <si>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</si>
  <si>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</si>
  <si>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</si>
  <si>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</si>
  <si>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</si>
  <si>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</si>
  <si>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</si>
  <si>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</si>
  <si>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</si>
  <si>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</si>
  <si>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</si>
  <si>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</si>
  <si>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</si>
  <si>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</si>
  <si>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</si>
  <si>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</si>
  <si>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</si>
  <si>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</si>
  <si>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</si>
  <si>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</si>
  <si>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</si>
  <si>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</si>
  <si>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</si>
  <si>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</si>
  <si>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</si>
  <si>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</si>
  <si>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</si>
  <si>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</si>
  <si>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</si>
  <si>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</si>
  <si>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</si>
  <si>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</si>
  <si>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</si>
  <si>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</si>
  <si>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</si>
  <si>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</si>
  <si>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</si>
  <si>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</si>
  <si>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</si>
  <si>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</si>
  <si>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</si>
  <si>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</si>
  <si>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</si>
  <si>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</si>
  <si>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</si>
  <si>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</si>
  <si>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</si>
  <si>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</si>
  <si>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</si>
  <si>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</si>
  <si>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</si>
  <si>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</si>
  <si>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</si>
  <si>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</si>
  <si>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</si>
  <si>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</si>
  <si>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</si>
  <si>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</si>
  <si>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</si>
  <si>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</si>
  <si>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</si>
  <si>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</si>
  <si>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</si>
  <si>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</si>
  <si>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</si>
  <si>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</si>
  <si>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</si>
  <si>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</si>
  <si>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</si>
  <si>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</si>
  <si>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</si>
  <si>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</si>
  <si>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</si>
  <si>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</si>
  <si>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</si>
  <si>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</si>
  <si>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</si>
  <si>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</si>
  <si>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</si>
  <si>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</si>
  <si>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</si>
  <si>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</si>
  <si>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</si>
  <si>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</si>
  <si>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</si>
  <si>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</si>
  <si>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</si>
  <si>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</si>
  <si>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</si>
  <si>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</si>
  <si>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</si>
  <si>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</si>
  <si>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</si>
  <si>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</si>
  <si>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</si>
  <si>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</si>
  <si>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</si>
  <si>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</si>
  <si>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</si>
  <si>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</si>
  <si>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</si>
  <si>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</si>
  <si>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</si>
  <si>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</si>
  <si>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</si>
  <si>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</si>
  <si>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</si>
  <si>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</si>
  <si>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</si>
  <si>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</si>
  <si>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</si>
  <si>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</si>
  <si>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</si>
  <si>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</si>
  <si>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</si>
  <si>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</si>
  <si>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</si>
  <si>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</si>
  <si>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</si>
  <si>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</si>
  <si>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</si>
  <si>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</si>
  <si>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</si>
  <si>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</si>
  <si>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</si>
  <si>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</si>
  <si>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</si>
  <si>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</si>
  <si>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</si>
  <si>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</si>
  <si>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</si>
  <si>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</si>
  <si>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</si>
  <si>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</si>
  <si>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</si>
  <si>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</si>
  <si>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</si>
  <si>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</si>
  <si>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</si>
  <si>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</si>
  <si>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</si>
  <si>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</si>
  <si>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</si>
  <si>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</si>
  <si>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</si>
  <si>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</si>
  <si>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</si>
  <si>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</si>
  <si>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</si>
  <si>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</si>
  <si>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</si>
  <si>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</si>
  <si>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</si>
  <si>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</si>
  <si>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</si>
  <si>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</si>
  <si>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</si>
  <si>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</si>
  <si>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</si>
  <si>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</si>
  <si>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</si>
  <si>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</si>
  <si>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</si>
  <si>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</si>
  <si>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</si>
  <si>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</si>
  <si>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</si>
  <si>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</si>
  <si>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</si>
  <si>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</si>
  <si>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</si>
  <si>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</si>
  <si>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</si>
  <si>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</si>
  <si>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</si>
  <si>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</si>
  <si>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</si>
  <si>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</si>
  <si>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</si>
  <si>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</si>
  <si>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</si>
  <si>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</si>
  <si>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</si>
  <si>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</si>
  <si>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</si>
  <si>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</si>
  <si>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</si>
  <si>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</si>
  <si>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</si>
  <si>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</si>
  <si>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</si>
  <si>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</si>
  <si>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</si>
  <si>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</si>
  <si>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</si>
  <si>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</si>
  <si>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</si>
  <si>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</si>
  <si>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</si>
  <si>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</si>
  <si>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</si>
  <si>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</si>
  <si>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</si>
  <si>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</si>
  <si>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</si>
  <si>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</si>
  <si>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</si>
  <si>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</si>
  <si>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</si>
  <si>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</si>
  <si>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</si>
  <si>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</si>
  <si>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</si>
  <si>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</si>
  <si>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</si>
  <si>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</si>
  <si>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</si>
  <si>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</si>
  <si>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</si>
  <si>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</si>
  <si>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</si>
  <si>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</si>
  <si>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</si>
  <si>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</si>
  <si>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</si>
  <si>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</si>
  <si>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</si>
  <si>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</si>
  <si>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</si>
  <si>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</si>
  <si>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</si>
  <si>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</si>
  <si>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</si>
  <si>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</si>
  <si>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</si>
  <si>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</si>
  <si>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</si>
  <si>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</si>
  <si>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</si>
  <si>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</si>
  <si>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</si>
  <si>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</si>
  <si>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</si>
  <si>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</si>
  <si>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</si>
  <si>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</si>
  <si>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</si>
  <si>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</si>
  <si>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</si>
  <si>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</si>
  <si>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</si>
  <si>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</si>
  <si>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</si>
  <si>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</si>
  <si>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</si>
  <si>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</si>
  <si>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</si>
  <si>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</si>
  <si>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</si>
  <si>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</si>
  <si>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</si>
  <si>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</si>
  <si>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</si>
  <si>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</si>
  <si>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</si>
  <si>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</si>
  <si>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</si>
  <si>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</si>
  <si>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</si>
  <si>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</si>
  <si>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</si>
  <si>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</si>
  <si>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</si>
  <si>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</si>
  <si>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</si>
  <si>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</si>
  <si>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</si>
  <si>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</si>
  <si>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</si>
  <si>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</si>
  <si>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</si>
  <si>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</si>
  <si>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</si>
  <si>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</si>
  <si>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</si>
  <si>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</si>
  <si>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</si>
  <si>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</si>
  <si>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</si>
  <si>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</si>
  <si>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</si>
  <si>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</si>
  <si>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</si>
  <si>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</si>
  <si>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</si>
  <si>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</si>
  <si>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</si>
  <si>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</si>
  <si>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</si>
  <si>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</si>
  <si>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</si>
  <si>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</si>
  <si>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</si>
  <si>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</si>
  <si>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</si>
  <si>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</si>
  <si>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</si>
  <si>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</si>
  <si>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</si>
  <si>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</si>
  <si>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</si>
  <si>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</si>
  <si>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</si>
  <si>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</si>
  <si>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</si>
  <si>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</si>
  <si>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</si>
  <si>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</si>
  <si>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</si>
  <si>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</si>
  <si>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</si>
  <si>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</si>
  <si>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</si>
  <si>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</si>
  <si>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</si>
  <si>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</si>
  <si>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</si>
  <si>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</si>
  <si>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</si>
  <si>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</si>
  <si>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</si>
  <si>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</si>
  <si>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</si>
  <si>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</si>
  <si>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</si>
  <si>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</si>
  <si>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</si>
  <si>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</si>
  <si>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</si>
  <si>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</si>
  <si>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</si>
  <si>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</si>
  <si>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</si>
  <si>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</si>
  <si>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</si>
  <si>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</si>
  <si>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</si>
  <si>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</si>
  <si>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</si>
  <si>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</si>
  <si>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</si>
  <si>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</si>
  <si>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</si>
  <si>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</si>
  <si>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</si>
  <si>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</si>
  <si>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</si>
  <si>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</si>
  <si>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</si>
  <si>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</si>
  <si>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</si>
  <si>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</si>
  <si>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</si>
  <si>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</si>
  <si>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</si>
  <si>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</si>
  <si>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</si>
  <si>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</si>
  <si>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</si>
  <si>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</si>
  <si>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</si>
  <si>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</si>
  <si>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</si>
  <si>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</si>
  <si>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</si>
  <si>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</si>
  <si>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</si>
  <si>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</si>
  <si>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</si>
  <si>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</si>
  <si>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</si>
  <si>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</si>
  <si>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</si>
  <si>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</si>
  <si>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</si>
  <si>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</si>
  <si>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</si>
  <si>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</si>
  <si>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</si>
  <si>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</si>
  <si>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</si>
  <si>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</si>
  <si>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</si>
  <si>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</si>
  <si>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</si>
  <si>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</si>
  <si>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</si>
  <si>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</si>
  <si>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</si>
  <si>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</si>
  <si>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</si>
  <si>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</si>
  <si>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</si>
  <si>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</si>
  <si>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</si>
  <si>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</si>
  <si>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</si>
  <si>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</si>
  <si>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</si>
  <si>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</si>
  <si>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</si>
  <si>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</si>
  <si>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</si>
  <si>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</si>
  <si>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</si>
  <si>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</si>
  <si>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</si>
  <si>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</si>
  <si>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</si>
  <si>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</si>
  <si>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</si>
  <si>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</si>
  <si>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</si>
  <si>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</si>
  <si>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</si>
  <si>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</si>
  <si>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</si>
  <si>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</si>
  <si>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</si>
  <si>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</si>
  <si>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</si>
  <si>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</si>
  <si>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</si>
  <si>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</si>
  <si>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</si>
  <si>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</si>
  <si>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</si>
  <si>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</si>
  <si>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</si>
  <si>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</si>
  <si>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</si>
  <si>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</si>
  <si>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</si>
  <si>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</si>
  <si>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</si>
  <si>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</si>
  <si>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</si>
  <si>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</si>
  <si>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</si>
  <si>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</si>
  <si>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</si>
  <si>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</si>
  <si>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</si>
  <si>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</si>
  <si>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</si>
  <si>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</si>
  <si>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</si>
  <si>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</si>
  <si>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</si>
  <si>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</si>
  <si>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</si>
  <si>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</si>
  <si>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</si>
  <si>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</si>
  <si>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</si>
  <si>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</si>
  <si>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</si>
  <si>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</si>
  <si>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</si>
  <si>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</si>
  <si>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</si>
  <si>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</si>
  <si>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</si>
  <si>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</si>
  <si>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</si>
  <si>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</si>
  <si>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</si>
  <si>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</si>
  <si>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</si>
  <si>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</si>
  <si>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</si>
  <si>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</si>
  <si>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</si>
  <si>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</si>
  <si>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</si>
  <si>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</si>
  <si>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</si>
  <si>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</si>
  <si>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</si>
  <si>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</si>
  <si>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</si>
  <si>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</si>
  <si>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</si>
  <si>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</si>
  <si>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</si>
  <si>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</si>
  <si>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</si>
  <si>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</si>
  <si>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</si>
  <si>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</si>
  <si>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</si>
  <si>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</si>
  <si>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</si>
  <si>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</si>
  <si>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</si>
  <si>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</si>
  <si>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</si>
  <si>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</si>
  <si>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</si>
  <si>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</si>
  <si>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</si>
  <si>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</si>
  <si>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</si>
  <si>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</si>
  <si>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</si>
  <si>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</si>
  <si>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</si>
  <si>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</si>
  <si>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</si>
  <si>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</si>
  <si>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</si>
  <si>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</si>
  <si>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</si>
  <si>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</si>
  <si>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</si>
  <si>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</si>
  <si>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</si>
  <si>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</si>
  <si>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</si>
  <si>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</si>
  <si>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</si>
  <si>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</si>
  <si>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</si>
  <si>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</si>
  <si>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</si>
  <si>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</si>
  <si>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</si>
  <si>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</si>
  <si>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</si>
  <si>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</si>
  <si>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</si>
  <si>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</si>
  <si>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</si>
  <si>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</si>
  <si>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</si>
  <si>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</si>
  <si>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</si>
  <si>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</si>
  <si>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</si>
  <si>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</si>
  <si>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</si>
  <si>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</si>
  <si>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</si>
  <si>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</si>
  <si>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</si>
  <si>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</si>
  <si>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</si>
  <si>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</si>
  <si>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</si>
  <si>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</si>
  <si>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</si>
  <si>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</si>
  <si>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</si>
  <si>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</si>
  <si>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</si>
  <si>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</si>
  <si>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</si>
  <si>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</si>
  <si>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</si>
  <si>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</si>
  <si>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</si>
  <si>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</si>
  <si>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</si>
  <si>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</si>
  <si>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</si>
  <si>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</si>
  <si>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</si>
  <si>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</si>
  <si>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</si>
  <si>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</si>
  <si>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</si>
  <si>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</si>
  <si>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</si>
  <si>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</si>
  <si>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</si>
  <si>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</si>
  <si>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</si>
  <si>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</si>
  <si>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</si>
  <si>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</si>
  <si>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</si>
  <si>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</si>
  <si>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</si>
  <si>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</si>
  <si>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</si>
  <si>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</si>
  <si>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</si>
  <si>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</si>
  <si>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</si>
  <si>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</si>
  <si>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</si>
  <si>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</si>
  <si>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</si>
  <si>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</si>
  <si>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</si>
  <si>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</si>
  <si>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</si>
  <si>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</si>
  <si>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</si>
  <si>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</si>
  <si>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</si>
  <si>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</si>
  <si>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</si>
  <si>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</si>
  <si>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</si>
  <si>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</si>
  <si>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</si>
  <si>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</si>
  <si>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</si>
  <si>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</si>
  <si>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</si>
  <si>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</si>
  <si>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</si>
  <si>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</si>
  <si>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</si>
  <si>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</si>
  <si>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</si>
  <si>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</si>
  <si>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</si>
  <si>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</si>
  <si>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</si>
  <si>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</si>
  <si>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</si>
  <si>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</si>
  <si>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</si>
  <si>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</si>
  <si>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</si>
  <si>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</si>
  <si>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</si>
  <si>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</si>
  <si>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</si>
  <si>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</si>
  <si>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</si>
  <si>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</si>
  <si>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</si>
  <si>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</si>
  <si>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</si>
  <si>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</si>
  <si>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</si>
  <si>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</si>
  <si>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</si>
  <si>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</si>
  <si>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</si>
  <si>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</si>
  <si>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</si>
  <si>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</si>
  <si>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</si>
  <si>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</si>
  <si>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</si>
  <si>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</si>
  <si>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</si>
  <si>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</si>
  <si>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</si>
  <si>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</si>
  <si>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</si>
  <si>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</si>
  <si>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</si>
  <si>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</si>
  <si>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</si>
  <si>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</si>
  <si>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</si>
  <si>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</si>
  <si>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</si>
  <si>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</si>
  <si>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</si>
  <si>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</si>
  <si>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</si>
  <si>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</si>
  <si>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</si>
  <si>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</si>
  <si>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</si>
  <si>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</si>
  <si>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</si>
  <si>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</si>
  <si>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</si>
  <si>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</si>
  <si>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</si>
  <si>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</si>
  <si>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</si>
  <si>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</si>
  <si>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</si>
  <si>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</si>
  <si>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</si>
  <si>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</si>
  <si>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</si>
  <si>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</si>
  <si>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</si>
  <si>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</si>
  <si>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</si>
  <si>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</si>
  <si>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</si>
  <si>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</si>
  <si>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</si>
  <si>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</si>
  <si>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</si>
  <si>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</si>
  <si>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</si>
  <si>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</si>
  <si>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</si>
  <si>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</si>
  <si>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</si>
  <si>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</si>
  <si>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</si>
  <si>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</si>
  <si>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</si>
  <si>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</si>
  <si>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</si>
  <si>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</si>
  <si>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</si>
  <si>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</si>
  <si>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</si>
  <si>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</si>
  <si>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</si>
  <si>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</si>
  <si>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</si>
  <si>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</si>
  <si>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</si>
  <si>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</si>
  <si>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</si>
  <si>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</si>
  <si>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</si>
  <si>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</si>
  <si>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</si>
  <si>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</si>
  <si>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</si>
  <si>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</si>
  <si>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</si>
  <si>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</si>
  <si>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</si>
  <si>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</si>
  <si>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</si>
  <si>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</si>
  <si>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</si>
  <si>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</si>
  <si>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</si>
  <si>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</si>
  <si>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</si>
  <si>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</si>
  <si>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</si>
  <si>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</si>
  <si>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</si>
  <si>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</si>
  <si>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</si>
  <si>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</si>
  <si>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</si>
  <si>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</si>
  <si>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</si>
  <si>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</si>
  <si>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</si>
  <si>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</si>
  <si>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</si>
  <si>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</si>
  <si>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</si>
  <si>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</si>
  <si>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</si>
  <si>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</si>
  <si>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</si>
  <si>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</si>
  <si>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</si>
  <si>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</si>
  <si>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</si>
  <si>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</si>
  <si>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</si>
  <si>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</si>
  <si>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</si>
  <si>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</si>
  <si>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</si>
  <si>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</si>
  <si>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</si>
  <si>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</si>
  <si>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</si>
  <si>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</si>
  <si>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</si>
  <si>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</si>
  <si>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</si>
  <si>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</si>
  <si>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</si>
  <si>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</si>
  <si>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</si>
  <si>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</si>
  <si>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</si>
  <si>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</si>
  <si>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</si>
  <si>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</si>
  <si>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</si>
  <si>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</si>
  <si>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</si>
  <si>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</si>
  <si>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</si>
  <si>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</si>
  <si>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</si>
  <si>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</si>
  <si>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</si>
  <si>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</si>
  <si>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</si>
  <si>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</si>
  <si>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</si>
  <si>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</si>
  <si>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</si>
  <si>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</si>
  <si>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</si>
  <si>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</si>
  <si>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</si>
  <si>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</si>
  <si>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</si>
  <si>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</si>
  <si>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</si>
  <si>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</si>
  <si>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</si>
  <si>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</si>
  <si>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</si>
  <si>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</si>
  <si>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</si>
  <si>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</si>
  <si>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</si>
  <si>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</si>
  <si>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</si>
  <si>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</si>
  <si>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</si>
  <si>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</si>
  <si>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</si>
  <si>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</si>
  <si>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</si>
  <si>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</si>
  <si>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</si>
  <si>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</si>
  <si>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</si>
  <si>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</si>
  <si>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</si>
  <si>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</si>
  <si>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</si>
  <si>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</si>
  <si>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</si>
  <si>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</si>
  <si>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</si>
  <si>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</si>
  <si>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</si>
  <si>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</si>
  <si>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</si>
  <si>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</si>
  <si>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</si>
  <si>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</si>
  <si>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</si>
  <si>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</si>
  <si>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</si>
  <si>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</si>
  <si>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</si>
  <si>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</si>
  <si>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</si>
  <si>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</si>
  <si>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</si>
  <si>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</si>
  <si>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</si>
  <si>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</si>
  <si>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</si>
  <si>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</si>
  <si>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</si>
  <si>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</si>
  <si>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</si>
  <si>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</si>
  <si>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</si>
  <si>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</si>
  <si>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</si>
  <si>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</si>
  <si>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</si>
  <si>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</si>
  <si>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</si>
  <si>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</si>
  <si>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</si>
  <si>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</si>
  <si>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</si>
  <si>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</si>
  <si>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</si>
  <si>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</si>
  <si>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</si>
  <si>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</si>
  <si>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</si>
  <si>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</si>
  <si>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</si>
  <si>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</si>
  <si>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</si>
  <si>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</si>
  <si>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</si>
  <si>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</si>
  <si>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</si>
  <si>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</si>
  <si>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</si>
  <si>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</si>
  <si>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</si>
  <si>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</si>
  <si>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</si>
  <si>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</si>
  <si>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</si>
  <si>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</si>
  <si>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</si>
  <si>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</si>
  <si>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</si>
  <si>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</si>
  <si>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</si>
  <si>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</si>
  <si>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</si>
  <si>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</si>
  <si>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</si>
  <si>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</si>
  <si>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</si>
  <si>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</si>
  <si>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</si>
  <si>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</si>
  <si>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</si>
  <si>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</si>
  <si>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</si>
  <si>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</si>
  <si>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</si>
  <si>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</si>
  <si>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</si>
  <si>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</si>
  <si>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</si>
  <si>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</si>
  <si>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</si>
  <si>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</si>
  <si>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</si>
  <si>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</si>
  <si>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</si>
  <si>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</si>
  <si>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</si>
  <si>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</si>
  <si>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</si>
  <si>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</si>
  <si>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</si>
  <si>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</si>
  <si>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</si>
  <si>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</si>
  <si>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</si>
  <si>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</si>
  <si>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</si>
  <si>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</si>
  <si>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</si>
  <si>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</si>
  <si>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</si>
  <si>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</si>
  <si>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</si>
  <si>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</si>
  <si>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</si>
  <si>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</si>
  <si>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</si>
  <si>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</si>
  <si>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</si>
  <si>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</si>
  <si>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</si>
  <si>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</si>
  <si>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</si>
  <si>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</si>
  <si>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</si>
  <si>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</si>
  <si>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</si>
  <si>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</si>
  <si>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</si>
  <si>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</si>
  <si>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</si>
  <si>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</si>
  <si>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</si>
  <si>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</si>
  <si>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</si>
  <si>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</si>
  <si>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</si>
  <si>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</si>
  <si>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</si>
  <si>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</si>
  <si>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</si>
  <si>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</si>
  <si>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</si>
  <si>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</si>
  <si>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</si>
  <si>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</si>
  <si>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</si>
  <si>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</si>
  <si>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</si>
  <si>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</si>
  <si>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</si>
  <si>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</si>
  <si>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</si>
  <si>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</si>
  <si>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</si>
  <si>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</si>
  <si>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</si>
  <si>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</si>
  <si>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</si>
  <si>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</si>
  <si>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</si>
  <si>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</si>
  <si>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</si>
  <si>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</si>
  <si>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</si>
  <si>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</si>
  <si>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</si>
  <si>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</si>
  <si>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</si>
  <si>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</si>
  <si>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</si>
  <si>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</si>
  <si>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</si>
  <si>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</si>
  <si>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</si>
  <si>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</si>
  <si>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</si>
  <si>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</si>
  <si>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</si>
  <si>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</si>
  <si>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</si>
  <si>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</si>
  <si>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</si>
  <si>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</si>
  <si>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</si>
  <si>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</si>
  <si>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</si>
  <si>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</si>
  <si>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</si>
  <si>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</si>
  <si>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</si>
  <si>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</si>
  <si>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</si>
  <si>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</si>
  <si>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</si>
  <si>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</si>
  <si>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</si>
  <si>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</si>
  <si>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</si>
  <si>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</si>
  <si>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</si>
  <si>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</si>
  <si>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</si>
  <si>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</si>
  <si>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</si>
  <si>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</si>
  <si>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</si>
  <si>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</si>
  <si>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</si>
  <si>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</si>
  <si>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</si>
  <si>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</si>
  <si>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</si>
  <si>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</si>
  <si>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</si>
  <si>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</si>
  <si>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</si>
  <si>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</si>
  <si>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</si>
  <si>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</si>
  <si>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</si>
  <si>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</si>
  <si>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</si>
  <si>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</si>
  <si>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</si>
  <si>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</si>
  <si>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</si>
  <si>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</si>
  <si>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</si>
  <si>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</si>
  <si>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</si>
  <si>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</si>
  <si>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</si>
  <si>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</si>
  <si>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</si>
  <si>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</si>
  <si>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</si>
  <si>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</si>
  <si>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</si>
  <si>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</si>
  <si>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</si>
  <si>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</si>
  <si>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</si>
  <si>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</si>
  <si>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</si>
  <si>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</si>
  <si>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</si>
  <si>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</si>
  <si>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</si>
  <si>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</si>
  <si>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</si>
  <si>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</si>
  <si>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</si>
  <si>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</si>
  <si>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</si>
  <si>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</si>
  <si>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</si>
  <si>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</si>
  <si>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</si>
  <si>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</si>
  <si>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</si>
  <si>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</si>
  <si>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</si>
  <si>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</si>
  <si>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</si>
  <si>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</si>
  <si>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</si>
  <si>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</si>
  <si>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</si>
  <si>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</si>
  <si>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</si>
  <si>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</si>
  <si>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</si>
  <si>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</si>
  <si>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</si>
  <si>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</si>
  <si>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</si>
  <si>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</si>
  <si>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</si>
  <si>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</si>
  <si>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</si>
  <si>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</si>
  <si>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</si>
  <si>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</si>
  <si>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</si>
  <si>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</si>
  <si>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</si>
  <si>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</si>
  <si>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</si>
  <si>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</si>
  <si>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</si>
  <si>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</si>
  <si>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</si>
  <si>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</si>
  <si>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</si>
  <si>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</si>
  <si>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</si>
  <si>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</si>
  <si>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</si>
  <si>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</si>
  <si>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</si>
  <si>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</si>
  <si>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</si>
  <si>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</si>
  <si>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</si>
  <si>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</si>
  <si>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</si>
  <si>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</si>
  <si>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</si>
  <si>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</si>
  <si>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</si>
  <si>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</si>
  <si>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</si>
  <si>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</si>
  <si>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</si>
  <si>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</si>
  <si>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</si>
  <si>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</si>
  <si>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</si>
  <si>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</si>
  <si>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</si>
  <si>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</si>
  <si>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</si>
  <si>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</si>
  <si>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</si>
  <si>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</si>
  <si>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</si>
  <si>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</si>
  <si>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</si>
  <si>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</si>
  <si>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</si>
  <si>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</si>
  <si>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</si>
  <si>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</si>
  <si>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</si>
  <si>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</si>
  <si>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</si>
  <si>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</si>
  <si>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</si>
  <si>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</si>
  <si>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</si>
  <si>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</si>
  <si>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</si>
  <si>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</si>
  <si>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</si>
  <si>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</si>
  <si>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</si>
  <si>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</si>
  <si>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</si>
  <si>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</si>
  <si>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</si>
  <si>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</si>
  <si>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</si>
  <si>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</si>
  <si>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</si>
  <si>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</si>
  <si>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</si>
  <si>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</si>
  <si>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</si>
  <si>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</si>
  <si>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</si>
  <si>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</si>
  <si>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</si>
  <si>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</si>
  <si>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</si>
  <si>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</si>
  <si>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</si>
  <si>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</si>
  <si>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</si>
  <si>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</si>
  <si>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</si>
  <si>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</si>
  <si>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</si>
  <si>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</si>
  <si>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</si>
  <si>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</si>
  <si>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</si>
  <si>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</si>
  <si>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</si>
  <si>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</si>
  <si>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</si>
  <si>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</si>
  <si>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</si>
  <si>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</si>
  <si>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</si>
  <si>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</si>
  <si>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</si>
  <si>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</si>
  <si>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</si>
  <si>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</si>
  <si>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</si>
  <si>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</si>
  <si>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</si>
  <si>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</si>
  <si>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</si>
  <si>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</si>
  <si>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</si>
  <si>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</si>
  <si>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</si>
  <si>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</si>
  <si>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</si>
  <si>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</si>
  <si>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</si>
  <si>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</si>
  <si>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</si>
  <si>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</si>
  <si>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</si>
  <si>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</si>
  <si>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</si>
  <si>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</si>
  <si>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</si>
  <si>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</si>
  <si>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</si>
  <si>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</si>
  <si>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</si>
  <si>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</si>
  <si>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</si>
  <si>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</si>
  <si>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</si>
  <si>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</si>
  <si>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</si>
  <si>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</si>
  <si>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</si>
  <si>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</si>
  <si>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</si>
  <si>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</si>
  <si>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</si>
  <si>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</si>
  <si>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</si>
  <si>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</si>
  <si>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</si>
  <si>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</si>
  <si>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</si>
  <si>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</si>
  <si>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</si>
  <si>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</si>
  <si>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</si>
  <si>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</si>
  <si>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</si>
  <si>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</si>
  <si>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</si>
  <si>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</si>
  <si>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</si>
  <si>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</si>
  <si>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</si>
  <si>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</si>
  <si>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</si>
  <si>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</si>
  <si>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</si>
  <si>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</si>
  <si>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</si>
  <si>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</si>
  <si>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</si>
  <si>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</si>
  <si>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</si>
  <si>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</si>
  <si>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</si>
  <si>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</si>
  <si>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</si>
  <si>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</si>
  <si>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</si>
  <si>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</si>
  <si>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</si>
  <si>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</si>
  <si>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</si>
  <si>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</si>
  <si>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</si>
  <si>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</si>
  <si>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</si>
  <si>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</si>
  <si>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</si>
  <si>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</si>
  <si>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</si>
  <si>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</si>
  <si>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</si>
  <si>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</si>
  <si>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</si>
  <si>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</si>
  <si>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</si>
  <si>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</si>
  <si>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</si>
  <si>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</si>
  <si>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</si>
  <si>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</si>
  <si>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</si>
  <si>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</si>
  <si>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</si>
  <si>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</si>
  <si>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</si>
  <si>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</si>
  <si>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</si>
  <si>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</si>
  <si>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</si>
  <si>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</si>
  <si>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</si>
  <si>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</si>
  <si>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</si>
  <si>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</si>
  <si>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</si>
  <si>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</si>
  <si>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</si>
  <si>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</si>
  <si>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</si>
  <si>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</si>
  <si>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</si>
  <si>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</si>
  <si>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</si>
  <si>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</si>
  <si>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</si>
  <si>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</si>
  <si>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</si>
  <si>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</si>
  <si>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</si>
  <si>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</si>
  <si>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</si>
  <si>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</si>
  <si>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</si>
  <si>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</si>
  <si>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</si>
  <si>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</si>
  <si>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</si>
  <si>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</si>
  <si>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</si>
  <si>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</si>
  <si>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</si>
  <si>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</si>
  <si>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</si>
  <si>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</si>
  <si>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</si>
  <si>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</si>
  <si>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</si>
  <si>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</si>
  <si>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</si>
  <si>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</si>
  <si>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</si>
  <si>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</si>
  <si>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</si>
  <si>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</si>
  <si>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</si>
  <si>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</si>
  <si>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</si>
  <si>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</si>
  <si>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</si>
  <si>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</si>
  <si>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</si>
  <si>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</si>
  <si>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</si>
  <si>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</si>
  <si>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</si>
  <si>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</si>
  <si>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</si>
  <si>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</si>
  <si>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</si>
  <si>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</si>
  <si>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</si>
  <si>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</si>
  <si>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</si>
  <si>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</si>
  <si>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</si>
  <si>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</si>
  <si>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</si>
  <si>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</si>
  <si>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</si>
  <si>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</si>
  <si>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</si>
  <si>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</si>
  <si>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</si>
  <si>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</si>
  <si>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</si>
  <si>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</si>
  <si>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</si>
  <si>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</si>
  <si>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</si>
  <si>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</si>
  <si>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</si>
  <si>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</si>
  <si>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</si>
  <si>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</si>
  <si>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</si>
  <si>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</si>
  <si>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</si>
  <si>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</si>
  <si>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</si>
  <si>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</si>
  <si>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</si>
  <si>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</si>
  <si>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</si>
  <si>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</si>
  <si>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</si>
  <si>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</si>
  <si>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</si>
  <si>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</si>
  <si>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</si>
  <si>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</si>
  <si>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</si>
  <si>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</si>
  <si>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</si>
  <si>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</si>
  <si>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</si>
  <si>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</si>
  <si>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</si>
  <si>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</si>
  <si>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</si>
  <si>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</si>
  <si>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</si>
  <si>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</si>
  <si>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</si>
  <si>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</si>
  <si>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</si>
  <si>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</si>
  <si>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</si>
  <si>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</si>
  <si>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</si>
  <si>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</si>
  <si>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</si>
  <si>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</si>
  <si>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</si>
  <si>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</si>
  <si>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</si>
  <si>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</si>
  <si>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</si>
  <si>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</si>
  <si>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</si>
  <si>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</si>
  <si>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</si>
  <si>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</si>
  <si>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</si>
  <si>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</si>
  <si>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</si>
  <si>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</si>
  <si>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</si>
  <si>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</si>
  <si>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</si>
  <si>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</si>
  <si>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</si>
  <si>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</si>
  <si>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</si>
  <si>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</si>
  <si>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</si>
  <si>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</si>
  <si>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</si>
  <si>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</si>
  <si>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</si>
  <si>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</si>
  <si>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</si>
  <si>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</si>
  <si>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</si>
  <si>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</si>
  <si>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</si>
  <si>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</si>
  <si>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</si>
  <si>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</si>
  <si>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</si>
  <si>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</si>
  <si>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</si>
  <si>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</si>
  <si>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</si>
  <si>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</si>
  <si>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</si>
  <si>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</si>
  <si>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</si>
  <si>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</si>
  <si>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</si>
  <si>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</si>
  <si>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</si>
  <si>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</si>
  <si>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</si>
  <si>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</si>
  <si>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</si>
  <si>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</si>
  <si>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</si>
  <si>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</si>
  <si>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</si>
  <si>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</si>
  <si>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</si>
  <si>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</si>
  <si>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</si>
  <si>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</si>
  <si>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</si>
  <si>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</si>
  <si>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cpf</t>
  </si>
  <si>
    <t>#153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</si>
  <si>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</si>
  <si>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</si>
  <si>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</si>
  <si>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</si>
  <si>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</si>
  <si>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</si>
  <si>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</si>
  <si>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</si>
  <si>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</si>
  <si>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</si>
  <si>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</si>
  <si>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OC Ntuc</t>
  </si>
  <si>
    <t>ICON: I owe wife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</si>
  <si>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</si>
  <si>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</si>
  <si>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</si>
  <si>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</si>
  <si>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</si>
  <si>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</si>
  <si>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</si>
  <si>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</si>
  <si>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DBS 198 inMyCare</t>
  </si>
  <si>
    <t>total asset #mine</t>
  </si>
  <si>
    <t>(est)deducted from^^</t>
  </si>
  <si>
    <t>Shenton SDB5k</t>
  </si>
  <si>
    <t>FSM #EastS AHY</t>
  </si>
  <si>
    <t>not cash-like</t>
  </si>
  <si>
    <t>EastS AHY #not cash-like</t>
  </si>
  <si>
    <t>ATM till 1 Jan ⇖</t>
  </si>
  <si>
    <t>GM-&gt;GP</t>
  </si>
  <si>
    <t>SC overnight park`4wife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</si>
  <si>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</si>
  <si>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</si>
  <si>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</si>
  <si>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</si>
  <si>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</si>
  <si>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</si>
  <si>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</si>
  <si>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</si>
  <si>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</si>
  <si>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</si>
  <si>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</si>
  <si>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</si>
  <si>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</si>
  <si>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</si>
  <si>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</si>
  <si>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</si>
  <si>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</si>
  <si>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</si>
  <si>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</si>
  <si>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</si>
  <si>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</si>
  <si>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Shaw 19 Jan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</si>
  <si>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</si>
  <si>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</si>
  <si>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</si>
  <si>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</si>
  <si>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</si>
  <si>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</si>
  <si>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</si>
  <si>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</si>
  <si>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</si>
  <si>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</si>
  <si>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</si>
  <si>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</si>
  <si>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</si>
  <si>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</si>
  <si>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</si>
  <si>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</si>
  <si>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</si>
  <si>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</si>
  <si>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</si>
  <si>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</si>
  <si>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</si>
  <si>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</si>
  <si>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</si>
  <si>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</si>
  <si>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</si>
  <si>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</si>
  <si>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</si>
  <si>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</si>
  <si>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</si>
  <si>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</si>
  <si>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</si>
  <si>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</si>
  <si>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</si>
  <si>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</si>
  <si>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</si>
  <si>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</si>
  <si>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</si>
  <si>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</si>
  <si>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</si>
  <si>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</si>
  <si>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</si>
  <si>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</si>
  <si>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</si>
  <si>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</si>
  <si>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</si>
  <si>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</si>
  <si>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</si>
  <si>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</si>
  <si>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</si>
  <si>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</si>
  <si>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</si>
  <si>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</si>
  <si>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</si>
  <si>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</si>
  <si>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</si>
  <si>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</si>
  <si>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</si>
  <si>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</si>
  <si>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</si>
  <si>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</si>
  <si>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</si>
  <si>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</si>
  <si>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</si>
  <si>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</si>
  <si>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</si>
  <si>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</si>
  <si>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</si>
  <si>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</si>
  <si>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</si>
  <si>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</si>
  <si>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</si>
  <si>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</si>
  <si>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</si>
  <si>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</si>
  <si>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</si>
  <si>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</si>
  <si>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</si>
  <si>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</si>
  <si>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</si>
  <si>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</si>
  <si>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</si>
  <si>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</si>
  <si>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</si>
  <si>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</si>
  <si>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</si>
  <si>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</si>
  <si>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</si>
  <si>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</si>
  <si>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</si>
  <si>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</si>
  <si>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</si>
  <si>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</si>
  <si>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</si>
  <si>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</si>
  <si>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</si>
  <si>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</si>
  <si>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</si>
  <si>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</si>
  <si>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</si>
  <si>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</si>
  <si>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</si>
  <si>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</si>
  <si>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</si>
  <si>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</si>
  <si>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</si>
  <si>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</si>
  <si>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</si>
  <si>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</si>
  <si>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</si>
  <si>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</si>
  <si>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</si>
  <si>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</si>
  <si>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</si>
  <si>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</si>
  <si>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</si>
  <si>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</si>
  <si>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</si>
  <si>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</si>
  <si>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</si>
  <si>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</si>
  <si>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</si>
  <si>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</si>
  <si>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</si>
  <si>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</si>
  <si>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</si>
  <si>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</si>
  <si>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</si>
  <si>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</si>
  <si>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</si>
  <si>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</si>
  <si>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</si>
  <si>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</si>
  <si>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</si>
  <si>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</si>
  <si>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</si>
  <si>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</si>
  <si>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</si>
  <si>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</si>
  <si>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</si>
  <si>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</si>
  <si>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</si>
  <si>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</si>
  <si>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</si>
  <si>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</si>
  <si>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</si>
  <si>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</si>
  <si>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</si>
  <si>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</si>
  <si>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</si>
  <si>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</si>
  <si>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</si>
  <si>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</si>
  <si>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</si>
  <si>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</si>
  <si>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</si>
  <si>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</si>
  <si>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</si>
  <si>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</si>
  <si>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</si>
  <si>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</si>
  <si>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</si>
  <si>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</si>
  <si>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</si>
  <si>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</si>
  <si>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</si>
  <si>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</si>
  <si>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</si>
  <si>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</si>
  <si>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</si>
  <si>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</si>
  <si>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</si>
  <si>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</si>
  <si>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</si>
  <si>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</si>
  <si>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</si>
  <si>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</si>
  <si>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</si>
  <si>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</si>
  <si>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</si>
  <si>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</si>
  <si>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</si>
  <si>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</si>
  <si>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</si>
  <si>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</si>
  <si>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</si>
  <si>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</si>
  <si>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</si>
  <si>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</si>
  <si>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</si>
  <si>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</si>
  <si>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</si>
  <si>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</si>
  <si>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</si>
  <si>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</si>
  <si>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</si>
  <si>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</si>
  <si>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</si>
  <si>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</si>
  <si>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</si>
  <si>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</si>
  <si>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</si>
  <si>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</si>
  <si>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</si>
  <si>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</si>
  <si>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</si>
  <si>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</si>
  <si>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</si>
  <si>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</si>
  <si>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</si>
  <si>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</si>
  <si>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</si>
  <si>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</si>
  <si>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</si>
  <si>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</si>
  <si>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</si>
  <si>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</si>
  <si>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</si>
  <si>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</si>
  <si>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</si>
  <si>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</si>
  <si>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</si>
  <si>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</si>
  <si>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</si>
  <si>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</si>
  <si>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</si>
  <si>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</si>
  <si>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</si>
  <si>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</si>
  <si>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</si>
  <si>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</si>
  <si>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</si>
  <si>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</si>
  <si>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</si>
  <si>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</si>
  <si>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</si>
  <si>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</si>
  <si>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</si>
  <si>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</si>
  <si>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</si>
  <si>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</si>
  <si>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</si>
  <si>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</si>
  <si>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</si>
  <si>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</si>
  <si>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</si>
  <si>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</si>
  <si>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</si>
  <si>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</si>
  <si>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</si>
  <si>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</si>
  <si>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18M</t>
  </si>
  <si>
    <t>BOC 12M</t>
  </si>
  <si>
    <t>TC #18Jul</t>
  </si>
  <si>
    <t>borrowed{wife</t>
  </si>
  <si>
    <t>self-xfer</t>
  </si>
  <si>
    <t>Kopitiam card</t>
  </si>
  <si>
    <t>non-ePay</t>
  </si>
  <si>
    <t>shopee26Aug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</si>
  <si>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</si>
  <si>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</si>
  <si>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</si>
  <si>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</si>
  <si>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</si>
  <si>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</si>
  <si>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</si>
  <si>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</si>
  <si>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</si>
  <si>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</si>
  <si>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</si>
  <si>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</si>
  <si>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</si>
  <si>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</si>
  <si>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</si>
  <si>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</si>
  <si>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</si>
  <si>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</si>
  <si>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</si>
  <si>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</si>
  <si>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</si>
  <si>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</si>
  <si>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</si>
  <si>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</si>
  <si>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</si>
  <si>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</si>
  <si>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</si>
  <si>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</si>
  <si>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</si>
  <si>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</si>
  <si>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</si>
  <si>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</si>
  <si>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</si>
  <si>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</si>
  <si>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</si>
  <si>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</si>
  <si>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</si>
  <si>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t>TC_1173 payNow</t>
  </si>
  <si>
    <t>hous`refund4both</t>
  </si>
  <si>
    <t>1173comm LZ.Y</t>
  </si>
  <si>
    <t>cordless drill</t>
  </si>
  <si>
    <t>BOC 6M+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</si>
  <si>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</si>
  <si>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</si>
  <si>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</si>
  <si>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</si>
  <si>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</si>
  <si>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</si>
  <si>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</si>
  <si>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</si>
  <si>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</si>
  <si>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</si>
  <si>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</si>
  <si>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</si>
  <si>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borrow from boy</t>
  </si>
  <si>
    <t>~~dry powder earmarked</t>
  </si>
  <si>
    <t>~~ other excluded</t>
  </si>
  <si>
    <t>~~~~excluded from totalAsset</t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</si>
  <si>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</si>
  <si>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</si>
  <si>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</si>
  <si>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</si>
  <si>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</si>
  <si>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</si>
  <si>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</si>
  <si>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</si>
  <si>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</si>
  <si>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</si>
  <si>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</si>
  <si>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</si>
  <si>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</si>
  <si>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</si>
  <si>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</si>
  <si>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</si>
  <si>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</si>
  <si>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</si>
  <si>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</si>
  <si>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</si>
  <si>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</si>
  <si>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</si>
  <si>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</si>
  <si>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</si>
  <si>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</si>
  <si>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</si>
  <si>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</si>
  <si>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</si>
  <si>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</si>
  <si>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</si>
  <si>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</si>
  <si>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</si>
  <si>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</si>
  <si>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</si>
  <si>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</si>
  <si>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</si>
  <si>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</si>
  <si>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</si>
  <si>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</si>
  <si>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</si>
  <si>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</si>
  <si>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</si>
  <si>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</si>
  <si>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</si>
  <si>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</si>
  <si>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</si>
  <si>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</si>
  <si>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</si>
  <si>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</si>
  <si>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</si>
  <si>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</si>
  <si>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</si>
  <si>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</si>
  <si>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</si>
  <si>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</si>
  <si>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</si>
  <si>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</si>
  <si>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</si>
  <si>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</si>
  <si>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</si>
  <si>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</si>
  <si>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</si>
  <si>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</si>
  <si>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</si>
  <si>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</si>
  <si>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</si>
  <si>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</si>
  <si>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</si>
  <si>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</si>
  <si>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</si>
  <si>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</si>
  <si>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</si>
  <si>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</si>
  <si>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</si>
  <si>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</si>
  <si>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</si>
  <si>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</si>
  <si>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</si>
  <si>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</si>
  <si>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</si>
  <si>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</si>
  <si>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</si>
  <si>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</si>
  <si>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</si>
  <si>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</si>
  <si>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</si>
  <si>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</si>
  <si>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</si>
  <si>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</si>
  <si>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</si>
  <si>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</si>
  <si>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</si>
  <si>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</si>
  <si>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</si>
  <si>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</si>
  <si>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</si>
  <si>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</si>
  <si>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</si>
  <si>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</si>
  <si>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</si>
  <si>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</si>
  <si>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</si>
  <si>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</si>
  <si>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</si>
  <si>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</si>
  <si>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</si>
  <si>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</si>
  <si>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</si>
  <si>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</si>
  <si>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</si>
  <si>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</si>
  <si>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</si>
  <si>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</si>
  <si>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</si>
  <si>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</si>
  <si>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</si>
  <si>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</si>
  <si>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</si>
  <si>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</si>
  <si>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</si>
  <si>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</si>
  <si>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</si>
  <si>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robux reimb{boy</t>
  </si>
  <si>
    <t>gov payout</t>
  </si>
  <si>
    <t>ikea 3Dec</t>
  </si>
  <si>
    <t>GCS</t>
  </si>
  <si>
    <t>~~ en route</t>
  </si>
  <si>
    <t>HSBC 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</si>
  <si>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</si>
  <si>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</si>
  <si>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</si>
  <si>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</si>
  <si>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</si>
  <si>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</si>
  <si>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</si>
  <si>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</si>
  <si>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</si>
  <si>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</si>
  <si>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</si>
  <si>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</si>
  <si>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</si>
  <si>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</si>
  <si>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</si>
  <si>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</si>
  <si>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</si>
  <si>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</si>
  <si>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</si>
  <si>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</si>
  <si>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</si>
  <si>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</si>
  <si>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</si>
  <si>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</si>
  <si>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</si>
  <si>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</si>
  <si>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</si>
  <si>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</si>
  <si>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</si>
  <si>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</si>
  <si>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</si>
  <si>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</si>
  <si>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</si>
  <si>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</si>
  <si>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</si>
  <si>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</si>
  <si>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</si>
  <si>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</si>
  <si>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</si>
  <si>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</si>
  <si>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</si>
  <si>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</si>
  <si>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</si>
  <si>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</si>
  <si>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</si>
  <si>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</si>
  <si>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</si>
  <si>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</si>
  <si>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sgBike 25Dec</t>
  </si>
  <si>
    <t>shopee refd#boy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</si>
  <si>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</si>
  <si>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</si>
  <si>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</si>
  <si>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</si>
  <si>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</si>
  <si>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</si>
  <si>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</si>
  <si>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</si>
  <si>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</si>
  <si>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</si>
  <si>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</si>
  <si>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</si>
  <si>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</si>
  <si>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</si>
  <si>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</si>
  <si>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</si>
  <si>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</si>
  <si>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</si>
  <si>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</si>
  <si>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>dental 7Jan</t>
  </si>
  <si>
    <t>EGA</t>
  </si>
  <si>
    <t>sushi@Tampines</t>
  </si>
  <si>
    <t>anyWheel 26Dec,1,8Jan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</si>
  <si>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</si>
  <si>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</si>
  <si>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</si>
  <si>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</si>
  <si>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</si>
  <si>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</si>
  <si>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</si>
  <si>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</si>
  <si>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</si>
  <si>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</si>
  <si>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</si>
  <si>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</si>
  <si>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</si>
  <si>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</si>
  <si>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mtg-I #actually17Jan</t>
  </si>
  <si>
    <t>cash#A-B unaffected</t>
  </si>
  <si>
    <t>boy's$$</t>
  </si>
  <si>
    <t>JemBBQ 14Jan ePay</t>
  </si>
  <si>
    <t>OC#526 {counter pay17Jan</t>
  </si>
  <si>
    <t>OC #526 #$500</t>
  </si>
  <si>
    <t>cTown</t>
  </si>
  <si>
    <t>ikea 14Jan</t>
  </si>
  <si>
    <t>gift card</t>
  </si>
  <si>
    <t xml:space="preserve">ATM till 19 Jan } </t>
  </si>
  <si>
    <t>PacLight #108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</si>
  <si>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</si>
  <si>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</si>
  <si>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</si>
  <si>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</si>
  <si>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</si>
  <si>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</si>
  <si>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</si>
  <si>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</si>
  <si>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</si>
  <si>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</si>
  <si>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</si>
  <si>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</si>
  <si>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</si>
  <si>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</si>
  <si>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</si>
  <si>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</si>
  <si>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</si>
  <si>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</si>
  <si>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</si>
  <si>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</si>
  <si>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</si>
  <si>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</si>
  <si>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</si>
  <si>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</si>
  <si>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</si>
  <si>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</si>
  <si>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</si>
  <si>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</si>
  <si>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</si>
  <si>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</si>
  <si>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</si>
  <si>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</si>
  <si>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</si>
  <si>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</si>
  <si>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locked down 
!! Impulsive</t>
  </si>
  <si>
    <t>shopee mosquito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</si>
  <si>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</si>
  <si>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</si>
  <si>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</si>
  <si>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</si>
  <si>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</si>
  <si>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</si>
  <si>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</si>
  <si>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</si>
  <si>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</si>
  <si>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</si>
  <si>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</si>
  <si>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</si>
  <si>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</si>
  <si>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</si>
  <si>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</si>
  <si>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</si>
  <si>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</si>
  <si>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</si>
  <si>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</si>
  <si>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</si>
  <si>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</si>
  <si>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</si>
  <si>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PacLight#Nov+Jan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</si>
  <si>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</si>
  <si>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</si>
  <si>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</si>
  <si>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</si>
  <si>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</si>
  <si>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</si>
  <si>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</si>
  <si>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fruits, nuts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</si>
  <si>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</si>
  <si>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</si>
  <si>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</si>
  <si>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</si>
  <si>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</si>
  <si>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</si>
  <si>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</si>
  <si>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</si>
  <si>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</si>
  <si>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</si>
  <si>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</si>
  <si>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</si>
  <si>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</si>
  <si>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</si>
  <si>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</si>
  <si>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</si>
  <si>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</si>
  <si>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</si>
  <si>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</si>
  <si>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</si>
  <si>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</si>
  <si>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</si>
  <si>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</si>
  <si>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</si>
  <si>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</si>
  <si>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</si>
  <si>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</si>
  <si>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</si>
  <si>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</si>
  <si>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</si>
  <si>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</si>
  <si>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</si>
  <si>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</si>
  <si>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</si>
  <si>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</si>
  <si>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</si>
  <si>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</si>
  <si>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</si>
  <si>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</si>
  <si>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</si>
  <si>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MyCarePlus</t>
  </si>
  <si>
    <t xml:space="preserve">Citi 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</si>
  <si>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</si>
  <si>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</si>
  <si>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</si>
  <si>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</si>
  <si>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</si>
  <si>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</si>
  <si>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</si>
  <si>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</si>
  <si>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</si>
  <si>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</si>
  <si>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</si>
  <si>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</si>
  <si>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</si>
  <si>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</si>
  <si>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</si>
  <si>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</si>
  <si>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</si>
  <si>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</si>
  <si>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RBFT.MB int cost</t>
  </si>
  <si>
    <t>PororoPark4TKX</t>
  </si>
  <si>
    <t>S27 1 share</t>
  </si>
  <si>
    <t>anyW#12Mar</t>
  </si>
  <si>
    <t>small</t>
  </si>
  <si>
    <t>as of Mar23:</t>
  </si>
  <si>
    <t>vivo #14Mar</t>
  </si>
  <si>
    <t>Dookki</t>
  </si>
  <si>
    <t>AntMan #MB</t>
  </si>
  <si>
    <t>EOD 15 Mar 2023</t>
  </si>
  <si>
    <t>Atome4wife #MB</t>
  </si>
  <si>
    <t>SgPow#Giro</t>
  </si>
  <si>
    <t>MyCarePlus #overflow</t>
  </si>
  <si>
    <t>MyCarePlus Giro</t>
  </si>
  <si>
    <t>ByeBye fever</t>
  </si>
  <si>
    <t xml:space="preserve">   ⬐outflow cat2explain A-B⬐</t>
  </si>
  <si>
    <t>iPhone14 #MB</t>
  </si>
  <si>
    <t>satay</t>
  </si>
  <si>
    <t>preceding events</t>
  </si>
  <si>
    <t>POSB153
#est</t>
  </si>
  <si>
    <t>SGD AUM</t>
  </si>
  <si>
    <t>HSBC
/ SCB</t>
  </si>
  <si>
    <t>SIA bought</t>
  </si>
  <si>
    <t>^ est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</si>
  <si>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</si>
  <si>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</si>
  <si>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</si>
  <si>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</si>
  <si>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</si>
  <si>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</si>
  <si>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</si>
  <si>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</si>
  <si>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</si>
  <si>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</si>
  <si>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</si>
  <si>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</si>
  <si>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</si>
  <si>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</si>
  <si>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9Apr 2meals</t>
  </si>
  <si>
    <t>Singlife</t>
  </si>
  <si>
    <t>CitiRBFT int end2end</t>
  </si>
  <si>
    <t>mtg ppp-Cash</t>
  </si>
  <si>
    <t>→ </t>
  </si>
  <si>
    <t>add 
up to</t>
  </si>
  <si>
    <t>EGA int extra</t>
  </si>
  <si>
    <t>^^4%@NTUC2021spends</t>
  </si>
  <si>
    <t>AdditionalPatronageRebate</t>
  </si>
  <si>
    <t>..B9b) meals</t>
  </si>
  <si>
    <t>sgBk4wife#MB</t>
  </si>
  <si>
    <t>mtg-I #17Apr</t>
  </si>
  <si>
    <t>BKTeh x2 #MB</t>
  </si>
  <si>
    <t>movie book`+condom</t>
  </si>
  <si>
    <t>EOD 15 Apr 2023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</si>
  <si>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</si>
  <si>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</si>
  <si>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</si>
  <si>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</si>
  <si>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</si>
  <si>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</si>
  <si>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</si>
  <si>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</si>
  <si>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</si>
  <si>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</si>
  <si>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</si>
  <si>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</si>
  <si>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</si>
  <si>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</si>
  <si>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</si>
  <si>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</si>
  <si>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</si>
  <si>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</si>
  <si>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</si>
  <si>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</si>
  <si>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</si>
  <si>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</si>
  <si>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</si>
  <si>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</si>
  <si>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</si>
  <si>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</si>
  <si>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</si>
  <si>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</si>
  <si>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</si>
  <si>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</si>
  <si>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base int</t>
  </si>
  <si>
    <t>msTpy</t>
  </si>
  <si>
    <t>mindS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</si>
  <si>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</si>
  <si>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</si>
  <si>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</si>
  <si>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</si>
  <si>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</si>
  <si>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</si>
  <si>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</si>
  <si>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</si>
  <si>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</si>
  <si>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</si>
  <si>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</si>
  <si>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</si>
  <si>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</si>
  <si>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</si>
  <si>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</si>
  <si>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</si>
  <si>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</si>
  <si>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</si>
  <si>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</si>
  <si>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</si>
  <si>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</si>
  <si>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</si>
  <si>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</si>
  <si>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</si>
  <si>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</si>
  <si>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</si>
  <si>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</si>
  <si>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foods</t>
  </si>
  <si>
    <t>suspended us`SSP</t>
  </si>
  <si>
    <t>boy camp`</t>
  </si>
  <si>
    <t>MRT#MB16May</t>
  </si>
  <si>
    <t>NikeIMM20+25May</t>
  </si>
  <si>
    <t>HsbcWelcome</t>
  </si>
  <si>
    <t>VED 18May</t>
  </si>
  <si>
    <t>cCard UOB</t>
  </si>
  <si>
    <t>Uniqlo #MB</t>
  </si>
  <si>
    <t>mtg保守est #offset by cpfOA</t>
  </si>
  <si>
    <t>AMK foodcourt</t>
  </si>
  <si>
    <t>EGA bonusDe-Ma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</si>
  <si>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</si>
  <si>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</si>
  <si>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</si>
  <si>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</si>
  <si>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</si>
  <si>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</si>
  <si>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</si>
  <si>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</si>
  <si>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</si>
  <si>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</si>
  <si>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</si>
  <si>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</si>
  <si>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</si>
  <si>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</si>
  <si>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</si>
  <si>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</si>
  <si>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</si>
  <si>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</si>
  <si>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</si>
  <si>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</si>
  <si>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</si>
  <si>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</si>
  <si>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</si>
  <si>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</si>
  <si>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</si>
  <si>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</si>
  <si>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</si>
  <si>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</si>
  <si>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</si>
  <si>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</si>
  <si>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</si>
  <si>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</si>
  <si>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</si>
  <si>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dear wife</t>
  </si>
  <si>
    <t>rmb144.08 ??</t>
  </si>
  <si>
    <t>boy NRIC #MB16/5</t>
  </si>
  <si>
    <t>from grandma</t>
  </si>
  <si>
    <t>from grandpa</t>
  </si>
  <si>
    <t>spent over 15D</t>
  </si>
  <si>
    <t>from Sgp</t>
  </si>
  <si>
    <t>delta</t>
  </si>
  <si>
    <t>bank 
acct bal</t>
  </si>
  <si>
    <t>excl. RMB 100 physical cash</t>
  </si>
  <si>
    <t>min bal</t>
  </si>
  <si>
    <t>comment</t>
  </si>
  <si>
    <t>above 100k</t>
  </si>
  <si>
    <t>below 5k</t>
  </si>
  <si>
    <t>ikea 2Jul</t>
  </si>
  <si>
    <t>Scoot #HSBC</t>
  </si>
  <si>
    <t>wife took</t>
  </si>
  <si>
    <t>EGA StepUp int</t>
  </si>
  <si>
    <t>EGA baseInt</t>
  </si>
  <si>
    <t>EgaBaseInt#24/4</t>
  </si>
  <si>
    <t>^^ lateMar ADB</t>
  </si>
  <si>
    <t>foodcourts</t>
  </si>
  <si>
    <t>taobao4inlaws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</si>
  <si>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</si>
  <si>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</si>
  <si>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</si>
  <si>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</si>
  <si>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</si>
  <si>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</si>
  <si>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</si>
  <si>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</si>
  <si>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</si>
  <si>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</si>
  <si>
    <t>piano x2</t>
  </si>
  <si>
    <t xml:space="preserve">boy meal#via妹 </t>
  </si>
  <si>
    <t>MrDIY 11Jul</t>
  </si>
  <si>
    <t>DrOng50%</t>
  </si>
  <si>
    <t>bonus ===</t>
  </si>
  <si>
    <t>xfer2wife #8k so far</t>
  </si>
  <si>
    <t>Ichiban21/6 #MB</t>
  </si>
  <si>
    <t>^^$1500 to avoid los`int</t>
  </si>
  <si>
    <t>..ikea food store</t>
  </si>
  <si>
    <t>Delifrance#MB</t>
  </si>
  <si>
    <t>STI ETF</t>
  </si>
  <si>
    <t>friedRice妹 #eccrd</t>
  </si>
  <si>
    <t>Ichiban14/7#ecc</t>
  </si>
  <si>
    <t>ECoastHK#ecc</t>
  </si>
  <si>
    <t>&gt;wife#int upto2022</t>
  </si>
  <si>
    <t>Miles.Y dessert</t>
  </si>
  <si>
    <t>McD#OC test</t>
  </si>
  <si>
    <t>FairPrice</t>
  </si>
  <si>
    <t>value$</t>
  </si>
  <si>
    <t>food4kids</t>
  </si>
  <si>
    <t>thick condom30</t>
  </si>
  <si>
    <t>Koufu4wife#ecc</t>
  </si>
  <si>
    <t>rmb via EGA</t>
  </si>
  <si>
    <t>VivoCity 8Jul</t>
  </si>
  <si>
    <t>mtg-I #last</t>
  </si>
  <si>
    <t>2k int paid up to 2022</t>
  </si>
  <si>
    <t>^^ eAdvice not eStmt tab</t>
  </si>
  <si>
    <t>sildenafil@AXS</t>
  </si>
  <si>
    <t>^^ temp incrase</t>
  </si>
  <si>
    <t>8k bonus-shar`completed</t>
  </si>
  <si>
    <t>anyW 23Jul</t>
  </si>
  <si>
    <t>MB cashback #SOM</t>
  </si>
  <si>
    <t>SgPow#SCB</t>
  </si>
  <si>
    <t>EGA BaseInt 24 Jul</t>
  </si>
  <si>
    <t>citiRBBT P+I 27Jul</t>
  </si>
  <si>
    <t>eccard #avail</t>
  </si>
  <si>
    <t>Spe ED ring</t>
  </si>
  <si>
    <t>Spe Tenga4ED/PE</t>
  </si>
  <si>
    <t>Spe pouch</t>
  </si>
  <si>
    <t>Pizza #MB</t>
  </si>
  <si>
    <t>ATM till  30Jul</t>
  </si>
  <si>
    <t>SGD cash from PEK</t>
  </si>
  <si>
    <t>~~ int</t>
  </si>
  <si>
    <t>~~ div++</t>
  </si>
  <si>
    <t>EGA BaseInt 24 Jun</t>
  </si>
  <si>
    <t xml:space="preserve">EGA BaseInt </t>
  </si>
  <si>
    <t>SpePay PPD4boy</t>
  </si>
  <si>
    <t>Spe buy1Jul</t>
  </si>
  <si>
    <t>citiRBBT P+I #Jun</t>
  </si>
  <si>
    <t>MOE #2mth</t>
  </si>
  <si>
    <t>Yishun21Jul #MBl</t>
  </si>
  <si>
    <t>&lt;- late Jul</t>
  </si>
  <si>
    <t>cab{Changi</t>
  </si>
  <si>
    <t>YishunUniqlo #MB</t>
  </si>
  <si>
    <t>Laz bambooMat #104</t>
  </si>
  <si>
    <t>MB bonus #SOM</t>
  </si>
  <si>
    <t>^^eAdvice not eStmt tab</t>
  </si>
  <si>
    <t>B7)ePay TaxLike</t>
  </si>
  <si>
    <t>MB RBBT P+I 31/7</t>
  </si>
  <si>
    <t>EOD 31 Jul 2023</t>
  </si>
  <si>
    <t>birthday#27一朵花</t>
  </si>
  <si>
    <t>Starhub*2 #EOM</t>
  </si>
  <si>
    <t>citiRBBT exit</t>
  </si>
  <si>
    <t>MB RBBT exit</t>
  </si>
  <si>
    <t>full EOD bal</t>
  </si>
  <si>
    <t>SCB ccard</t>
  </si>
  <si>
    <t xml:space="preserve">SCB  </t>
  </si>
  <si>
    <t>RBBT MB</t>
  </si>
  <si>
    <t>RBBT Citi</t>
  </si>
  <si>
    <t>RBBT HSBC</t>
  </si>
  <si>
    <t>FWD fire bx #104</t>
  </si>
  <si>
    <t>.. IRAS Giro 7Aug</t>
  </si>
  <si>
    <t>Saizeriya</t>
  </si>
  <si>
    <t>Watson's 10/8</t>
  </si>
  <si>
    <t>Watson's 7/8</t>
  </si>
  <si>
    <t>knob lock</t>
  </si>
  <si>
    <t>Domino#104</t>
  </si>
  <si>
    <t>boy taxi+meal</t>
  </si>
  <si>
    <t>VivoCity</t>
  </si>
  <si>
    <t>..B9b)ePay dining</t>
  </si>
  <si>
    <t>^^当作 income</t>
  </si>
  <si>
    <t>debt writeoff #notional</t>
  </si>
  <si>
    <t>tBill #20Feb</t>
  </si>
  <si>
    <t>boyBday#HongHu</t>
  </si>
  <si>
    <t>~~ 2submit</t>
  </si>
  <si>
    <t>SRS via#153</t>
  </si>
  <si>
    <t>Saizeriya #MB</t>
  </si>
  <si>
    <t>McD #20Aug</t>
  </si>
  <si>
    <t>taobao 13/8</t>
  </si>
  <si>
    <t>Watson 14/8</t>
  </si>
  <si>
    <t>Sushi #MB</t>
  </si>
  <si>
    <t>CGC 24/8 SCB</t>
  </si>
  <si>
    <t>ATM till  25Aug</t>
  </si>
  <si>
    <t>Bugis#SCB</t>
  </si>
  <si>
    <t>router</t>
  </si>
  <si>
    <t>aWheel 27Aug</t>
  </si>
  <si>
    <t>tBill #5Mar</t>
  </si>
  <si>
    <t>HSBC</t>
  </si>
  <si>
    <t>~~~~~ cCards</t>
  </si>
  <si>
    <t>eccard #based@ACL</t>
  </si>
  <si>
    <t>dietician SCB</t>
  </si>
  <si>
    <t>SCB #based@ACL↴</t>
  </si>
  <si>
    <t>door closer</t>
  </si>
  <si>
    <t>tBill upfront #7k</t>
  </si>
  <si>
    <t>tBill upfront #150k</t>
  </si>
  <si>
    <t>MYR368Legoland</t>
  </si>
  <si>
    <t>EOD 31 Aug 2023</t>
  </si>
  <si>
    <t>MB ccard #SOM</t>
  </si>
  <si>
    <t>nothing yet</t>
  </si>
  <si>
    <t>^^ 8th Giro</t>
  </si>
  <si>
    <t>eccard fee2waive</t>
  </si>
  <si>
    <t>SCB baseInt#1Sep</t>
  </si>
  <si>
    <t>SCB3.4ppa #1Sep</t>
  </si>
  <si>
    <t>Ichiban #SCB</t>
  </si>
  <si>
    <t>SCB #ACL↴</t>
  </si>
  <si>
    <t>MB RBBT-P#1Sep</t>
  </si>
  <si>
    <t>HsbcRBBT-P</t>
  </si>
  <si>
    <t>HsbcRBBT-I</t>
  </si>
  <si>
    <t>mtg-P #2M</t>
  </si>
  <si>
    <t>MB RBBT orig</t>
  </si>
  <si>
    <t>HsbcRBBT orig</t>
  </si>
  <si>
    <t>纸币 A-B unaffected</t>
  </si>
  <si>
    <t>F=FLI2 obligation</t>
  </si>
  <si>
    <t xml:space="preserve">^ $4053 increases EOM LL </t>
  </si>
  <si>
    <t>MCSA&gt;wcpay&gt;ChnM test</t>
  </si>
  <si>
    <t>.. IRAS{AXS{MCSA</t>
  </si>
  <si>
    <t>MCSA</t>
  </si>
  <si>
    <t>MCSA dCard</t>
  </si>
  <si>
    <t>NEX #MCSA</t>
  </si>
  <si>
    <t>SgPow#MCSA</t>
  </si>
  <si>
    <t>Lot1#MCSA</t>
  </si>
  <si>
    <t>RealYoga#MCSA</t>
  </si>
  <si>
    <t xml:space="preserve">MCSA int </t>
  </si>
  <si>
    <t>MCSA #keep 2k</t>
  </si>
  <si>
    <t>MCSA #$1500</t>
  </si>
  <si>
    <t>MCSA base int</t>
  </si>
  <si>
    <t>MCSA bonus</t>
  </si>
  <si>
    <t>MCSA baseInt#1Sep</t>
  </si>
  <si>
    <t xml:space="preserve">MCSA baseInt </t>
  </si>
  <si>
    <t>MCSA baseInt #Jun</t>
  </si>
  <si>
    <t>MCSA bonus10Aug</t>
  </si>
  <si>
    <t>MCSA baseInt #Jul</t>
  </si>
  <si>
    <t>MCSA bonus 8Jul</t>
  </si>
  <si>
    <t>lock removal #MCSA</t>
  </si>
  <si>
    <t>.. IRAS from MCSA</t>
  </si>
  <si>
    <t>.. IRAS{MCSA #Jul</t>
  </si>
  <si>
    <t>piano #MCSA</t>
  </si>
  <si>
    <t>boy}MCSA #taxi</t>
  </si>
  <si>
    <t>MCSA#$1500</t>
  </si>
  <si>
    <t>SgPow#MCSA/Axs</t>
  </si>
  <si>
    <t>TC #MCSACard$500</t>
  </si>
  <si>
    <t>BOC TD int@200k</t>
  </si>
  <si>
    <t>BravoFly #MCSA</t>
  </si>
  <si>
    <t>sMkt{me#BOC|DBS</t>
  </si>
  <si>
    <t>sMkt{me# SCB</t>
  </si>
  <si>
    <t>MCSA #$200</t>
  </si>
  <si>
    <t>sMkt{me#!!eccard</t>
  </si>
  <si>
    <t>sMkt{me#14Mar</t>
  </si>
  <si>
    <t>SgPow#MCSA Card+BillPay</t>
  </si>
  <si>
    <t>MB Ystar $10 min</t>
  </si>
  <si>
    <t>FLI2 prem#1</t>
  </si>
  <si>
    <t>Everyday+</t>
  </si>
  <si>
    <t>sMkt{me#MSCA</t>
  </si>
  <si>
    <t>~~ to submit</t>
  </si>
  <si>
    <t>bday gift #Laz#MB</t>
  </si>
  <si>
    <t>pill 24Aug #cash reimb</t>
  </si>
  <si>
    <t>Lagoon</t>
  </si>
  <si>
    <t>BMX bike</t>
  </si>
  <si>
    <t>boy dark cake</t>
  </si>
  <si>
    <t>boy Jollibee</t>
  </si>
  <si>
    <t>boy cakeHistory</t>
  </si>
  <si>
    <t>anyW 9/9,10/9</t>
  </si>
  <si>
    <t>DIR</t>
  </si>
  <si>
    <t>KFC@SunPlaza</t>
  </si>
  <si>
    <t>SunPlaza Kofu</t>
  </si>
  <si>
    <t>pizzaHut #MB</t>
  </si>
  <si>
    <t>~~ snapshot numbers should</t>
  </si>
  <si>
    <t>..NOT depend on non-snapshot</t>
  </si>
  <si>
    <t>C also items in coupleAsset tab</t>
  </si>
  <si>
    <t>citiRBBT-I #final</t>
  </si>
  <si>
    <t>ATM till 24 Sep</t>
  </si>
  <si>
    <t>taxi{changi</t>
  </si>
  <si>
    <t>Szrya</t>
  </si>
  <si>
    <t>sushi Funan</t>
  </si>
  <si>
    <t>Changi cosmetic</t>
  </si>
  <si>
    <t>DrNg 27Sep</t>
  </si>
  <si>
    <t>MB RBBT-P#28/9</t>
  </si>
  <si>
    <t>MB RBBT-I #1Sep</t>
  </si>
  <si>
    <t>DNC registry#SCB</t>
  </si>
  <si>
    <t>ESWT #SCB</t>
  </si>
  <si>
    <t>date+walnut #SCB</t>
  </si>
  <si>
    <t>GV #HSBC</t>
  </si>
  <si>
    <t>MB RBBT-I #28/9</t>
  </si>
  <si>
    <t>recon</t>
  </si>
  <si>
    <t>CIMB #over Aug</t>
  </si>
  <si>
    <t>B3) bx</t>
  </si>
  <si>
    <t>Poly 28/9</t>
  </si>
  <si>
    <t>CGC 8/9</t>
  </si>
  <si>
    <t>CGC 21/9</t>
  </si>
  <si>
    <t>tBill upfront 14/9</t>
  </si>
  <si>
    <t>tBill upfront 28/9</t>
  </si>
  <si>
    <t>B2) inv !!burn</t>
  </si>
  <si>
    <t>B4) ePay kids</t>
  </si>
  <si>
    <t>B4b) ePay wife</t>
  </si>
  <si>
    <t>.. IRAS{SCB 27/9</t>
  </si>
  <si>
    <t>.. IRAS{SCB 7/9</t>
  </si>
  <si>
    <t>gave wife</t>
  </si>
  <si>
    <t>B2)inv/还债 !burn</t>
  </si>
  <si>
    <t>FCF = LL - F - tBill</t>
  </si>
  <si>
    <t>barber</t>
  </si>
  <si>
    <t>Szrya 29/9</t>
  </si>
  <si>
    <t xml:space="preserve">EGA  </t>
  </si>
  <si>
    <t>^^ tBill ^^</t>
  </si>
  <si>
    <t xml:space="preserve">loan{wife </t>
  </si>
  <si>
    <t>Rev #HSBC</t>
  </si>
  <si>
    <t>FnF #MB</t>
  </si>
  <si>
    <t>CIMB,eccard,Citi sav+ccard: $0</t>
  </si>
  <si>
    <t>HsbcRBBTseen28/9</t>
  </si>
  <si>
    <t>steamboat 30/9</t>
  </si>
  <si>
    <t>MCSA baseInt#30Sep</t>
  </si>
  <si>
    <t>pill</t>
  </si>
  <si>
    <t>EOD 30 Sep 2023</t>
  </si>
  <si>
    <t>MB RBBT-P#</t>
  </si>
  <si>
    <t>MB RBBT-I #</t>
  </si>
  <si>
    <t>HsbcRBB</t>
  </si>
  <si>
    <t>Watson 11/9,14/9</t>
  </si>
  <si>
    <t xml:space="preserve">CIMB  </t>
  </si>
  <si>
    <t>F=FLI2earmark202403</t>
  </si>
  <si>
    <t>MCSA base#</t>
  </si>
  <si>
    <t>SCB base#postdated</t>
  </si>
  <si>
    <t>Starhub#SOM</t>
  </si>
  <si>
    <t>SgPow{MCSA</t>
  </si>
  <si>
    <t>eccard</t>
  </si>
  <si>
    <t>~~ keep $0 bal</t>
  </si>
  <si>
    <t>LL=total_6M</t>
  </si>
  <si>
    <t>-outflow over 44 D:</t>
  </si>
  <si>
    <t>LL=6M-liquid #mine</t>
  </si>
  <si>
    <t>Computhink #MCSA</t>
  </si>
  <si>
    <t>SgPow{billPay</t>
  </si>
  <si>
    <t>total inflow #post-tax</t>
  </si>
  <si>
    <t>foreign ccy assets</t>
  </si>
  <si>
    <t>mufu</t>
  </si>
  <si>
    <t>illiquid assets like FLI2,SRS</t>
  </si>
  <si>
    <t>blood</t>
  </si>
  <si>
    <t>blood x2</t>
  </si>
  <si>
    <t>MCSA bonus#9/10</t>
  </si>
  <si>
    <t>Luckin coffee</t>
  </si>
  <si>
    <t>SCB3.4#postdated</t>
  </si>
  <si>
    <t>taxi to XMS</t>
  </si>
  <si>
    <t>gift2R.Teo#UOB</t>
  </si>
  <si>
    <t>tBill upfront 12/10</t>
  </si>
  <si>
    <t>LL=6M_liquid #mine</t>
  </si>
  <si>
    <t>ATM till 14 Oct</t>
  </si>
  <si>
    <t>A/C MrChen</t>
  </si>
  <si>
    <t>FLI2 rebatez{Singlife</t>
  </si>
  <si>
    <t>GV #credit/Debit</t>
  </si>
  <si>
    <t>TC #108#18JunJul</t>
  </si>
  <si>
    <t>xfer2wife#hair</t>
  </si>
  <si>
    <t>Y2K phone</t>
  </si>
  <si>
    <t>Eileen 24/10 SCB</t>
  </si>
  <si>
    <t>HsbcRBBT-I#29D</t>
  </si>
  <si>
    <t>HsbcRBBT-I#32D</t>
  </si>
  <si>
    <t>NLB #MB</t>
  </si>
  <si>
    <t>NikeIMM #MB</t>
  </si>
  <si>
    <t>actual =</t>
  </si>
  <si>
    <t>tBill upfront 26/10</t>
  </si>
  <si>
    <t>scarlett #SCB</t>
  </si>
  <si>
    <t>^ assumed accepted</t>
  </si>
  <si>
    <t>纸币 #A-B unaffected</t>
  </si>
  <si>
    <t>SCB @ACL↴</t>
  </si>
  <si>
    <t>EGA 202305</t>
  </si>
  <si>
    <t>EGA 202306</t>
  </si>
  <si>
    <t>EGA 202307</t>
  </si>
  <si>
    <t>EGA 202308</t>
  </si>
  <si>
    <t>Watson #MB</t>
  </si>
  <si>
    <t>Daiso #104</t>
  </si>
  <si>
    <t>RnC dental#FnF</t>
  </si>
  <si>
    <t>zoo #FnF</t>
  </si>
  <si>
    <t>DomPizza #FnF</t>
  </si>
  <si>
    <t>BakKut #FnF</t>
  </si>
  <si>
    <t>Ichiban #FnF</t>
  </si>
  <si>
    <t>spee 30/10</t>
  </si>
  <si>
    <t>ikano #SCB</t>
  </si>
  <si>
    <t>diff</t>
  </si>
  <si>
    <t>Village#SCB</t>
  </si>
  <si>
    <t>DDDonki#SCB</t>
  </si>
  <si>
    <t>Szrya #FnF</t>
  </si>
  <si>
    <t>zoo toy#FnF</t>
  </si>
  <si>
    <t>Starhub#30/10</t>
  </si>
  <si>
    <t>EOD 30 Oct 2023</t>
  </si>
  <si>
    <t>MCSA bonus#</t>
  </si>
  <si>
    <t>HsbcRBBT-I#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</si>
  <si>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</si>
  <si>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r>
      <t xml:space="preserve">DBS 271 </t>
    </r>
    <r>
      <rPr>
        <sz val="10"/>
        <rFont val="Arial"/>
        <family val="2"/>
      </rPr>
      <t>#3k min</t>
    </r>
  </si>
  <si>
    <r>
      <t>Lagoon meal</t>
    </r>
    <r>
      <rPr>
        <sz val="10"/>
        <rFont val="Arial"/>
        <family val="2"/>
      </rPr>
      <t xml:space="preserve"> $20</t>
    </r>
  </si>
  <si>
    <t>anyW23,26,28,29/10</t>
  </si>
  <si>
    <t>fruits,snacks</t>
  </si>
  <si>
    <t>HDMI</t>
  </si>
  <si>
    <t>Rev</t>
  </si>
  <si>
    <t>Sukiya #FnF</t>
  </si>
  <si>
    <t>vivo BBQ*2 #SCB</t>
  </si>
  <si>
    <t>~~ rebate</t>
  </si>
  <si>
    <t>Unity reimb{Cigna</t>
  </si>
  <si>
    <t>FLI2 rebate{Cimb</t>
  </si>
  <si>
    <t>e$</t>
  </si>
  <si>
    <t>4Nov foods</t>
  </si>
  <si>
    <t xml:space="preserve">eccard, </t>
  </si>
  <si>
    <t>7Nov foods</t>
  </si>
  <si>
    <t>tBill upfront</t>
  </si>
  <si>
    <t>rand reward</t>
  </si>
  <si>
    <t>extra ezlinkTYX</t>
  </si>
  <si>
    <t>EGA1%</t>
  </si>
  <si>
    <t>fine4los`temper</t>
  </si>
  <si>
    <t>bike4meimei</t>
  </si>
  <si>
    <t>sgBike</t>
  </si>
  <si>
    <t>the rest</t>
  </si>
  <si>
    <t>see tBill tab</t>
  </si>
  <si>
    <t>eDreams#Rev</t>
  </si>
  <si>
    <t>bowl` #Rev</t>
  </si>
  <si>
    <t>date snack</t>
  </si>
  <si>
    <t>!yet=no tx yet</t>
  </si>
  <si>
    <t>!show=tx not refreshed</t>
  </si>
  <si>
    <t>40!yet</t>
  </si>
  <si>
    <t>fine4jaywalk]GBB+Punggol</t>
  </si>
  <si>
    <t>Cimb bonus 20/11</t>
  </si>
  <si>
    <t>Cimb base 31/10</t>
  </si>
  <si>
    <t>TownC</t>
  </si>
  <si>
    <t>ATM till 19 Nov</t>
  </si>
  <si>
    <t>anyW 1/11,4/11,14/11,19/11</t>
  </si>
  <si>
    <t>snowCity</t>
  </si>
  <si>
    <t>May~Sep</t>
  </si>
  <si>
    <t>tBill upfront 23Nov</t>
  </si>
  <si>
    <t>Nike#FnF</t>
  </si>
  <si>
    <t>taobao#FnF</t>
  </si>
  <si>
    <t>textbook #FnF</t>
  </si>
  <si>
    <t>haircut</t>
  </si>
  <si>
    <t>19Nov jogg</t>
  </si>
  <si>
    <t>DisneyLand #SCB</t>
  </si>
  <si>
    <t>MRT4Genn</t>
  </si>
  <si>
    <t>17-18 foods</t>
  </si>
  <si>
    <t>uniqlo #FnF</t>
  </si>
  <si>
    <t>PopularEdu</t>
  </si>
  <si>
    <t>26Nov jogg</t>
  </si>
  <si>
    <t>Szrya #SCB,FnF</t>
  </si>
  <si>
    <t>Sukiya #SCB,Rev</t>
  </si>
  <si>
    <t>SushiEx #SCB,FnF</t>
  </si>
  <si>
    <t>Hsbc.cn fee#2return</t>
  </si>
  <si>
    <t>OG#Rev</t>
  </si>
  <si>
    <t>EOD 29 Nov 2023</t>
  </si>
  <si>
    <t>Watson#FnF</t>
  </si>
  <si>
    <t>OG#SCB</t>
  </si>
  <si>
    <t>T3dutyfree</t>
  </si>
  <si>
    <t>scalp 7/11#FnF</t>
  </si>
  <si>
    <t>ChV:bakery</t>
  </si>
  <si>
    <t>ChV:Andes/89.7 #FnF</t>
  </si>
  <si>
    <t>ChV shops</t>
  </si>
  <si>
    <t>Starhub#30/11</t>
  </si>
  <si>
    <t>MCSA}cpfSA</t>
  </si>
  <si>
    <t>salon#FnF19/11</t>
  </si>
  <si>
    <t>JEM#FnF</t>
  </si>
  <si>
    <t>Cimb base 30/11</t>
  </si>
  <si>
    <t xml:space="preserve">Cimb bonus </t>
  </si>
  <si>
    <t>Cimib</t>
  </si>
  <si>
    <t>SgPow #billPay</t>
  </si>
  <si>
    <t>SgPow #dCard</t>
  </si>
  <si>
    <t>Ajisen#SCB</t>
  </si>
  <si>
    <t>夜市 #MCSA</t>
  </si>
  <si>
    <t>Omoomo#FnF</t>
  </si>
  <si>
    <t>GEL</t>
  </si>
  <si>
    <t>v 30/31D v</t>
  </si>
  <si>
    <t>spee x2</t>
  </si>
  <si>
    <t>taxi{T3</t>
  </si>
  <si>
    <t>dutyfree</t>
  </si>
  <si>
    <t>MyCare+#104</t>
  </si>
  <si>
    <t>KRTC#SCB</t>
  </si>
  <si>
    <t>slime{meimei acct</t>
  </si>
  <si>
    <t>Sengkang meal</t>
  </si>
  <si>
    <t>Sengkang meal#nets</t>
  </si>
  <si>
    <t>TownC 18/12</t>
  </si>
  <si>
    <t>eDream+DCC</t>
  </si>
  <si>
    <t>e$ int #19/12</t>
  </si>
  <si>
    <t>e$ int #30/11</t>
  </si>
  <si>
    <t>tBill upfront 20/12</t>
  </si>
  <si>
    <t>eccard, CIMB, Citi sav+ccard</t>
  </si>
  <si>
    <t>taobao 7/12</t>
  </si>
  <si>
    <t>pizza 13/12</t>
  </si>
  <si>
    <t>Sukiya 16/12</t>
  </si>
  <si>
    <t>Lot1 meal</t>
  </si>
  <si>
    <t>EGA 4.4ppa</t>
  </si>
  <si>
    <t>SIA 
book val</t>
  </si>
  <si>
    <t>Bugis 23/12</t>
  </si>
  <si>
    <t>Vivo 24/12</t>
  </si>
  <si>
    <t>ikea 25/12</t>
  </si>
  <si>
    <t>ikea café 25/12</t>
  </si>
  <si>
    <t>earphone #FnF</t>
  </si>
  <si>
    <t>urology 26/12</t>
  </si>
  <si>
    <t>anyW 4/12,17/12,18/12,21/12</t>
  </si>
  <si>
    <t>ATM till  24  Dec</t>
  </si>
  <si>
    <t>temp transfers to EGA before EGA exit</t>
  </si>
  <si>
    <t>^ FSM official snapshot</t>
  </si>
  <si>
    <t>2k transfer for hair loss in Oct</t>
  </si>
  <si>
    <t>5k bonus-sharing  completed</t>
  </si>
  <si>
    <t xml:space="preserve">3k own-money-transfer to #153 </t>
  </si>
  <si>
    <t xml:space="preserve">5k own-money-transfer to #153 </t>
  </si>
  <si>
    <t>Bugis 20/12</t>
  </si>
  <si>
    <t>CGC #MCSA 18/12</t>
  </si>
  <si>
    <t>Rev cashback</t>
  </si>
  <si>
    <t>pp ICA #SCB</t>
  </si>
  <si>
    <t>HsbcRBBT-I#26/12</t>
  </si>
  <si>
    <t>gov handout #108</t>
  </si>
  <si>
    <t>fairprice</t>
  </si>
  <si>
    <t>FWD homeBx 3Y</t>
  </si>
  <si>
    <t>hawker@ff</t>
  </si>
  <si>
    <t>EOD 28 Dec 2023</t>
  </si>
  <si>
    <t xml:space="preserve">TownC </t>
  </si>
  <si>
    <t>gave boy</t>
  </si>
  <si>
    <t>30/12 foods</t>
  </si>
  <si>
    <t>scsc @ACL↴</t>
  </si>
  <si>
    <t>ESTA $21 #SCSC</t>
  </si>
  <si>
    <t>B4a) ePay kids</t>
  </si>
  <si>
    <t>McD 30/12</t>
  </si>
  <si>
    <t>anyW 30/12</t>
  </si>
  <si>
    <t>1/1 foods</t>
  </si>
  <si>
    <t>e$ int #30/12</t>
  </si>
  <si>
    <t>115915 paid off</t>
  </si>
  <si>
    <t>Cigna #pill</t>
  </si>
  <si>
    <t>cigna #TB</t>
  </si>
  <si>
    <t>Icon#ZLH#MCSA</t>
  </si>
  <si>
    <t>Icon#TB#MCSA</t>
  </si>
  <si>
    <t>Icon#ZLH#scsc</t>
  </si>
  <si>
    <t>cigna #ZLH</t>
  </si>
  <si>
    <t>e$ int #12/1</t>
  </si>
  <si>
    <t>MCSA base</t>
  </si>
  <si>
    <t>Guardian#Rev</t>
  </si>
  <si>
    <t>Grab 5/1 #Rev</t>
  </si>
  <si>
    <t>sMkt{FnF up to ↴</t>
  </si>
  <si>
    <t>tBill upfront 18/1</t>
  </si>
  <si>
    <t>155!yet</t>
  </si>
  <si>
    <t>puff jacket USD&gt;S$</t>
  </si>
  <si>
    <t>SgPow #</t>
  </si>
  <si>
    <t>Sushi</t>
  </si>
  <si>
    <t>Uniq #FnF</t>
  </si>
  <si>
    <t>Kiseki #FnF</t>
  </si>
  <si>
    <t>fan remote</t>
  </si>
  <si>
    <t>T1 dutyfree #SCB</t>
  </si>
  <si>
    <t>T1 cab</t>
  </si>
  <si>
    <t>Macy #SCB</t>
  </si>
  <si>
    <t>tuition</t>
  </si>
  <si>
    <t>activeSG}boy</t>
  </si>
  <si>
    <t>80!yet</t>
  </si>
  <si>
    <t>Saize 13/1,27/1</t>
  </si>
  <si>
    <t>smartWatch#FnF</t>
  </si>
  <si>
    <t>Starhub# Dec</t>
  </si>
  <si>
    <t>Starhub #Jan</t>
  </si>
  <si>
    <t>S4 books #FnF</t>
  </si>
  <si>
    <t>cab #FnF</t>
  </si>
  <si>
    <t>ATM till  28 Jan</t>
  </si>
  <si>
    <t>mixue</t>
  </si>
  <si>
    <t>Ichiban 30/12,5/1</t>
  </si>
  <si>
    <t>noodle@ChnT</t>
  </si>
  <si>
    <t>51.45!show</t>
  </si>
  <si>
    <t>EOD 30 Jan 2024</t>
  </si>
  <si>
    <t>EOD xxx Feb 2024</t>
  </si>
  <si>
    <t>MCSA bonus#Jan</t>
  </si>
  <si>
    <t>DDDnki #MCSA</t>
  </si>
  <si>
    <t>DDDnki 20/1</t>
  </si>
  <si>
    <t>Icon #scsc</t>
  </si>
  <si>
    <t>wife</t>
  </si>
  <si>
    <t>e$ int #</t>
  </si>
  <si>
    <t>Starhub #</t>
  </si>
  <si>
    <t xml:space="preserve">anyW </t>
  </si>
  <si>
    <t>USD amounts posted</t>
  </si>
  <si>
    <t>SOD31Jan</t>
  </si>
  <si>
    <t>scsc{e$</t>
  </si>
  <si>
    <t>USD amounts</t>
  </si>
  <si>
    <t>tBill</t>
  </si>
  <si>
    <t>bonus5/8k</t>
  </si>
  <si>
    <t>HelloRide #FnF</t>
  </si>
  <si>
    <t>J8 meal 7/1</t>
  </si>
  <si>
    <t>shoe@ChnT</t>
  </si>
  <si>
    <t>年货</t>
  </si>
  <si>
    <t xml:space="preserve">scsc 1.5% </t>
  </si>
  <si>
    <t>SCSC1.5% #10/1</t>
  </si>
  <si>
    <t>SCSC1.5% of 1600</t>
  </si>
  <si>
    <t>SCSC1.5%</t>
  </si>
  <si>
    <t>SCSC1.5% #10/10</t>
  </si>
  <si>
    <t>SCSC roadshow 20/10</t>
  </si>
  <si>
    <t>SCSC promo#7Nov</t>
  </si>
  <si>
    <t>MB bonus</t>
  </si>
  <si>
    <t>Rev point redeem</t>
  </si>
  <si>
    <t>36!show</t>
  </si>
  <si>
    <t>212.55!show</t>
  </si>
  <si>
    <t>Eileen #FnF</t>
  </si>
  <si>
    <t xml:space="preserve">Rev  </t>
  </si>
  <si>
    <t xml:space="preserve">scsc  </t>
  </si>
  <si>
    <t xml:space="preserve">FnF  </t>
  </si>
  <si>
    <t>SOD 1Feb</t>
  </si>
  <si>
    <t>xfer2wife {108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</si>
</sst>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6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[$USD]\ #,##0"/>
    <numFmt numFmtId="178" formatCode="#,##0.000"/>
    <numFmt numFmtId="179" formatCode="mmm/d/yyyy"/>
    <numFmt numFmtId="180" formatCode="ddd\,d\-mm"/>
    <numFmt numFmtId="181" formatCode="0.0000"/>
    <numFmt numFmtId="182" formatCode="ddd\ d\-mmm"/>
    <numFmt numFmtId="183" formatCode="[$-409]d\-mmm\-yy;@"/>
  </numFmts>
  <fonts count="65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b/>
      <sz val="10"/>
      <color rgb="FF7030A0"/>
      <name val="Arial"/>
      <family val="2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theme="0" tint="-0.249977111117893"/>
      <name val="Arial"/>
      <family val="2"/>
    </font>
    <font>
      <b/>
      <sz val="8"/>
      <color theme="0"/>
      <name val="Arial"/>
      <family val="2"/>
    </font>
    <font>
      <sz val="11"/>
      <color rgb="FF444444"/>
      <name val="Arial"/>
      <family val="2"/>
    </font>
    <font>
      <sz val="9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6" tint="-0.249977111117893"/>
      <name val="Arial"/>
      <family val="2"/>
    </font>
    <font>
      <sz val="9"/>
      <color rgb="FF333333"/>
      <name val="Microsoft YaHei"/>
      <family val="2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/>
  </cellStyleXfs>
  <cellXfs count="764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19" fillId="0" borderId="0" xfId="0" applyNumberFormat="1" applyFont="1" applyAlignment="1">
      <alignment vertical="top"/>
    </xf>
    <xf numFmtId="49" fontId="19" fillId="0" borderId="0" xfId="0" quotePrefix="1" applyNumberFormat="1" applyFont="1" applyAlignment="1">
      <alignment vertical="top"/>
    </xf>
    <xf numFmtId="0" fontId="19" fillId="0" borderId="0" xfId="0" applyFont="1" applyAlignment="1">
      <alignment vertical="top"/>
    </xf>
    <xf numFmtId="0" fontId="19" fillId="0" borderId="0" xfId="0" applyNumberFormat="1" applyFont="1" applyAlignment="1">
      <alignment vertical="top"/>
    </xf>
    <xf numFmtId="1" fontId="19" fillId="0" borderId="0" xfId="0" applyNumberFormat="1" applyFont="1" applyAlignment="1">
      <alignment vertical="top"/>
    </xf>
    <xf numFmtId="49" fontId="19" fillId="0" borderId="0" xfId="0" applyNumberFormat="1" applyFont="1" applyAlignment="1">
      <alignment vertical="top" wrapText="1"/>
    </xf>
    <xf numFmtId="0" fontId="19" fillId="0" borderId="1" xfId="0" quotePrefix="1" applyFont="1" applyBorder="1" applyAlignment="1">
      <alignment vertical="top" wrapText="1"/>
    </xf>
    <xf numFmtId="0" fontId="19" fillId="0" borderId="3" xfId="0" applyNumberFormat="1" applyFont="1" applyBorder="1" applyAlignment="1">
      <alignment vertical="top"/>
    </xf>
    <xf numFmtId="49" fontId="19" fillId="0" borderId="2" xfId="0" quotePrefix="1" applyNumberFormat="1" applyFont="1" applyBorder="1" applyAlignment="1">
      <alignment vertical="top"/>
    </xf>
    <xf numFmtId="0" fontId="19" fillId="0" borderId="4" xfId="0" applyNumberFormat="1" applyFont="1" applyBorder="1" applyAlignment="1">
      <alignment vertical="top"/>
    </xf>
    <xf numFmtId="0" fontId="19" fillId="0" borderId="2" xfId="0" quotePrefix="1" applyFont="1" applyBorder="1" applyAlignment="1">
      <alignment vertical="top"/>
    </xf>
    <xf numFmtId="0" fontId="19" fillId="0" borderId="4" xfId="0" applyNumberFormat="1" applyFont="1" applyFill="1" applyBorder="1" applyAlignment="1">
      <alignment vertical="top"/>
    </xf>
    <xf numFmtId="0" fontId="19" fillId="0" borderId="5" xfId="0" applyFont="1" applyBorder="1" applyAlignment="1">
      <alignment vertical="top"/>
    </xf>
    <xf numFmtId="0" fontId="19" fillId="0" borderId="6" xfId="0" applyNumberFormat="1" applyFont="1" applyBorder="1" applyAlignment="1">
      <alignment vertical="top"/>
    </xf>
    <xf numFmtId="0" fontId="19" fillId="0" borderId="0" xfId="0" quotePrefix="1" applyFont="1" applyBorder="1" applyAlignment="1">
      <alignment vertical="top"/>
    </xf>
    <xf numFmtId="0" fontId="19" fillId="0" borderId="0" xfId="0" quotePrefix="1" applyFont="1" applyAlignment="1">
      <alignment vertical="top"/>
    </xf>
    <xf numFmtId="0" fontId="19" fillId="0" borderId="0" xfId="0" applyNumberFormat="1" applyFont="1" applyBorder="1" applyAlignment="1">
      <alignment vertical="top"/>
    </xf>
    <xf numFmtId="0" fontId="19" fillId="0" borderId="0" xfId="0" applyFont="1" applyBorder="1" applyAlignment="1">
      <alignment vertical="top"/>
    </xf>
    <xf numFmtId="0" fontId="19" fillId="0" borderId="0" xfId="0" applyNumberFormat="1" applyFont="1" applyBorder="1" applyAlignment="1">
      <alignment horizontal="right" vertical="top"/>
    </xf>
    <xf numFmtId="0" fontId="19" fillId="0" borderId="0" xfId="0" quotePrefix="1" applyFont="1" applyFill="1" applyBorder="1" applyAlignment="1">
      <alignment vertical="top"/>
    </xf>
    <xf numFmtId="0" fontId="19" fillId="0" borderId="0" xfId="0" applyNumberFormat="1" applyFont="1" applyFill="1" applyBorder="1" applyAlignment="1">
      <alignment horizontal="right" vertical="top"/>
    </xf>
    <xf numFmtId="15" fontId="19" fillId="0" borderId="0" xfId="0" applyNumberFormat="1" applyFont="1" applyAlignment="1">
      <alignment horizontal="right" vertical="top"/>
    </xf>
    <xf numFmtId="0" fontId="19" fillId="0" borderId="0" xfId="0" applyFont="1" applyAlignment="1">
      <alignment horizontal="right" vertical="top"/>
    </xf>
    <xf numFmtId="0" fontId="0" fillId="0" borderId="0" xfId="0" applyFont="1"/>
    <xf numFmtId="0" fontId="20" fillId="0" borderId="0" xfId="0" applyFont="1"/>
    <xf numFmtId="49" fontId="20" fillId="0" borderId="12" xfId="0" applyNumberFormat="1" applyFont="1" applyBorder="1"/>
    <xf numFmtId="0" fontId="20" fillId="0" borderId="12" xfId="0" applyNumberFormat="1" applyFont="1" applyBorder="1"/>
    <xf numFmtId="49" fontId="20" fillId="0" borderId="7" xfId="0" applyNumberFormat="1" applyFont="1" applyBorder="1"/>
    <xf numFmtId="0" fontId="20" fillId="0" borderId="7" xfId="0" applyFont="1" applyBorder="1"/>
    <xf numFmtId="49" fontId="20" fillId="0" borderId="7" xfId="0" applyNumberFormat="1" applyFont="1" applyFill="1" applyBorder="1"/>
    <xf numFmtId="0" fontId="0" fillId="4" borderId="0" xfId="0" applyFill="1" applyBorder="1"/>
    <xf numFmtId="49" fontId="21" fillId="0" borderId="0" xfId="0" quotePrefix="1" applyNumberFormat="1" applyFont="1" applyAlignment="1">
      <alignment vertical="top"/>
    </xf>
    <xf numFmtId="0" fontId="21" fillId="0" borderId="0" xfId="0" applyNumberFormat="1" applyFont="1" applyAlignment="1">
      <alignment vertical="top"/>
    </xf>
    <xf numFmtId="0" fontId="21" fillId="0" borderId="0" xfId="0" quotePrefix="1" applyFont="1" applyBorder="1" applyAlignment="1">
      <alignment vertical="top"/>
    </xf>
    <xf numFmtId="49" fontId="21" fillId="0" borderId="0" xfId="0" applyNumberFormat="1" applyFont="1" applyAlignment="1">
      <alignment vertical="top"/>
    </xf>
    <xf numFmtId="0" fontId="19" fillId="0" borderId="0" xfId="0" applyFont="1"/>
    <xf numFmtId="42" fontId="19" fillId="0" borderId="0" xfId="0" applyNumberFormat="1" applyFont="1"/>
    <xf numFmtId="0" fontId="21" fillId="0" borderId="0" xfId="0" applyFont="1"/>
    <xf numFmtId="0" fontId="22" fillId="0" borderId="0" xfId="0" applyFont="1"/>
    <xf numFmtId="0" fontId="22" fillId="0" borderId="0" xfId="0" quotePrefix="1" applyFont="1"/>
    <xf numFmtId="0" fontId="19" fillId="0" borderId="0" xfId="0" quotePrefix="1" applyFont="1"/>
    <xf numFmtId="0" fontId="21" fillId="0" borderId="0" xfId="0" quotePrefix="1" applyFont="1"/>
    <xf numFmtId="49" fontId="19" fillId="0" borderId="0" xfId="0" quotePrefix="1" applyNumberFormat="1" applyFont="1" applyAlignment="1">
      <alignment vertical="top" wrapText="1"/>
    </xf>
    <xf numFmtId="0" fontId="19" fillId="0" borderId="0" xfId="0" applyNumberFormat="1" applyFont="1"/>
    <xf numFmtId="49" fontId="20" fillId="0" borderId="7" xfId="0" applyNumberFormat="1" applyFont="1" applyBorder="1" applyAlignment="1">
      <alignment wrapText="1"/>
    </xf>
    <xf numFmtId="49" fontId="23" fillId="0" borderId="0" xfId="0" quotePrefix="1" applyNumberFormat="1" applyFont="1" applyAlignment="1">
      <alignment vertical="top"/>
    </xf>
    <xf numFmtId="0" fontId="23" fillId="0" borderId="0" xfId="0" quotePrefix="1" applyFont="1"/>
    <xf numFmtId="0" fontId="23" fillId="0" borderId="0" xfId="0" applyFont="1"/>
    <xf numFmtId="0" fontId="24" fillId="0" borderId="0" xfId="0" quotePrefix="1" applyFont="1"/>
    <xf numFmtId="0" fontId="25" fillId="0" borderId="0" xfId="0" applyFont="1"/>
    <xf numFmtId="0" fontId="25" fillId="0" borderId="0" xfId="0" quotePrefix="1" applyFont="1"/>
    <xf numFmtId="0" fontId="26" fillId="0" borderId="0" xfId="0" applyFont="1"/>
    <xf numFmtId="49" fontId="26" fillId="0" borderId="0" xfId="0" applyNumberFormat="1" applyFont="1" applyAlignment="1">
      <alignment vertical="top"/>
    </xf>
    <xf numFmtId="0" fontId="26" fillId="0" borderId="0" xfId="0" quotePrefix="1" applyFont="1"/>
    <xf numFmtId="16" fontId="25" fillId="0" borderId="0" xfId="0" applyNumberFormat="1" applyFont="1"/>
    <xf numFmtId="4" fontId="26" fillId="0" borderId="0" xfId="0" applyNumberFormat="1" applyFont="1"/>
    <xf numFmtId="3" fontId="25" fillId="0" borderId="0" xfId="0" applyNumberFormat="1" applyFont="1"/>
    <xf numFmtId="49" fontId="25" fillId="0" borderId="7" xfId="0" applyNumberFormat="1" applyFont="1" applyBorder="1"/>
    <xf numFmtId="0" fontId="25" fillId="0" borderId="7" xfId="0" applyFont="1" applyBorder="1"/>
    <xf numFmtId="49" fontId="25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0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27" fillId="0" borderId="0" xfId="0" applyFont="1"/>
    <xf numFmtId="0" fontId="28" fillId="0" borderId="0" xfId="0" applyFont="1"/>
    <xf numFmtId="0" fontId="28" fillId="0" borderId="0" xfId="0" quotePrefix="1" applyFont="1"/>
    <xf numFmtId="49" fontId="26" fillId="0" borderId="0" xfId="0" quotePrefix="1" applyNumberFormat="1" applyFont="1" applyAlignment="1">
      <alignment vertical="top"/>
    </xf>
    <xf numFmtId="49" fontId="26" fillId="0" borderId="0" xfId="0" quotePrefix="1" applyNumberFormat="1" applyFont="1" applyAlignment="1">
      <alignment vertical="top" wrapText="1"/>
    </xf>
    <xf numFmtId="0" fontId="26" fillId="0" borderId="0" xfId="0" quotePrefix="1" applyFont="1" applyAlignment="1">
      <alignment wrapText="1"/>
    </xf>
    <xf numFmtId="0" fontId="25" fillId="0" borderId="0" xfId="0" applyFont="1" applyAlignment="1">
      <alignment wrapText="1"/>
    </xf>
    <xf numFmtId="49" fontId="19" fillId="0" borderId="0" xfId="0" quotePrefix="1" applyNumberFormat="1" applyFont="1" applyAlignment="1">
      <alignment wrapText="1"/>
    </xf>
    <xf numFmtId="0" fontId="29" fillId="0" borderId="0" xfId="0" applyFont="1"/>
    <xf numFmtId="0" fontId="30" fillId="0" borderId="0" xfId="0" quotePrefix="1" applyFont="1"/>
    <xf numFmtId="0" fontId="30" fillId="0" borderId="0" xfId="0" applyFont="1"/>
    <xf numFmtId="0" fontId="31" fillId="0" borderId="0" xfId="0" quotePrefix="1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2" fillId="0" borderId="0" xfId="0" applyNumberFormat="1" applyFont="1"/>
    <xf numFmtId="0" fontId="32" fillId="0" borderId="0" xfId="0" applyFont="1"/>
    <xf numFmtId="0" fontId="33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4" fillId="0" borderId="0" xfId="0" applyFont="1" applyFill="1"/>
    <xf numFmtId="0" fontId="26" fillId="0" borderId="7" xfId="0" applyFont="1" applyFill="1" applyBorder="1"/>
    <xf numFmtId="0" fontId="26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5" fillId="0" borderId="0" xfId="0" applyNumberFormat="1" applyFont="1"/>
    <xf numFmtId="3" fontId="35" fillId="0" borderId="7" xfId="0" applyNumberFormat="1" applyFont="1" applyBorder="1"/>
    <xf numFmtId="42" fontId="0" fillId="0" borderId="7" xfId="0" applyNumberFormat="1" applyBorder="1"/>
    <xf numFmtId="4" fontId="0" fillId="0" borderId="0" xfId="0" applyNumberFormat="1" applyFont="1"/>
    <xf numFmtId="0" fontId="36" fillId="0" borderId="0" xfId="0" applyFont="1"/>
    <xf numFmtId="0" fontId="37" fillId="0" borderId="0" xfId="0" applyFont="1"/>
    <xf numFmtId="0" fontId="39" fillId="0" borderId="0" xfId="0" applyFont="1"/>
    <xf numFmtId="0" fontId="0" fillId="0" borderId="0" xfId="0" applyFont="1" applyAlignment="1">
      <alignment wrapText="1"/>
    </xf>
    <xf numFmtId="0" fontId="40" fillId="0" borderId="0" xfId="0" applyFont="1"/>
    <xf numFmtId="0" fontId="41" fillId="0" borderId="0" xfId="0" applyFont="1"/>
    <xf numFmtId="0" fontId="41" fillId="0" borderId="0" xfId="0" applyFont="1" applyFill="1" applyBorder="1"/>
    <xf numFmtId="0" fontId="18" fillId="6" borderId="7" xfId="0" applyFont="1" applyFill="1" applyBorder="1"/>
    <xf numFmtId="166" fontId="18" fillId="6" borderId="7" xfId="0" applyNumberFormat="1" applyFont="1" applyFill="1" applyBorder="1"/>
    <xf numFmtId="3" fontId="18" fillId="6" borderId="7" xfId="0" applyNumberFormat="1" applyFont="1" applyFill="1" applyBorder="1"/>
    <xf numFmtId="49" fontId="26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26" fillId="0" borderId="0" xfId="0" applyFont="1" applyFill="1"/>
    <xf numFmtId="0" fontId="29" fillId="0" borderId="0" xfId="0" applyFont="1" applyFill="1"/>
    <xf numFmtId="0" fontId="23" fillId="0" borderId="0" xfId="0" applyFont="1" applyFill="1"/>
    <xf numFmtId="0" fontId="37" fillId="0" borderId="0" xfId="0" applyFont="1" applyFill="1"/>
    <xf numFmtId="0" fontId="20" fillId="0" borderId="0" xfId="0" applyFont="1" applyFill="1"/>
    <xf numFmtId="0" fontId="41" fillId="0" borderId="0" xfId="0" applyFont="1" applyFill="1"/>
    <xf numFmtId="3" fontId="0" fillId="0" borderId="0" xfId="0" applyNumberFormat="1" applyFont="1"/>
    <xf numFmtId="3" fontId="0" fillId="0" borderId="0" xfId="0" applyNumberFormat="1" applyFont="1" applyFill="1" applyBorder="1"/>
    <xf numFmtId="0" fontId="0" fillId="0" borderId="0" xfId="0" applyNumberFormat="1" applyFont="1" applyFill="1" applyBorder="1"/>
    <xf numFmtId="164" fontId="0" fillId="0" borderId="0" xfId="0" applyNumberFormat="1"/>
    <xf numFmtId="4" fontId="0" fillId="0" borderId="0" xfId="0" applyNumberFormat="1" applyFont="1" applyFill="1" applyBorder="1"/>
    <xf numFmtId="0" fontId="38" fillId="0" borderId="0" xfId="0" applyFont="1" applyFill="1"/>
    <xf numFmtId="0" fontId="1" fillId="0" borderId="0" xfId="0" applyFont="1"/>
    <xf numFmtId="0" fontId="42" fillId="0" borderId="0" xfId="0" applyFont="1" applyFill="1"/>
    <xf numFmtId="0" fontId="36" fillId="0" borderId="0" xfId="0" applyFont="1" applyFill="1"/>
    <xf numFmtId="0" fontId="40" fillId="0" borderId="0" xfId="0" applyFont="1" applyFill="1"/>
    <xf numFmtId="0" fontId="43" fillId="0" borderId="0" xfId="0" applyFont="1" applyFill="1"/>
    <xf numFmtId="0" fontId="44" fillId="0" borderId="0" xfId="0" applyFont="1" applyFill="1"/>
    <xf numFmtId="0" fontId="39" fillId="0" borderId="0" xfId="0" applyFont="1" applyFill="1"/>
    <xf numFmtId="49" fontId="0" fillId="0" borderId="0" xfId="0" applyNumberFormat="1" applyFont="1" applyFill="1" applyAlignment="1">
      <alignment vertical="top"/>
    </xf>
    <xf numFmtId="0" fontId="18" fillId="13" borderId="7" xfId="0" applyNumberFormat="1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0" fontId="0" fillId="0" borderId="0" xfId="0" applyNumberFormat="1" applyFont="1" applyFill="1" applyAlignment="1">
      <alignment horizontal="right"/>
    </xf>
    <xf numFmtId="39" fontId="0" fillId="0" borderId="0" xfId="1" applyNumberFormat="1" applyFont="1" applyFill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4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39" fillId="0" borderId="0" xfId="0" applyFont="1" applyFill="1" applyBorder="1"/>
    <xf numFmtId="39" fontId="0" fillId="0" borderId="0" xfId="1" applyNumberFormat="1" applyFont="1"/>
    <xf numFmtId="0" fontId="44" fillId="0" borderId="0" xfId="0" applyFont="1"/>
    <xf numFmtId="0" fontId="43" fillId="0" borderId="0" xfId="0" applyFont="1"/>
    <xf numFmtId="171" fontId="0" fillId="0" borderId="0" xfId="0" applyNumberFormat="1" applyFont="1" applyFill="1" applyBorder="1" applyAlignment="1">
      <alignment horizontal="right"/>
    </xf>
    <xf numFmtId="0" fontId="45" fillId="0" borderId="0" xfId="0" applyFont="1"/>
    <xf numFmtId="0" fontId="35" fillId="0" borderId="0" xfId="0" applyFont="1"/>
    <xf numFmtId="0" fontId="46" fillId="0" borderId="0" xfId="0" applyFont="1"/>
    <xf numFmtId="0" fontId="47" fillId="0" borderId="0" xfId="0" applyFont="1"/>
    <xf numFmtId="0" fontId="48" fillId="0" borderId="0" xfId="0" applyFont="1"/>
    <xf numFmtId="0" fontId="49" fillId="0" borderId="0" xfId="0" applyFont="1"/>
    <xf numFmtId="0" fontId="50" fillId="0" borderId="0" xfId="0" applyFont="1"/>
    <xf numFmtId="0" fontId="51" fillId="0" borderId="0" xfId="0" applyFont="1"/>
    <xf numFmtId="172" fontId="0" fillId="0" borderId="7" xfId="0" applyNumberFormat="1" applyFont="1" applyFill="1" applyBorder="1" applyAlignment="1">
      <alignment horizontal="right"/>
    </xf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0" fontId="52" fillId="0" borderId="0" xfId="0" applyFont="1"/>
    <xf numFmtId="3" fontId="1" fillId="0" borderId="0" xfId="0" applyNumberFormat="1" applyFont="1"/>
    <xf numFmtId="0" fontId="53" fillId="0" borderId="0" xfId="0" applyFont="1"/>
    <xf numFmtId="0" fontId="52" fillId="0" borderId="0" xfId="0" applyFont="1" applyFill="1"/>
    <xf numFmtId="0" fontId="35" fillId="0" borderId="0" xfId="0" applyFont="1" applyFill="1" applyBorder="1" applyAlignment="1">
      <alignment horizontal="left"/>
    </xf>
    <xf numFmtId="172" fontId="0" fillId="0" borderId="7" xfId="0" applyNumberFormat="1" applyFont="1" applyFill="1" applyBorder="1" applyAlignment="1">
      <alignment horizontal="left"/>
    </xf>
    <xf numFmtId="2" fontId="0" fillId="0" borderId="0" xfId="0" applyNumberFormat="1"/>
    <xf numFmtId="3" fontId="0" fillId="0" borderId="15" xfId="0" applyNumberFormat="1" applyFont="1" applyBorder="1"/>
    <xf numFmtId="3" fontId="0" fillId="0" borderId="0" xfId="0" applyNumberFormat="1" applyFont="1" applyBorder="1"/>
    <xf numFmtId="0" fontId="0" fillId="0" borderId="0" xfId="0" applyFont="1" applyBorder="1" applyAlignment="1">
      <alignment wrapText="1"/>
    </xf>
    <xf numFmtId="4" fontId="0" fillId="0" borderId="0" xfId="0" applyNumberFormat="1" applyFont="1" applyAlignment="1">
      <alignment horizontal="right"/>
    </xf>
    <xf numFmtId="3" fontId="35" fillId="0" borderId="0" xfId="0" applyNumberFormat="1" applyFont="1" applyFill="1"/>
    <xf numFmtId="4" fontId="0" fillId="0" borderId="3" xfId="0" applyNumberFormat="1" applyFont="1" applyBorder="1" applyAlignment="1">
      <alignment horizontal="right"/>
    </xf>
    <xf numFmtId="4" fontId="0" fillId="0" borderId="4" xfId="0" applyNumberFormat="1" applyFont="1" applyBorder="1" applyAlignment="1">
      <alignment horizontal="righ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4" fontId="0" fillId="0" borderId="0" xfId="0" applyNumberFormat="1" applyFont="1" applyBorder="1" applyAlignment="1">
      <alignment horizontal="right"/>
    </xf>
    <xf numFmtId="0" fontId="39" fillId="0" borderId="8" xfId="0" applyFont="1" applyBorder="1"/>
    <xf numFmtId="0" fontId="39" fillId="0" borderId="22" xfId="0" applyFont="1" applyBorder="1"/>
    <xf numFmtId="0" fontId="39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0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0" fillId="0" borderId="0" xfId="0" applyNumberFormat="1" applyFont="1" applyFill="1" applyBorder="1" applyAlignment="1"/>
    <xf numFmtId="6" fontId="43" fillId="0" borderId="0" xfId="0" applyNumberFormat="1" applyFont="1" applyFill="1" applyBorder="1" applyAlignment="1">
      <alignment horizontal="left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18" fillId="6" borderId="7" xfId="0" applyNumberFormat="1" applyFont="1" applyFill="1" applyBorder="1" applyAlignment="1">
      <alignment horizontal="center"/>
    </xf>
    <xf numFmtId="177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54" fillId="0" borderId="7" xfId="0" applyNumberFormat="1" applyFont="1" applyBorder="1"/>
    <xf numFmtId="166" fontId="0" fillId="0" borderId="7" xfId="0" applyNumberFormat="1" applyFont="1" applyFill="1" applyBorder="1"/>
    <xf numFmtId="3" fontId="33" fillId="0" borderId="7" xfId="0" applyNumberFormat="1" applyFont="1" applyBorder="1"/>
    <xf numFmtId="166" fontId="33" fillId="0" borderId="7" xfId="0" applyNumberFormat="1" applyFont="1" applyFill="1" applyBorder="1"/>
    <xf numFmtId="6" fontId="32" fillId="0" borderId="0" xfId="0" applyNumberFormat="1" applyFont="1" applyBorder="1" applyAlignment="1">
      <alignment horizontal="left"/>
    </xf>
    <xf numFmtId="6" fontId="32" fillId="0" borderId="0" xfId="0" applyNumberFormat="1" applyFont="1" applyFill="1" applyBorder="1" applyAlignment="1">
      <alignment horizontal="left"/>
    </xf>
    <xf numFmtId="3" fontId="35" fillId="0" borderId="0" xfId="0" applyNumberFormat="1" applyFont="1"/>
    <xf numFmtId="178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18" fillId="8" borderId="7" xfId="0" applyFont="1" applyFill="1" applyBorder="1"/>
    <xf numFmtId="0" fontId="18" fillId="20" borderId="7" xfId="0" applyFont="1" applyFill="1" applyBorder="1"/>
    <xf numFmtId="0" fontId="18" fillId="21" borderId="7" xfId="0" applyFont="1" applyFill="1" applyBorder="1"/>
    <xf numFmtId="0" fontId="57" fillId="21" borderId="7" xfId="0" applyFont="1" applyFill="1" applyBorder="1"/>
    <xf numFmtId="0" fontId="0" fillId="0" borderId="0" xfId="0"/>
    <xf numFmtId="179" fontId="10" fillId="0" borderId="0" xfId="0" applyNumberFormat="1" applyFont="1"/>
    <xf numFmtId="179" fontId="18" fillId="21" borderId="7" xfId="0" applyNumberFormat="1" applyFont="1" applyFill="1" applyBorder="1"/>
    <xf numFmtId="179" fontId="0" fillId="0" borderId="7" xfId="0" applyNumberFormat="1" applyBorder="1"/>
    <xf numFmtId="179" fontId="0" fillId="0" borderId="0" xfId="0" applyNumberFormat="1"/>
    <xf numFmtId="3" fontId="0" fillId="0" borderId="7" xfId="0" applyNumberFormat="1" applyFont="1" applyBorder="1"/>
    <xf numFmtId="3" fontId="38" fillId="0" borderId="7" xfId="0" applyNumberFormat="1" applyFont="1" applyBorder="1"/>
    <xf numFmtId="166" fontId="0" fillId="0" borderId="7" xfId="0" applyNumberFormat="1" applyFont="1" applyBorder="1"/>
    <xf numFmtId="166" fontId="56" fillId="0" borderId="7" xfId="0" applyNumberFormat="1" applyFont="1" applyBorder="1"/>
    <xf numFmtId="3" fontId="56" fillId="0" borderId="7" xfId="0" applyNumberFormat="1" applyFont="1" applyBorder="1"/>
    <xf numFmtId="166" fontId="33" fillId="0" borderId="7" xfId="0" applyNumberFormat="1" applyFont="1" applyBorder="1"/>
    <xf numFmtId="0" fontId="43" fillId="0" borderId="0" xfId="0" applyFont="1" applyFill="1" applyBorder="1" applyAlignment="1"/>
    <xf numFmtId="0" fontId="35" fillId="0" borderId="0" xfId="0" applyFont="1" applyFill="1" applyBorder="1" applyAlignment="1"/>
    <xf numFmtId="0" fontId="0" fillId="0" borderId="0" xfId="0"/>
    <xf numFmtId="3" fontId="18" fillId="22" borderId="0" xfId="0" applyNumberFormat="1" applyFont="1" applyFill="1"/>
    <xf numFmtId="3" fontId="18" fillId="22" borderId="8" xfId="0" applyNumberFormat="1" applyFont="1" applyFill="1" applyBorder="1" applyAlignment="1">
      <alignment horizontal="center"/>
    </xf>
    <xf numFmtId="3" fontId="18" fillId="22" borderId="8" xfId="0" applyNumberFormat="1" applyFont="1" applyFill="1" applyBorder="1" applyAlignment="1">
      <alignment horizontal="center" wrapText="1"/>
    </xf>
    <xf numFmtId="0" fontId="18" fillId="22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6" fontId="45" fillId="0" borderId="0" xfId="0" applyNumberFormat="1" applyFont="1" applyFill="1" applyBorder="1" applyAlignment="1">
      <alignment horizontal="left"/>
    </xf>
    <xf numFmtId="0" fontId="0" fillId="0" borderId="0" xfId="0" applyAlignment="1">
      <alignment horizontal="center"/>
    </xf>
    <xf numFmtId="3" fontId="0" fillId="0" borderId="7" xfId="0" applyNumberFormat="1" applyBorder="1" applyAlignment="1">
      <alignment horizontal="center"/>
    </xf>
    <xf numFmtId="6" fontId="0" fillId="0" borderId="7" xfId="0" applyNumberFormat="1" applyBorder="1"/>
    <xf numFmtId="0" fontId="0" fillId="0" borderId="0" xfId="0" applyNumberFormat="1" applyFont="1" applyAlignment="1">
      <alignment horizontal="right"/>
    </xf>
    <xf numFmtId="0" fontId="0" fillId="0" borderId="0" xfId="0" applyFont="1" applyAlignment="1">
      <alignment horizontal="center"/>
    </xf>
    <xf numFmtId="16" fontId="0" fillId="0" borderId="0" xfId="0" applyNumberFormat="1" applyFont="1"/>
    <xf numFmtId="10" fontId="0" fillId="0" borderId="0" xfId="0" applyNumberFormat="1" applyFont="1"/>
    <xf numFmtId="39" fontId="0" fillId="0" borderId="0" xfId="0" applyNumberFormat="1" applyFont="1"/>
    <xf numFmtId="39" fontId="59" fillId="0" borderId="0" xfId="0" applyNumberFormat="1" applyFont="1" applyFill="1" applyAlignment="1">
      <alignment horizontal="center"/>
    </xf>
    <xf numFmtId="0" fontId="0" fillId="0" borderId="0" xfId="0"/>
    <xf numFmtId="0" fontId="0" fillId="0" borderId="0" xfId="0"/>
    <xf numFmtId="4" fontId="59" fillId="0" borderId="0" xfId="0" applyNumberFormat="1" applyFont="1" applyAlignment="1">
      <alignment horizontal="right"/>
    </xf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6" xfId="0" applyFont="1" applyBorder="1" applyAlignment="1">
      <alignment horizontal="right"/>
    </xf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61" fillId="0" borderId="0" xfId="0" applyFont="1"/>
    <xf numFmtId="0" fontId="0" fillId="0" borderId="0" xfId="0"/>
    <xf numFmtId="0" fontId="0" fillId="0" borderId="0" xfId="0" applyAlignment="1">
      <alignment wrapText="1"/>
    </xf>
    <xf numFmtId="180" fontId="0" fillId="0" borderId="0" xfId="0" applyNumberFormat="1"/>
    <xf numFmtId="4" fontId="59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0" fillId="0" borderId="0" xfId="0"/>
    <xf numFmtId="181" fontId="0" fillId="0" borderId="0" xfId="0" applyNumberFormat="1"/>
    <xf numFmtId="0" fontId="0" fillId="0" borderId="0" xfId="0"/>
    <xf numFmtId="0" fontId="0" fillId="15" borderId="0" xfId="0" applyNumberFormat="1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/>
    <xf numFmtId="4" fontId="62" fillId="0" borderId="0" xfId="0" applyNumberFormat="1" applyFont="1" applyAlignment="1">
      <alignment horizontal="left"/>
    </xf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181" fontId="0" fillId="0" borderId="0" xfId="0" applyNumberFormat="1" applyBorder="1"/>
    <xf numFmtId="0" fontId="0" fillId="0" borderId="0" xfId="0" applyFill="1" applyBorder="1"/>
    <xf numFmtId="182" fontId="0" fillId="0" borderId="0" xfId="0" applyNumberFormat="1" applyFont="1"/>
    <xf numFmtId="182" fontId="0" fillId="0" borderId="0" xfId="0" applyNumberFormat="1"/>
    <xf numFmtId="182" fontId="0" fillId="0" borderId="0" xfId="0" applyNumberFormat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/>
    <xf numFmtId="166" fontId="0" fillId="0" borderId="0" xfId="0" applyNumberFormat="1" applyFont="1" applyBorder="1"/>
    <xf numFmtId="2" fontId="0" fillId="0" borderId="0" xfId="0" applyNumberFormat="1" applyFont="1"/>
    <xf numFmtId="0" fontId="0" fillId="9" borderId="0" xfId="0" applyFont="1" applyFill="1"/>
    <xf numFmtId="0" fontId="0" fillId="23" borderId="0" xfId="0" applyFont="1" applyFill="1"/>
    <xf numFmtId="0" fontId="20" fillId="0" borderId="11" xfId="0" applyFont="1" applyBorder="1"/>
    <xf numFmtId="0" fontId="63" fillId="0" borderId="0" xfId="0" applyFont="1"/>
    <xf numFmtId="170" fontId="0" fillId="0" borderId="0" xfId="0" applyNumberFormat="1" applyFont="1"/>
    <xf numFmtId="3" fontId="0" fillId="0" borderId="1" xfId="0" applyNumberFormat="1" applyFont="1" applyBorder="1"/>
    <xf numFmtId="183" fontId="0" fillId="0" borderId="3" xfId="0" applyNumberFormat="1" applyFont="1" applyFill="1" applyBorder="1"/>
    <xf numFmtId="3" fontId="0" fillId="0" borderId="2" xfId="0" applyNumberFormat="1" applyFont="1" applyBorder="1"/>
    <xf numFmtId="183" fontId="0" fillId="0" borderId="4" xfId="0" applyNumberFormat="1" applyFont="1" applyFill="1" applyBorder="1"/>
    <xf numFmtId="3" fontId="0" fillId="0" borderId="6" xfId="0" applyNumberFormat="1" applyFont="1" applyBorder="1"/>
    <xf numFmtId="4" fontId="1" fillId="0" borderId="0" xfId="0" applyNumberFormat="1" applyFont="1" applyFill="1" applyBorder="1"/>
    <xf numFmtId="0" fontId="1" fillId="0" borderId="0" xfId="0" applyNumberFormat="1" applyFont="1" applyBorder="1" applyAlignment="1">
      <alignment horizontal="right"/>
    </xf>
    <xf numFmtId="4" fontId="64" fillId="0" borderId="0" xfId="0" applyNumberFormat="1" applyFont="1"/>
    <xf numFmtId="0" fontId="26" fillId="10" borderId="0" xfId="0" quotePrefix="1" applyFont="1" applyFill="1" applyAlignment="1">
      <alignment horizontal="center"/>
    </xf>
    <xf numFmtId="0" fontId="0" fillId="0" borderId="0" xfId="0" applyFont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165" fontId="0" fillId="0" borderId="0" xfId="0" applyNumberFormat="1" applyFont="1" applyBorder="1"/>
    <xf numFmtId="174" fontId="0" fillId="0" borderId="0" xfId="0" applyNumberFormat="1" applyFont="1"/>
    <xf numFmtId="0" fontId="0" fillId="0" borderId="7" xfId="0" applyFont="1" applyBorder="1" applyAlignment="1">
      <alignment wrapText="1"/>
    </xf>
    <xf numFmtId="0" fontId="0" fillId="0" borderId="7" xfId="0" applyNumberFormat="1" applyFont="1" applyBorder="1"/>
    <xf numFmtId="4" fontId="0" fillId="0" borderId="0" xfId="0" applyNumberFormat="1" applyFont="1" applyFill="1" applyAlignment="1">
      <alignment horizontal="right"/>
    </xf>
    <xf numFmtId="173" fontId="0" fillId="0" borderId="0" xfId="0" applyNumberFormat="1" applyFont="1" applyBorder="1"/>
    <xf numFmtId="0" fontId="0" fillId="0" borderId="13" xfId="0" applyFont="1" applyBorder="1"/>
    <xf numFmtId="0" fontId="0" fillId="0" borderId="10" xfId="0" applyFont="1" applyBorder="1" applyAlignment="1">
      <alignment wrapText="1"/>
    </xf>
    <xf numFmtId="0" fontId="0" fillId="0" borderId="0" xfId="0" applyFont="1" applyBorder="1" applyAlignment="1">
      <alignment horizontal="left"/>
    </xf>
    <xf numFmtId="0" fontId="0" fillId="0" borderId="16" xfId="0" applyFont="1" applyBorder="1"/>
    <xf numFmtId="3" fontId="0" fillId="0" borderId="17" xfId="0" applyNumberFormat="1" applyFont="1" applyBorder="1"/>
    <xf numFmtId="0" fontId="0" fillId="0" borderId="8" xfId="0" applyFont="1" applyBorder="1" applyAlignment="1">
      <alignment wrapText="1"/>
    </xf>
    <xf numFmtId="0" fontId="0" fillId="0" borderId="8" xfId="0" applyNumberFormat="1" applyFont="1" applyBorder="1"/>
    <xf numFmtId="3" fontId="0" fillId="0" borderId="8" xfId="0" applyNumberFormat="1" applyFont="1" applyBorder="1"/>
    <xf numFmtId="0" fontId="0" fillId="0" borderId="0" xfId="0" quotePrefix="1" applyFont="1" applyFill="1"/>
    <xf numFmtId="0" fontId="0" fillId="0" borderId="0" xfId="0" applyFont="1" applyFill="1" applyBorder="1" applyAlignment="1">
      <alignment wrapText="1"/>
    </xf>
    <xf numFmtId="0" fontId="0" fillId="0" borderId="18" xfId="0" applyFont="1" applyBorder="1"/>
    <xf numFmtId="3" fontId="0" fillId="0" borderId="20" xfId="0" applyNumberFormat="1" applyFont="1" applyBorder="1"/>
    <xf numFmtId="3" fontId="0" fillId="0" borderId="0" xfId="0" applyNumberFormat="1" applyFont="1" applyFill="1" applyAlignment="1">
      <alignment horizontal="right"/>
    </xf>
    <xf numFmtId="0" fontId="0" fillId="0" borderId="9" xfId="0" applyFont="1" applyBorder="1"/>
    <xf numFmtId="0" fontId="0" fillId="0" borderId="9" xfId="0" applyNumberFormat="1" applyFont="1" applyFill="1" applyBorder="1"/>
    <xf numFmtId="3" fontId="0" fillId="0" borderId="3" xfId="0" applyNumberFormat="1" applyFont="1" applyBorder="1"/>
    <xf numFmtId="0" fontId="0" fillId="0" borderId="9" xfId="0" applyNumberFormat="1" applyFont="1" applyBorder="1"/>
    <xf numFmtId="172" fontId="0" fillId="0" borderId="0" xfId="0" applyNumberFormat="1" applyFont="1" applyBorder="1" applyAlignment="1">
      <alignment horizontal="left"/>
    </xf>
    <xf numFmtId="0" fontId="0" fillId="0" borderId="0" xfId="0" applyFont="1" applyBorder="1" applyAlignment="1"/>
    <xf numFmtId="4" fontId="0" fillId="0" borderId="0" xfId="0" applyNumberFormat="1" applyFont="1" applyBorder="1" applyAlignment="1">
      <alignment horizontal="right" indent="2"/>
    </xf>
    <xf numFmtId="0" fontId="0" fillId="0" borderId="22" xfId="0" applyNumberFormat="1" applyFont="1" applyFill="1" applyBorder="1"/>
    <xf numFmtId="0" fontId="0" fillId="0" borderId="0" xfId="0" applyFont="1" applyBorder="1" applyAlignment="1">
      <alignment horizontal="right"/>
    </xf>
    <xf numFmtId="0" fontId="0" fillId="0" borderId="5" xfId="0" applyFont="1" applyBorder="1"/>
    <xf numFmtId="0" fontId="0" fillId="0" borderId="0" xfId="0" applyNumberFormat="1" applyFont="1" applyBorder="1" applyAlignment="1">
      <alignment horizontal="right"/>
    </xf>
    <xf numFmtId="0" fontId="0" fillId="0" borderId="12" xfId="0" applyFont="1" applyBorder="1"/>
    <xf numFmtId="0" fontId="0" fillId="0" borderId="12" xfId="0" applyNumberFormat="1" applyFont="1" applyBorder="1"/>
    <xf numFmtId="0" fontId="0" fillId="0" borderId="0" xfId="0" applyFont="1" applyFill="1" applyAlignment="1"/>
    <xf numFmtId="0" fontId="0" fillId="0" borderId="11" xfId="0" applyFont="1" applyBorder="1"/>
    <xf numFmtId="0" fontId="0" fillId="0" borderId="11" xfId="0" applyNumberFormat="1" applyFont="1" applyBorder="1"/>
    <xf numFmtId="0" fontId="0" fillId="0" borderId="21" xfId="0" applyFont="1" applyBorder="1"/>
    <xf numFmtId="2" fontId="0" fillId="0" borderId="0" xfId="0" applyNumberFormat="1" applyFont="1" applyAlignment="1">
      <alignment horizontal="right"/>
    </xf>
    <xf numFmtId="0" fontId="0" fillId="0" borderId="10" xfId="0" applyFont="1" applyBorder="1" applyAlignment="1"/>
    <xf numFmtId="0" fontId="0" fillId="0" borderId="21" xfId="0" applyFont="1" applyBorder="1" applyAlignment="1"/>
    <xf numFmtId="168" fontId="0" fillId="0" borderId="0" xfId="0" applyNumberFormat="1" applyFont="1"/>
    <xf numFmtId="0" fontId="0" fillId="0" borderId="0" xfId="0" applyNumberFormat="1" applyFont="1" applyBorder="1" applyAlignment="1">
      <alignment horizontal="left"/>
    </xf>
    <xf numFmtId="6" fontId="0" fillId="0" borderId="0" xfId="0" applyNumberFormat="1" applyFont="1" applyBorder="1" applyAlignment="1">
      <alignment horizontal="left"/>
    </xf>
    <xf numFmtId="169" fontId="0" fillId="0" borderId="0" xfId="0" applyNumberFormat="1" applyFont="1" applyBorder="1" applyAlignment="1">
      <alignment horizontal="left"/>
    </xf>
    <xf numFmtId="169" fontId="0" fillId="0" borderId="0" xfId="0" applyNumberFormat="1" applyFont="1" applyAlignment="1">
      <alignment horizontal="left"/>
    </xf>
    <xf numFmtId="0" fontId="0" fillId="0" borderId="1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0" fontId="0" fillId="0" borderId="2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3" xfId="0" applyNumberFormat="1" applyFont="1" applyBorder="1"/>
    <xf numFmtId="169" fontId="0" fillId="0" borderId="0" xfId="0" applyNumberFormat="1" applyFont="1" applyFill="1" applyBorder="1" applyAlignment="1">
      <alignment horizontal="left"/>
    </xf>
    <xf numFmtId="0" fontId="0" fillId="0" borderId="4" xfId="0" applyNumberFormat="1" applyFont="1" applyBorder="1"/>
    <xf numFmtId="0" fontId="0" fillId="0" borderId="0" xfId="0" quotePrefix="1" applyFont="1" applyFill="1" applyBorder="1"/>
    <xf numFmtId="169" fontId="0" fillId="0" borderId="0" xfId="0" applyNumberFormat="1" applyFont="1"/>
    <xf numFmtId="4" fontId="0" fillId="0" borderId="0" xfId="0" applyNumberFormat="1" applyFont="1" applyFill="1" applyBorder="1" applyAlignment="1">
      <alignment horizontal="left"/>
    </xf>
    <xf numFmtId="0" fontId="0" fillId="0" borderId="5" xfId="0" applyNumberFormat="1" applyFont="1" applyBorder="1" applyAlignment="1">
      <alignment horizontal="left"/>
    </xf>
    <xf numFmtId="0" fontId="0" fillId="0" borderId="4" xfId="0" applyNumberFormat="1" applyFont="1" applyBorder="1" applyAlignment="1">
      <alignment horizontal="right"/>
    </xf>
    <xf numFmtId="0" fontId="0" fillId="0" borderId="1" xfId="0" applyNumberFormat="1" applyFont="1" applyFill="1" applyBorder="1" applyAlignment="1">
      <alignment horizontal="left"/>
    </xf>
    <xf numFmtId="0" fontId="0" fillId="0" borderId="3" xfId="0" applyFont="1" applyBorder="1" applyAlignment="1">
      <alignment horizontal="right"/>
    </xf>
    <xf numFmtId="0" fontId="0" fillId="0" borderId="6" xfId="0" applyNumberFormat="1" applyFont="1" applyBorder="1" applyAlignment="1">
      <alignment horizontal="right"/>
    </xf>
    <xf numFmtId="0" fontId="0" fillId="0" borderId="9" xfId="0" applyFont="1" applyFill="1" applyBorder="1" applyAlignment="1"/>
    <xf numFmtId="0" fontId="0" fillId="0" borderId="9" xfId="0" applyNumberFormat="1" applyFont="1" applyFill="1" applyBorder="1" applyAlignment="1"/>
    <xf numFmtId="0" fontId="0" fillId="0" borderId="5" xfId="0" applyNumberFormat="1" applyFont="1" applyFill="1" applyBorder="1" applyAlignment="1">
      <alignment horizontal="left"/>
    </xf>
    <xf numFmtId="0" fontId="0" fillId="0" borderId="6" xfId="0" applyFont="1" applyBorder="1"/>
    <xf numFmtId="0" fontId="0" fillId="0" borderId="0" xfId="0" applyFont="1"/>
    <xf numFmtId="3" fontId="0" fillId="0" borderId="9" xfId="0" applyNumberFormat="1" applyFont="1" applyFill="1" applyBorder="1" applyAlignment="1"/>
    <xf numFmtId="0" fontId="0" fillId="0" borderId="7" xfId="0" applyFont="1" applyFill="1" applyBorder="1" applyAlignment="1"/>
    <xf numFmtId="171" fontId="0" fillId="0" borderId="7" xfId="0" applyNumberFormat="1" applyFont="1" applyBorder="1" applyAlignment="1">
      <alignment horizontal="right"/>
    </xf>
    <xf numFmtId="0" fontId="0" fillId="0" borderId="0" xfId="0" quotePrefix="1" applyNumberFormat="1" applyFont="1"/>
    <xf numFmtId="0" fontId="0" fillId="0" borderId="7" xfId="0" applyFont="1" applyBorder="1" applyAlignment="1">
      <alignment horizontal="left"/>
    </xf>
    <xf numFmtId="0" fontId="0" fillId="0" borderId="0" xfId="0" quotePrefix="1" applyFont="1"/>
    <xf numFmtId="3" fontId="0" fillId="0" borderId="0" xfId="0" quotePrefix="1" applyNumberFormat="1" applyFont="1"/>
    <xf numFmtId="0" fontId="0" fillId="0" borderId="7" xfId="0" quotePrefix="1" applyNumberFormat="1" applyFont="1" applyFill="1" applyBorder="1" applyAlignment="1"/>
    <xf numFmtId="172" fontId="0" fillId="0" borderId="7" xfId="0" applyNumberFormat="1" applyFont="1" applyBorder="1" applyAlignment="1">
      <alignment horizontal="right"/>
    </xf>
    <xf numFmtId="8" fontId="0" fillId="0" borderId="0" xfId="0" applyNumberFormat="1" applyFont="1" applyFill="1" applyAlignment="1">
      <alignment horizontal="right"/>
    </xf>
    <xf numFmtId="0" fontId="0" fillId="0" borderId="7" xfId="0" applyFont="1" applyBorder="1" applyAlignment="1"/>
    <xf numFmtId="172" fontId="0" fillId="0" borderId="7" xfId="0" applyNumberFormat="1" applyFont="1" applyBorder="1"/>
    <xf numFmtId="0" fontId="0" fillId="0" borderId="0" xfId="0" applyFont="1" applyBorder="1"/>
    <xf numFmtId="3" fontId="0" fillId="0" borderId="9" xfId="0" applyNumberFormat="1" applyFont="1" applyBorder="1"/>
    <xf numFmtId="176" fontId="0" fillId="0" borderId="7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/>
    <xf numFmtId="3" fontId="0" fillId="0" borderId="0" xfId="0" applyNumberFormat="1" applyFont="1" applyBorder="1" applyAlignment="1"/>
    <xf numFmtId="0" fontId="0" fillId="0" borderId="0" xfId="0" applyNumberFormat="1" applyFont="1" applyBorder="1" applyAlignment="1"/>
    <xf numFmtId="0" fontId="0" fillId="0" borderId="10" xfId="0" applyFont="1" applyBorder="1" applyAlignment="1">
      <alignment horizontal="right"/>
    </xf>
    <xf numFmtId="0" fontId="0" fillId="0" borderId="7" xfId="0" applyNumberFormat="1" applyFont="1" applyBorder="1" applyAlignment="1">
      <alignment horizontal="left"/>
    </xf>
    <xf numFmtId="0" fontId="0" fillId="0" borderId="10" xfId="0" applyFont="1" applyFill="1" applyBorder="1" applyAlignment="1">
      <alignment horizontal="right"/>
    </xf>
    <xf numFmtId="0" fontId="0" fillId="0" borderId="21" xfId="0" applyFont="1" applyFill="1" applyBorder="1" applyAlignment="1"/>
    <xf numFmtId="3" fontId="0" fillId="0" borderId="0" xfId="0" applyNumberFormat="1" applyFont="1" applyAlignment="1">
      <alignment horizontal="left"/>
    </xf>
    <xf numFmtId="0" fontId="0" fillId="0" borderId="0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0" xfId="0" applyFont="1" applyFill="1" applyBorder="1" applyAlignment="1">
      <alignment horizontal="left"/>
    </xf>
    <xf numFmtId="176" fontId="0" fillId="0" borderId="7" xfId="0" applyNumberFormat="1" applyFont="1" applyBorder="1" applyAlignment="1">
      <alignment horizontal="left"/>
    </xf>
    <xf numFmtId="6" fontId="0" fillId="0" borderId="7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right" indent="2"/>
    </xf>
    <xf numFmtId="8" fontId="0" fillId="0" borderId="7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172" fontId="0" fillId="0" borderId="10" xfId="0" applyNumberFormat="1" applyFont="1" applyBorder="1" applyAlignment="1">
      <alignment horizontal="right"/>
    </xf>
    <xf numFmtId="176" fontId="0" fillId="0" borderId="0" xfId="0" applyNumberFormat="1" applyFont="1" applyBorder="1" applyAlignment="1">
      <alignment horizontal="left"/>
    </xf>
    <xf numFmtId="172" fontId="0" fillId="0" borderId="0" xfId="0" applyNumberFormat="1" applyFont="1" applyBorder="1" applyAlignment="1">
      <alignment horizontal="right"/>
    </xf>
    <xf numFmtId="0" fontId="0" fillId="0" borderId="23" xfId="0" applyFont="1" applyBorder="1" applyAlignment="1">
      <alignment horizontal="left"/>
    </xf>
    <xf numFmtId="0" fontId="0" fillId="0" borderId="8" xfId="0" applyFont="1" applyBorder="1"/>
    <xf numFmtId="0" fontId="0" fillId="0" borderId="7" xfId="0" applyFont="1" applyFill="1" applyBorder="1" applyAlignment="1">
      <alignment horizontal="center"/>
    </xf>
    <xf numFmtId="176" fontId="0" fillId="0" borderId="0" xfId="0" applyNumberFormat="1" applyFont="1" applyBorder="1" applyAlignment="1">
      <alignment horizontal="right"/>
    </xf>
    <xf numFmtId="0" fontId="0" fillId="0" borderId="22" xfId="0" applyFont="1" applyBorder="1"/>
    <xf numFmtId="8" fontId="0" fillId="9" borderId="0" xfId="0" applyNumberFormat="1" applyFont="1" applyFill="1" applyAlignment="1">
      <alignment horizontal="left"/>
    </xf>
    <xf numFmtId="6" fontId="0" fillId="0" borderId="0" xfId="0" applyNumberFormat="1" applyFont="1" applyBorder="1" applyAlignment="1">
      <alignment horizontal="center"/>
    </xf>
    <xf numFmtId="6" fontId="0" fillId="0" borderId="2" xfId="0" applyNumberFormat="1" applyFont="1" applyFill="1" applyBorder="1" applyAlignment="1">
      <alignment horizontal="left"/>
    </xf>
    <xf numFmtId="0" fontId="0" fillId="0" borderId="11" xfId="0" applyFont="1" applyFill="1" applyBorder="1"/>
    <xf numFmtId="0" fontId="0" fillId="0" borderId="4" xfId="0" applyFont="1" applyBorder="1"/>
    <xf numFmtId="16" fontId="0" fillId="0" borderId="11" xfId="0" applyNumberFormat="1" applyFont="1" applyBorder="1"/>
    <xf numFmtId="0" fontId="0" fillId="0" borderId="2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16" borderId="0" xfId="0" applyFont="1" applyFill="1"/>
    <xf numFmtId="176" fontId="0" fillId="0" borderId="7" xfId="0" applyNumberFormat="1" applyFont="1" applyBorder="1" applyAlignment="1">
      <alignment horizontal="right" vertical="top"/>
    </xf>
    <xf numFmtId="0" fontId="0" fillId="0" borderId="7" xfId="0" applyNumberFormat="1" applyFont="1" applyBorder="1" applyAlignment="1">
      <alignment horizontal="left" vertical="top"/>
    </xf>
    <xf numFmtId="16" fontId="0" fillId="0" borderId="0" xfId="0" applyNumberFormat="1" applyFont="1" applyBorder="1"/>
    <xf numFmtId="8" fontId="0" fillId="0" borderId="0" xfId="0" applyNumberFormat="1" applyFont="1" applyBorder="1"/>
    <xf numFmtId="6" fontId="0" fillId="0" borderId="0" xfId="0" applyNumberFormat="1" applyFont="1" applyBorder="1"/>
    <xf numFmtId="0" fontId="0" fillId="0" borderId="0" xfId="0" applyFont="1" applyAlignment="1">
      <alignment horizontal="left" vertical="center"/>
    </xf>
    <xf numFmtId="0" fontId="0" fillId="0" borderId="2" xfId="0" applyFont="1" applyFill="1" applyBorder="1"/>
    <xf numFmtId="0" fontId="0" fillId="0" borderId="0" xfId="0" applyFont="1"/>
    <xf numFmtId="0" fontId="0" fillId="0" borderId="0" xfId="0" applyFont="1" applyFill="1" applyBorder="1"/>
    <xf numFmtId="0" fontId="35" fillId="0" borderId="0" xfId="0" applyFont="1" applyFill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 applyBorder="1" applyAlignment="1">
      <alignment wrapText="1"/>
    </xf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3" fontId="0" fillId="0" borderId="2" xfId="0" applyNumberFormat="1" applyFont="1" applyBorder="1" applyAlignment="1">
      <alignment horizontal="right"/>
    </xf>
    <xf numFmtId="3" fontId="0" fillId="0" borderId="5" xfId="0" applyNumberFormat="1" applyFont="1" applyBorder="1"/>
    <xf numFmtId="183" fontId="0" fillId="0" borderId="6" xfId="0" applyNumberFormat="1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/>
    <xf numFmtId="0" fontId="0" fillId="0" borderId="0" xfId="0" applyFont="1" applyFill="1" applyBorder="1"/>
    <xf numFmtId="0" fontId="26" fillId="10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55" fillId="17" borderId="0" xfId="0" quotePrefix="1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 applyAlignment="1">
      <alignment wrapText="1"/>
    </xf>
    <xf numFmtId="0" fontId="0" fillId="0" borderId="0" xfId="0" quotePrefix="1" applyFont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3" fontId="1" fillId="0" borderId="0" xfId="0" applyNumberFormat="1" applyFont="1" applyAlignment="1">
      <alignment horizontal="right"/>
    </xf>
    <xf numFmtId="0" fontId="0" fillId="0" borderId="0" xfId="0"/>
    <xf numFmtId="0" fontId="0" fillId="0" borderId="0" xfId="0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2" fontId="0" fillId="0" borderId="0" xfId="0" applyNumberFormat="1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/>
    <xf numFmtId="3" fontId="58" fillId="0" borderId="0" xfId="0" applyNumberFormat="1" applyFont="1" applyAlignment="1">
      <alignment horizontal="center"/>
    </xf>
    <xf numFmtId="3" fontId="58" fillId="0" borderId="7" xfId="0" applyNumberFormat="1" applyFont="1" applyBorder="1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3" fontId="25" fillId="0" borderId="0" xfId="0" applyNumberFormat="1" applyFont="1" applyFill="1"/>
    <xf numFmtId="0" fontId="26" fillId="10" borderId="0" xfId="0" quotePrefix="1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0" xfId="0" applyFont="1"/>
    <xf numFmtId="0" fontId="0" fillId="0" borderId="0" xfId="0" applyFont="1" applyFill="1" applyBorder="1"/>
    <xf numFmtId="0" fontId="0" fillId="0" borderId="0" xfId="0" quotePrefix="1" applyFont="1"/>
    <xf numFmtId="0" fontId="0" fillId="0" borderId="0" xfId="0" applyFont="1" applyFill="1" applyBorder="1" applyAlignment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Alignment="1"/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0" fillId="0" borderId="0" xfId="0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26" fillId="10" borderId="0" xfId="0" quotePrefix="1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0" xfId="0" applyFont="1"/>
    <xf numFmtId="0" fontId="0" fillId="0" borderId="0" xfId="0" applyFont="1" applyFill="1" applyBorder="1"/>
    <xf numFmtId="0" fontId="0" fillId="0" borderId="0" xfId="0" quotePrefix="1" applyFont="1"/>
    <xf numFmtId="0" fontId="0" fillId="0" borderId="0" xfId="0" applyFont="1" applyFill="1" applyBorder="1" applyAlignment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Alignment="1"/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19" fillId="10" borderId="0" xfId="0" quotePrefix="1" applyFont="1" applyFill="1" applyAlignment="1">
      <alignment horizontal="center"/>
    </xf>
    <xf numFmtId="0" fontId="0" fillId="17" borderId="0" xfId="0" quotePrefix="1" applyFill="1" applyAlignment="1">
      <alignment horizontal="center"/>
    </xf>
    <xf numFmtId="0" fontId="20" fillId="17" borderId="0" xfId="0" quotePrefix="1" applyFont="1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26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5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17" fontId="18" fillId="6" borderId="7" xfId="0" applyNumberFormat="1" applyFont="1" applyFill="1" applyBorder="1" applyAlignment="1">
      <alignment horizontal="center"/>
    </xf>
    <xf numFmtId="0" fontId="18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54" fillId="10" borderId="0" xfId="0" quotePrefix="1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0" xfId="0" applyFont="1" applyAlignment="1">
      <alignment horizontal="left" vertical="center"/>
    </xf>
    <xf numFmtId="0" fontId="0" fillId="0" borderId="7" xfId="0" applyFont="1" applyFill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7" xfId="0" applyFont="1" applyBorder="1" applyAlignment="1">
      <alignment horizontal="left"/>
    </xf>
    <xf numFmtId="0" fontId="0" fillId="0" borderId="0" xfId="0" applyFont="1" applyAlignment="1">
      <alignment wrapText="1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0" xfId="0" applyFont="1"/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0" xfId="0" applyFont="1" applyFill="1" applyBorder="1"/>
    <xf numFmtId="0" fontId="0" fillId="0" borderId="0" xfId="0" quotePrefix="1" applyFont="1"/>
    <xf numFmtId="0" fontId="0" fillId="0" borderId="0" xfId="0" applyFont="1" applyFill="1" applyBorder="1" applyAlignment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9" xfId="0" applyFont="1" applyBorder="1"/>
    <xf numFmtId="0" fontId="0" fillId="0" borderId="0" xfId="0" applyFont="1" applyFill="1" applyBorder="1" applyAlignment="1">
      <alignment wrapText="1"/>
    </xf>
    <xf numFmtId="0" fontId="0" fillId="0" borderId="0" xfId="0" applyFont="1" applyBorder="1" applyAlignment="1">
      <alignment vertical="top" wrapText="1"/>
    </xf>
    <xf numFmtId="0" fontId="0" fillId="0" borderId="0" xfId="0" applyFont="1" applyFill="1" applyAlignment="1"/>
    <xf numFmtId="39" fontId="59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02000000}"/>
    <cellStyle name="Normal" xfId="0" builtinId="0"/>
    <cellStyle name="Normal 2" xfId="3" xr:uid="{00000000-0005-0000-0000-000004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FFCC"/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X37"/>
  <sheetViews>
    <sheetView zoomScaleNormal="100" workbookViewId="0">
      <selection activeCell="Y47" sqref="Y47"/>
    </sheetView>
  </sheetViews>
  <sheetFormatPr defaultRowHeight="12.75"/>
  <cols>
    <col min="1" max="1" width="0.85546875" customWidth="1"/>
    <col min="2" max="2" width="0.85546875" style="438" customWidth="1"/>
    <col min="3" max="5" width="0.85546875" customWidth="1"/>
    <col min="6" max="6" width="0.85546875" style="438" customWidth="1"/>
    <col min="7" max="9" width="0.85546875" style="401" customWidth="1"/>
    <col min="10" max="10" width="0.85546875" style="438" customWidth="1"/>
    <col min="11" max="13" width="0.85546875" style="401" customWidth="1"/>
    <col min="14" max="14" width="0.85546875" style="438" customWidth="1"/>
    <col min="15" max="16" width="0.85546875" style="401" customWidth="1"/>
    <col min="17" max="17" width="6.5703125" customWidth="1"/>
    <col min="18" max="18" width="11.28515625" style="438" bestFit="1" customWidth="1"/>
    <col min="19" max="19" width="4" style="607" bestFit="1" customWidth="1"/>
    <col min="20" max="20" width="9.140625" style="607" bestFit="1" customWidth="1"/>
    <col min="22" max="22" width="10" bestFit="1" customWidth="1"/>
    <col min="23" max="23" width="5.7109375" bestFit="1" customWidth="1"/>
    <col min="24" max="24" width="7.5703125" bestFit="1" customWidth="1"/>
  </cols>
  <sheetData>
    <row r="1" spans="2:20" s="401" customFormat="1" ht="5.45" customHeight="1">
      <c r="B1" s="438"/>
      <c r="F1" s="438"/>
      <c r="J1" s="438"/>
      <c r="N1" s="438"/>
      <c r="R1" s="438"/>
      <c r="S1" s="607"/>
      <c r="T1" s="607"/>
    </row>
    <row r="2" spans="2:20" s="401" customFormat="1">
      <c r="B2" s="438"/>
      <c r="D2" t="s">
        <v>2699</v>
      </c>
      <c r="F2" s="438"/>
      <c r="G2" s="401" t="s">
        <v>2700</v>
      </c>
      <c r="H2" s="401" t="s">
        <v>2699</v>
      </c>
      <c r="J2" s="438"/>
      <c r="K2" s="401" t="s">
        <v>2700</v>
      </c>
      <c r="L2" s="401" t="s">
        <v>2699</v>
      </c>
      <c r="N2" s="438"/>
      <c r="O2" s="401" t="s">
        <v>2700</v>
      </c>
      <c r="P2" s="401" t="s">
        <v>2699</v>
      </c>
      <c r="R2" s="438" t="s">
        <v>423</v>
      </c>
      <c r="S2" s="607" t="s">
        <v>2700</v>
      </c>
      <c r="T2" s="607" t="s">
        <v>2699</v>
      </c>
    </row>
    <row r="3" spans="2:20">
      <c r="B3" s="438">
        <v>45047</v>
      </c>
      <c r="C3">
        <v>0</v>
      </c>
      <c r="D3" s="421">
        <f t="shared" ref="D3:D22" si="0">C3*1000*0.05%/365</f>
        <v>0</v>
      </c>
      <c r="F3" s="438">
        <v>45078</v>
      </c>
      <c r="G3" s="420">
        <v>585</v>
      </c>
      <c r="H3" s="421">
        <f t="shared" ref="H3:H22" si="1">G3*1000*0.05%/365</f>
        <v>0.80136986301369861</v>
      </c>
      <c r="J3" s="438">
        <v>45108</v>
      </c>
      <c r="K3" s="420">
        <v>595</v>
      </c>
      <c r="L3" s="421">
        <f t="shared" ref="L3:L22" si="2">K3*1000*0.05%/365</f>
        <v>0.81506849315068497</v>
      </c>
      <c r="N3" s="438">
        <v>45139</v>
      </c>
      <c r="O3" s="401">
        <v>740</v>
      </c>
      <c r="P3" s="421">
        <f t="shared" ref="P3:P6" si="3">O3*1000*0.05%/365</f>
        <v>1.0136986301369864</v>
      </c>
      <c r="R3" s="438">
        <v>45291</v>
      </c>
      <c r="S3" s="674">
        <v>209</v>
      </c>
      <c r="T3" s="421">
        <f t="shared" ref="T3:T12" si="4">S3*1000*3.7%/365</f>
        <v>21.186301369863017</v>
      </c>
    </row>
    <row r="4" spans="2:20">
      <c r="B4" s="438">
        <v>45048</v>
      </c>
      <c r="C4">
        <v>325</v>
      </c>
      <c r="D4" s="421">
        <f t="shared" si="0"/>
        <v>0.4452054794520548</v>
      </c>
      <c r="F4" s="438">
        <v>45079</v>
      </c>
      <c r="G4" s="420">
        <v>585</v>
      </c>
      <c r="H4" s="421">
        <f t="shared" si="1"/>
        <v>0.80136986301369861</v>
      </c>
      <c r="J4" s="438">
        <v>45109</v>
      </c>
      <c r="K4" s="420">
        <v>595</v>
      </c>
      <c r="L4" s="421">
        <f t="shared" si="2"/>
        <v>0.81506849315068497</v>
      </c>
      <c r="N4" s="438">
        <v>45140</v>
      </c>
      <c r="O4" s="429">
        <v>740</v>
      </c>
      <c r="P4" s="421">
        <f t="shared" si="3"/>
        <v>1.0136986301369864</v>
      </c>
      <c r="R4" s="438">
        <v>45290</v>
      </c>
      <c r="S4" s="674">
        <v>209</v>
      </c>
      <c r="T4" s="421">
        <f t="shared" si="4"/>
        <v>21.186301369863017</v>
      </c>
    </row>
    <row r="5" spans="2:20">
      <c r="B5" s="438">
        <v>45049</v>
      </c>
      <c r="C5">
        <v>500</v>
      </c>
      <c r="D5" s="421">
        <f t="shared" si="0"/>
        <v>0.68493150684931503</v>
      </c>
      <c r="F5" s="438">
        <v>45080</v>
      </c>
      <c r="G5" s="420">
        <v>585</v>
      </c>
      <c r="H5" s="421">
        <f t="shared" si="1"/>
        <v>0.80136986301369861</v>
      </c>
      <c r="J5" s="438">
        <v>45110</v>
      </c>
      <c r="K5" s="420">
        <v>595</v>
      </c>
      <c r="L5" s="421">
        <f t="shared" si="2"/>
        <v>0.81506849315068497</v>
      </c>
      <c r="N5" s="438">
        <v>45141</v>
      </c>
      <c r="O5" s="429">
        <v>740</v>
      </c>
      <c r="P5" s="421">
        <f t="shared" si="3"/>
        <v>1.0136986301369864</v>
      </c>
      <c r="R5" s="438">
        <v>45289</v>
      </c>
      <c r="S5" s="674">
        <v>209</v>
      </c>
      <c r="T5" s="421">
        <f t="shared" si="4"/>
        <v>21.186301369863017</v>
      </c>
    </row>
    <row r="6" spans="2:20">
      <c r="B6" s="438">
        <v>45050</v>
      </c>
      <c r="C6" s="402">
        <v>500</v>
      </c>
      <c r="D6" s="421">
        <f t="shared" si="0"/>
        <v>0.68493150684931503</v>
      </c>
      <c r="F6" s="438">
        <v>45081</v>
      </c>
      <c r="G6" s="420">
        <v>585</v>
      </c>
      <c r="H6" s="421">
        <f t="shared" si="1"/>
        <v>0.80136986301369861</v>
      </c>
      <c r="J6" s="438">
        <v>45111</v>
      </c>
      <c r="K6" s="420">
        <v>595</v>
      </c>
      <c r="L6" s="421">
        <f t="shared" si="2"/>
        <v>0.81506849315068497</v>
      </c>
      <c r="N6" s="438">
        <v>45142</v>
      </c>
      <c r="O6" s="429">
        <v>740</v>
      </c>
      <c r="P6" s="421">
        <f t="shared" si="3"/>
        <v>1.0136986301369864</v>
      </c>
      <c r="R6" s="438">
        <v>45288</v>
      </c>
      <c r="S6" s="629">
        <v>209</v>
      </c>
      <c r="T6" s="421">
        <f t="shared" si="4"/>
        <v>21.186301369863017</v>
      </c>
    </row>
    <row r="7" spans="2:20">
      <c r="B7" s="438">
        <v>45051</v>
      </c>
      <c r="C7" s="402">
        <v>500</v>
      </c>
      <c r="D7" s="421">
        <f t="shared" si="0"/>
        <v>0.68493150684931503</v>
      </c>
      <c r="F7" s="438">
        <v>45082</v>
      </c>
      <c r="G7" s="420">
        <v>585</v>
      </c>
      <c r="H7" s="421">
        <f t="shared" si="1"/>
        <v>0.80136986301369861</v>
      </c>
      <c r="J7" s="438">
        <v>45112</v>
      </c>
      <c r="K7" s="401">
        <v>595</v>
      </c>
      <c r="L7" s="421">
        <f t="shared" si="2"/>
        <v>0.81506849315068497</v>
      </c>
      <c r="N7" s="438">
        <v>45143</v>
      </c>
      <c r="O7" s="401">
        <v>740</v>
      </c>
      <c r="P7" s="421">
        <f t="shared" ref="P7:P33" si="5">O7*1000*0.05%/365</f>
        <v>1.0136986301369864</v>
      </c>
      <c r="R7" s="438">
        <v>45287</v>
      </c>
      <c r="S7" s="629">
        <v>202</v>
      </c>
      <c r="T7" s="421">
        <f t="shared" si="4"/>
        <v>20.476712328767125</v>
      </c>
    </row>
    <row r="8" spans="2:20">
      <c r="B8" s="438">
        <v>45052</v>
      </c>
      <c r="C8" s="402">
        <v>500</v>
      </c>
      <c r="D8" s="421">
        <f t="shared" si="0"/>
        <v>0.68493150684931503</v>
      </c>
      <c r="F8" s="438">
        <v>45083</v>
      </c>
      <c r="G8" s="420">
        <v>585</v>
      </c>
      <c r="H8" s="421">
        <f t="shared" si="1"/>
        <v>0.80136986301369861</v>
      </c>
      <c r="J8" s="438">
        <v>45113</v>
      </c>
      <c r="K8" s="401">
        <v>600</v>
      </c>
      <c r="L8" s="421">
        <f t="shared" si="2"/>
        <v>0.82191780821917804</v>
      </c>
      <c r="N8" s="438">
        <v>45144</v>
      </c>
      <c r="O8" s="401">
        <v>740</v>
      </c>
      <c r="P8" s="421">
        <f t="shared" si="5"/>
        <v>1.0136986301369864</v>
      </c>
      <c r="R8" s="438">
        <v>45286</v>
      </c>
      <c r="S8" s="629">
        <v>204</v>
      </c>
      <c r="T8" s="421">
        <f t="shared" si="4"/>
        <v>20.679452054794524</v>
      </c>
    </row>
    <row r="9" spans="2:20">
      <c r="B9" s="438">
        <v>45053</v>
      </c>
      <c r="C9" s="402">
        <v>500</v>
      </c>
      <c r="D9" s="421">
        <f t="shared" si="0"/>
        <v>0.68493150684931503</v>
      </c>
      <c r="F9" s="438">
        <v>45084</v>
      </c>
      <c r="G9" s="420">
        <v>585</v>
      </c>
      <c r="H9" s="421">
        <f t="shared" si="1"/>
        <v>0.80136986301369861</v>
      </c>
      <c r="J9" s="438">
        <v>45114</v>
      </c>
      <c r="K9" s="420">
        <v>610</v>
      </c>
      <c r="L9" s="421">
        <f t="shared" si="2"/>
        <v>0.83561643835616439</v>
      </c>
      <c r="N9" s="438">
        <v>45145</v>
      </c>
      <c r="O9" s="401">
        <v>685</v>
      </c>
      <c r="P9" s="421">
        <f t="shared" si="5"/>
        <v>0.93835616438356162</v>
      </c>
      <c r="R9" s="438">
        <v>45285</v>
      </c>
      <c r="S9" s="664">
        <v>217</v>
      </c>
      <c r="T9" s="421">
        <f t="shared" si="4"/>
        <v>21.997260273972604</v>
      </c>
    </row>
    <row r="10" spans="2:20">
      <c r="B10" s="438">
        <v>45054</v>
      </c>
      <c r="C10" s="402">
        <v>500</v>
      </c>
      <c r="D10" s="421">
        <f t="shared" si="0"/>
        <v>0.68493150684931503</v>
      </c>
      <c r="F10" s="438">
        <v>45085</v>
      </c>
      <c r="G10" s="420">
        <v>585</v>
      </c>
      <c r="H10" s="421">
        <f t="shared" si="1"/>
        <v>0.80136986301369861</v>
      </c>
      <c r="J10" s="438">
        <v>45115</v>
      </c>
      <c r="K10" s="401">
        <v>610</v>
      </c>
      <c r="L10" s="421">
        <f t="shared" si="2"/>
        <v>0.83561643835616439</v>
      </c>
      <c r="N10" s="438">
        <v>45146</v>
      </c>
      <c r="O10" s="430">
        <v>685</v>
      </c>
      <c r="P10" s="421">
        <f t="shared" si="5"/>
        <v>0.93835616438356162</v>
      </c>
      <c r="R10" s="438">
        <v>45284</v>
      </c>
      <c r="S10" s="664">
        <v>217</v>
      </c>
      <c r="T10" s="421">
        <f t="shared" si="4"/>
        <v>21.997260273972604</v>
      </c>
    </row>
    <row r="11" spans="2:20">
      <c r="B11" s="438">
        <v>45055</v>
      </c>
      <c r="C11" s="402">
        <v>500</v>
      </c>
      <c r="D11" s="421">
        <f t="shared" si="0"/>
        <v>0.68493150684931503</v>
      </c>
      <c r="F11" s="438">
        <v>45086</v>
      </c>
      <c r="G11" s="420">
        <v>585</v>
      </c>
      <c r="H11" s="421">
        <f t="shared" si="1"/>
        <v>0.80136986301369861</v>
      </c>
      <c r="J11" s="438">
        <v>45116</v>
      </c>
      <c r="K11" s="420">
        <v>610</v>
      </c>
      <c r="L11" s="421">
        <f t="shared" si="2"/>
        <v>0.83561643835616439</v>
      </c>
      <c r="N11" s="438">
        <v>45147</v>
      </c>
      <c r="O11" s="430">
        <v>685</v>
      </c>
      <c r="P11" s="421">
        <f t="shared" si="5"/>
        <v>0.93835616438356162</v>
      </c>
      <c r="R11" s="438">
        <v>45283</v>
      </c>
      <c r="S11" s="664">
        <v>217</v>
      </c>
      <c r="T11" s="421">
        <f t="shared" si="4"/>
        <v>21.997260273972604</v>
      </c>
    </row>
    <row r="12" spans="2:20">
      <c r="B12" s="438">
        <v>45056</v>
      </c>
      <c r="C12" s="402">
        <v>500</v>
      </c>
      <c r="D12" s="421">
        <f t="shared" si="0"/>
        <v>0.68493150684931503</v>
      </c>
      <c r="F12" s="438">
        <v>45087</v>
      </c>
      <c r="G12" s="420">
        <v>585</v>
      </c>
      <c r="H12" s="421">
        <f t="shared" si="1"/>
        <v>0.80136986301369861</v>
      </c>
      <c r="J12" s="438">
        <v>45117</v>
      </c>
      <c r="K12" s="401">
        <v>695</v>
      </c>
      <c r="L12" s="421">
        <f t="shared" si="2"/>
        <v>0.95205479452054798</v>
      </c>
      <c r="N12" s="438">
        <v>45148</v>
      </c>
      <c r="O12" s="401">
        <v>747</v>
      </c>
      <c r="P12" s="421">
        <f t="shared" si="5"/>
        <v>1.0232876712328767</v>
      </c>
      <c r="R12" s="438">
        <v>45282</v>
      </c>
      <c r="S12" s="664">
        <v>217</v>
      </c>
      <c r="T12" s="421">
        <f t="shared" si="4"/>
        <v>21.997260273972604</v>
      </c>
    </row>
    <row r="13" spans="2:20">
      <c r="B13" s="438">
        <v>45057</v>
      </c>
      <c r="C13" s="401">
        <v>515</v>
      </c>
      <c r="D13" s="421">
        <f t="shared" si="0"/>
        <v>0.70547945205479456</v>
      </c>
      <c r="F13" s="438">
        <v>45088</v>
      </c>
      <c r="G13" s="420">
        <v>585</v>
      </c>
      <c r="H13" s="421">
        <f t="shared" si="1"/>
        <v>0.80136986301369861</v>
      </c>
      <c r="J13" s="438">
        <v>45118</v>
      </c>
      <c r="K13" s="420">
        <v>730</v>
      </c>
      <c r="L13" s="421">
        <f t="shared" si="2"/>
        <v>1</v>
      </c>
      <c r="N13" s="438">
        <v>45149</v>
      </c>
      <c r="O13" s="401">
        <v>745</v>
      </c>
      <c r="P13" s="421">
        <f t="shared" si="5"/>
        <v>1.0205479452054795</v>
      </c>
      <c r="R13" s="438">
        <v>45281</v>
      </c>
      <c r="S13" s="664">
        <v>217</v>
      </c>
      <c r="T13" s="421">
        <f>S13*1000*3.7%/365</f>
        <v>21.997260273972604</v>
      </c>
    </row>
    <row r="14" spans="2:20">
      <c r="B14" s="438">
        <v>45058</v>
      </c>
      <c r="C14" s="402">
        <v>515</v>
      </c>
      <c r="D14" s="421">
        <f t="shared" si="0"/>
        <v>0.70547945205479456</v>
      </c>
      <c r="F14" s="438">
        <v>45089</v>
      </c>
      <c r="G14" s="420">
        <v>585</v>
      </c>
      <c r="H14" s="421">
        <f t="shared" si="1"/>
        <v>0.80136986301369861</v>
      </c>
      <c r="J14" s="438">
        <v>45119</v>
      </c>
      <c r="K14" s="420">
        <v>730</v>
      </c>
      <c r="L14" s="421">
        <f t="shared" si="2"/>
        <v>1</v>
      </c>
      <c r="N14" s="438">
        <v>45150</v>
      </c>
      <c r="O14" s="430">
        <v>745</v>
      </c>
      <c r="P14" s="421">
        <f t="shared" si="5"/>
        <v>1.0205479452054795</v>
      </c>
      <c r="R14" s="438">
        <v>45280</v>
      </c>
      <c r="S14" s="607">
        <v>217</v>
      </c>
      <c r="T14" s="421">
        <f t="shared" ref="T14:T33" si="6">S14*1000*3.7%/365</f>
        <v>21.997260273972604</v>
      </c>
    </row>
    <row r="15" spans="2:20">
      <c r="B15" s="438">
        <v>45059</v>
      </c>
      <c r="C15" s="402">
        <v>515</v>
      </c>
      <c r="D15" s="421">
        <f t="shared" si="0"/>
        <v>0.70547945205479456</v>
      </c>
      <c r="F15" s="438">
        <v>45090</v>
      </c>
      <c r="G15" s="420">
        <v>585</v>
      </c>
      <c r="H15" s="421">
        <f t="shared" si="1"/>
        <v>0.80136986301369861</v>
      </c>
      <c r="J15" s="438">
        <v>45120</v>
      </c>
      <c r="K15" s="420">
        <v>730</v>
      </c>
      <c r="L15" s="421">
        <f t="shared" si="2"/>
        <v>1</v>
      </c>
      <c r="N15" s="438">
        <v>45151</v>
      </c>
      <c r="O15" s="430">
        <v>745</v>
      </c>
      <c r="P15" s="421">
        <f t="shared" si="5"/>
        <v>1.0205479452054795</v>
      </c>
      <c r="R15" s="438">
        <v>45279</v>
      </c>
      <c r="S15" s="607">
        <v>212</v>
      </c>
      <c r="T15" s="421">
        <f t="shared" si="6"/>
        <v>21.490410958904111</v>
      </c>
    </row>
    <row r="16" spans="2:20">
      <c r="B16" s="438">
        <v>45060</v>
      </c>
      <c r="C16" s="402">
        <v>515</v>
      </c>
      <c r="D16" s="421">
        <f t="shared" si="0"/>
        <v>0.70547945205479456</v>
      </c>
      <c r="F16" s="438">
        <v>45091</v>
      </c>
      <c r="G16" s="420">
        <v>585</v>
      </c>
      <c r="H16" s="421">
        <f t="shared" si="1"/>
        <v>0.80136986301369861</v>
      </c>
      <c r="J16" s="438">
        <v>45121</v>
      </c>
      <c r="K16" s="420">
        <v>730</v>
      </c>
      <c r="L16" s="421">
        <f t="shared" si="2"/>
        <v>1</v>
      </c>
      <c r="N16" s="438">
        <v>45152</v>
      </c>
      <c r="O16" s="430">
        <v>745</v>
      </c>
      <c r="P16" s="421">
        <f t="shared" si="5"/>
        <v>1.0205479452054795</v>
      </c>
      <c r="R16" s="438">
        <v>45278</v>
      </c>
      <c r="S16" s="607">
        <v>207</v>
      </c>
      <c r="T16" s="421">
        <f t="shared" si="6"/>
        <v>20.983561643835618</v>
      </c>
    </row>
    <row r="17" spans="2:24">
      <c r="B17" s="438">
        <v>45061</v>
      </c>
      <c r="C17" s="402">
        <v>515</v>
      </c>
      <c r="D17" s="421">
        <f t="shared" si="0"/>
        <v>0.70547945205479456</v>
      </c>
      <c r="F17" s="438">
        <v>45092</v>
      </c>
      <c r="G17" s="420">
        <v>585</v>
      </c>
      <c r="H17" s="421">
        <f t="shared" si="1"/>
        <v>0.80136986301369861</v>
      </c>
      <c r="J17" s="438">
        <v>45122</v>
      </c>
      <c r="K17" s="401">
        <v>730</v>
      </c>
      <c r="L17" s="421">
        <f t="shared" si="2"/>
        <v>1</v>
      </c>
      <c r="N17" s="438">
        <v>45153</v>
      </c>
      <c r="O17" s="430">
        <v>745</v>
      </c>
      <c r="P17" s="421">
        <f t="shared" si="5"/>
        <v>1.0205479452054795</v>
      </c>
      <c r="R17" s="438">
        <v>45277</v>
      </c>
      <c r="S17" s="441">
        <v>224</v>
      </c>
      <c r="T17" s="421">
        <f t="shared" si="6"/>
        <v>22.706849315068499</v>
      </c>
    </row>
    <row r="18" spans="2:24">
      <c r="B18" s="438">
        <v>45062</v>
      </c>
      <c r="C18" s="401">
        <v>540</v>
      </c>
      <c r="D18" s="421">
        <f t="shared" si="0"/>
        <v>0.73972602739726023</v>
      </c>
      <c r="F18" s="438">
        <v>45093</v>
      </c>
      <c r="G18" s="420">
        <v>585</v>
      </c>
      <c r="H18" s="421">
        <f t="shared" si="1"/>
        <v>0.80136986301369861</v>
      </c>
      <c r="J18" s="438">
        <v>45123</v>
      </c>
      <c r="K18" s="420">
        <v>730</v>
      </c>
      <c r="L18" s="421">
        <f t="shared" si="2"/>
        <v>1</v>
      </c>
      <c r="N18" s="438">
        <v>45154</v>
      </c>
      <c r="O18" s="401">
        <v>595</v>
      </c>
      <c r="P18" s="421">
        <f t="shared" si="5"/>
        <v>0.81506849315068497</v>
      </c>
      <c r="R18" s="438">
        <v>45276</v>
      </c>
      <c r="S18" s="441">
        <v>224</v>
      </c>
      <c r="T18" s="421">
        <f t="shared" si="6"/>
        <v>22.706849315068499</v>
      </c>
    </row>
    <row r="19" spans="2:24">
      <c r="B19" s="438">
        <v>45063</v>
      </c>
      <c r="C19" s="401">
        <v>545</v>
      </c>
      <c r="D19" s="421">
        <f t="shared" si="0"/>
        <v>0.74657534246575341</v>
      </c>
      <c r="F19" s="438">
        <v>45094</v>
      </c>
      <c r="G19" s="420">
        <v>585</v>
      </c>
      <c r="H19" s="421">
        <f t="shared" si="1"/>
        <v>0.80136986301369861</v>
      </c>
      <c r="J19" s="438">
        <v>45124</v>
      </c>
      <c r="K19" s="424">
        <v>730</v>
      </c>
      <c r="L19" s="421">
        <f t="shared" si="2"/>
        <v>1</v>
      </c>
      <c r="N19" s="438">
        <v>45155</v>
      </c>
      <c r="O19" s="401">
        <v>735</v>
      </c>
      <c r="P19" s="421">
        <f t="shared" si="5"/>
        <v>1.0068493150684932</v>
      </c>
      <c r="R19" s="438">
        <v>45275</v>
      </c>
      <c r="S19" s="441">
        <v>224</v>
      </c>
      <c r="T19" s="421">
        <f t="shared" si="6"/>
        <v>22.706849315068499</v>
      </c>
    </row>
    <row r="20" spans="2:24">
      <c r="B20" s="438">
        <v>45064</v>
      </c>
      <c r="C20" s="402">
        <v>545</v>
      </c>
      <c r="D20" s="421">
        <f t="shared" si="0"/>
        <v>0.74657534246575341</v>
      </c>
      <c r="F20" s="438">
        <v>45095</v>
      </c>
      <c r="G20" s="420">
        <v>585</v>
      </c>
      <c r="H20" s="421">
        <f t="shared" si="1"/>
        <v>0.80136986301369861</v>
      </c>
      <c r="J20" s="438">
        <v>45125</v>
      </c>
      <c r="K20" s="424">
        <v>730</v>
      </c>
      <c r="L20" s="421">
        <f t="shared" si="2"/>
        <v>1</v>
      </c>
      <c r="N20" s="438">
        <v>45156</v>
      </c>
      <c r="O20" s="401">
        <v>735</v>
      </c>
      <c r="P20" s="421">
        <f t="shared" si="5"/>
        <v>1.0068493150684932</v>
      </c>
      <c r="R20" s="438">
        <v>45274</v>
      </c>
      <c r="S20" s="441">
        <v>224</v>
      </c>
      <c r="T20" s="421">
        <f t="shared" si="6"/>
        <v>22.706849315068499</v>
      </c>
    </row>
    <row r="21" spans="2:24">
      <c r="B21" s="438">
        <v>45065</v>
      </c>
      <c r="C21" s="401">
        <v>545.79999999999995</v>
      </c>
      <c r="D21" s="421">
        <f t="shared" si="0"/>
        <v>0.74767123287671222</v>
      </c>
      <c r="F21" s="438">
        <v>45096</v>
      </c>
      <c r="G21" s="420">
        <v>585</v>
      </c>
      <c r="H21" s="421">
        <f t="shared" si="1"/>
        <v>0.80136986301369861</v>
      </c>
      <c r="J21" s="438">
        <v>45126</v>
      </c>
      <c r="K21" s="424">
        <v>730</v>
      </c>
      <c r="L21" s="421">
        <f t="shared" si="2"/>
        <v>1</v>
      </c>
      <c r="N21" s="438">
        <v>45157</v>
      </c>
      <c r="O21" s="432">
        <v>735</v>
      </c>
      <c r="P21" s="421">
        <f t="shared" si="5"/>
        <v>1.0068493150684932</v>
      </c>
      <c r="R21" s="438">
        <v>45273</v>
      </c>
      <c r="S21" s="441">
        <v>224</v>
      </c>
      <c r="T21" s="421">
        <f t="shared" si="6"/>
        <v>22.706849315068499</v>
      </c>
    </row>
    <row r="22" spans="2:24">
      <c r="B22" s="438">
        <v>45066</v>
      </c>
      <c r="C22" s="401">
        <v>545</v>
      </c>
      <c r="D22" s="421">
        <f t="shared" si="0"/>
        <v>0.74657534246575341</v>
      </c>
      <c r="F22" s="438">
        <v>45097</v>
      </c>
      <c r="G22" s="420">
        <v>585</v>
      </c>
      <c r="H22" s="421">
        <f t="shared" si="1"/>
        <v>0.80136986301369861</v>
      </c>
      <c r="J22" s="438">
        <v>45127</v>
      </c>
      <c r="K22" s="424">
        <v>730</v>
      </c>
      <c r="L22" s="421">
        <f t="shared" si="2"/>
        <v>1</v>
      </c>
      <c r="N22" s="438">
        <v>45158</v>
      </c>
      <c r="O22" s="432">
        <v>735</v>
      </c>
      <c r="P22" s="421">
        <f t="shared" si="5"/>
        <v>1.0068493150684932</v>
      </c>
      <c r="R22" s="438">
        <v>45272</v>
      </c>
      <c r="S22" s="441">
        <v>224</v>
      </c>
      <c r="T22" s="421">
        <f t="shared" si="6"/>
        <v>22.706849315068499</v>
      </c>
    </row>
    <row r="23" spans="2:24">
      <c r="B23" s="438">
        <v>45067</v>
      </c>
      <c r="C23" s="402">
        <v>545</v>
      </c>
      <c r="D23" s="421">
        <f>C23*1000*0.05%/365</f>
        <v>0.74657534246575341</v>
      </c>
      <c r="F23" s="438">
        <v>45098</v>
      </c>
      <c r="G23" s="420">
        <v>585</v>
      </c>
      <c r="H23" s="421">
        <f>G23*1000*0.05%/365</f>
        <v>0.80136986301369861</v>
      </c>
      <c r="J23" s="438">
        <v>45128</v>
      </c>
      <c r="K23" s="420">
        <v>735</v>
      </c>
      <c r="L23" s="421">
        <f>K23*1000*0.05%/365</f>
        <v>1.0068493150684932</v>
      </c>
      <c r="N23" s="438">
        <v>45159</v>
      </c>
      <c r="O23" s="401">
        <v>735</v>
      </c>
      <c r="P23" s="421">
        <f t="shared" si="5"/>
        <v>1.0068493150684932</v>
      </c>
      <c r="R23" s="438">
        <v>45271</v>
      </c>
      <c r="S23" s="441">
        <v>224</v>
      </c>
      <c r="T23" s="421">
        <f t="shared" si="6"/>
        <v>22.706849315068499</v>
      </c>
    </row>
    <row r="24" spans="2:24">
      <c r="B24" s="438">
        <v>45068</v>
      </c>
      <c r="C24" s="402">
        <v>545</v>
      </c>
      <c r="D24" s="421">
        <f t="shared" ref="D24:D32" si="7">C24*1000*0.05%/365</f>
        <v>0.74657534246575341</v>
      </c>
      <c r="F24" s="438">
        <v>45099</v>
      </c>
      <c r="G24" s="420">
        <v>585</v>
      </c>
      <c r="H24" s="421">
        <f t="shared" ref="H24:H32" si="8">G24*1000*0.05%/365</f>
        <v>0.80136986301369861</v>
      </c>
      <c r="J24" s="438">
        <v>45129</v>
      </c>
      <c r="K24" s="420">
        <v>735</v>
      </c>
      <c r="L24" s="421">
        <f t="shared" ref="L24:L32" si="9">K24*1000*0.05%/365</f>
        <v>1.0068493150684932</v>
      </c>
      <c r="N24" s="438">
        <v>45160</v>
      </c>
      <c r="O24" s="401">
        <v>735</v>
      </c>
      <c r="P24" s="421">
        <f t="shared" si="5"/>
        <v>1.0068493150684932</v>
      </c>
      <c r="R24" s="438">
        <v>45270</v>
      </c>
      <c r="S24" s="441">
        <v>224</v>
      </c>
      <c r="T24" s="421">
        <f t="shared" si="6"/>
        <v>22.706849315068499</v>
      </c>
    </row>
    <row r="25" spans="2:24" s="433" customFormat="1">
      <c r="B25" s="439">
        <v>45069</v>
      </c>
      <c r="C25" s="433">
        <v>545</v>
      </c>
      <c r="D25" s="435">
        <f t="shared" si="7"/>
        <v>0.74657534246575341</v>
      </c>
      <c r="F25" s="439">
        <v>45100</v>
      </c>
      <c r="G25" s="433">
        <v>585</v>
      </c>
      <c r="H25" s="435">
        <f t="shared" si="8"/>
        <v>0.80136986301369861</v>
      </c>
      <c r="J25" s="439">
        <v>45130</v>
      </c>
      <c r="K25" s="433">
        <v>735</v>
      </c>
      <c r="L25" s="435">
        <f t="shared" si="9"/>
        <v>1.0068493150684932</v>
      </c>
      <c r="N25" s="439">
        <v>45161</v>
      </c>
      <c r="O25" s="433">
        <v>738</v>
      </c>
      <c r="P25" s="435">
        <f t="shared" si="5"/>
        <v>1.010958904109589</v>
      </c>
      <c r="R25" s="438">
        <v>45269</v>
      </c>
      <c r="S25" s="441">
        <v>224</v>
      </c>
      <c r="T25" s="421">
        <f t="shared" si="6"/>
        <v>22.706849315068499</v>
      </c>
    </row>
    <row r="26" spans="2:24">
      <c r="B26" s="438">
        <v>45070</v>
      </c>
      <c r="C26" s="420">
        <v>550</v>
      </c>
      <c r="D26" s="421">
        <f t="shared" si="7"/>
        <v>0.75342465753424659</v>
      </c>
      <c r="F26" s="438">
        <v>45101</v>
      </c>
      <c r="G26" s="420">
        <v>585</v>
      </c>
      <c r="H26" s="421">
        <f t="shared" si="8"/>
        <v>0.80136986301369861</v>
      </c>
      <c r="J26" s="438">
        <v>45131</v>
      </c>
      <c r="K26" s="425">
        <v>735</v>
      </c>
      <c r="L26" s="421">
        <f t="shared" si="9"/>
        <v>1.0068493150684932</v>
      </c>
      <c r="N26" s="438">
        <v>45162</v>
      </c>
      <c r="O26" s="434">
        <v>738</v>
      </c>
      <c r="P26" s="421">
        <f t="shared" si="5"/>
        <v>1.010958904109589</v>
      </c>
      <c r="R26" s="438">
        <v>45268</v>
      </c>
      <c r="S26" s="441">
        <v>224</v>
      </c>
      <c r="T26" s="421">
        <f t="shared" si="6"/>
        <v>22.706849315068499</v>
      </c>
    </row>
    <row r="27" spans="2:24">
      <c r="B27" s="438">
        <v>45071</v>
      </c>
      <c r="C27" s="420">
        <v>550</v>
      </c>
      <c r="D27" s="421">
        <f t="shared" si="7"/>
        <v>0.75342465753424659</v>
      </c>
      <c r="F27" s="438">
        <v>45102</v>
      </c>
      <c r="G27" s="420">
        <v>585</v>
      </c>
      <c r="H27" s="421">
        <f t="shared" si="8"/>
        <v>0.80136986301369861</v>
      </c>
      <c r="J27" s="438">
        <v>45132</v>
      </c>
      <c r="K27" s="426">
        <v>740</v>
      </c>
      <c r="L27" s="421">
        <f t="shared" si="9"/>
        <v>1.0136986301369864</v>
      </c>
      <c r="N27" s="438">
        <v>45163</v>
      </c>
      <c r="O27" s="436">
        <v>748</v>
      </c>
      <c r="P27" s="421">
        <f t="shared" si="5"/>
        <v>1.0246575342465754</v>
      </c>
      <c r="R27" s="438">
        <v>45267</v>
      </c>
      <c r="S27" s="441">
        <v>224</v>
      </c>
      <c r="T27" s="421">
        <f t="shared" si="6"/>
        <v>22.706849315068499</v>
      </c>
    </row>
    <row r="28" spans="2:24">
      <c r="B28" s="438">
        <v>45072</v>
      </c>
      <c r="C28" s="420">
        <v>550</v>
      </c>
      <c r="D28" s="421">
        <f t="shared" si="7"/>
        <v>0.75342465753424659</v>
      </c>
      <c r="F28" s="438">
        <v>45103</v>
      </c>
      <c r="G28" s="420">
        <v>585</v>
      </c>
      <c r="H28" s="421">
        <f t="shared" si="8"/>
        <v>0.80136986301369861</v>
      </c>
      <c r="J28" s="438">
        <v>45133</v>
      </c>
      <c r="K28" s="428">
        <v>740</v>
      </c>
      <c r="L28" s="421">
        <f t="shared" si="9"/>
        <v>1.0136986301369864</v>
      </c>
      <c r="N28" s="438">
        <v>45164</v>
      </c>
      <c r="O28" s="440">
        <v>749</v>
      </c>
      <c r="P28" s="421">
        <f t="shared" si="5"/>
        <v>1.026027397260274</v>
      </c>
      <c r="R28" s="438">
        <v>45266</v>
      </c>
      <c r="S28" s="441">
        <v>217</v>
      </c>
      <c r="T28" s="421">
        <f t="shared" si="6"/>
        <v>21.997260273972604</v>
      </c>
    </row>
    <row r="29" spans="2:24">
      <c r="B29" s="438">
        <v>45073</v>
      </c>
      <c r="C29" s="420">
        <v>550</v>
      </c>
      <c r="D29" s="421">
        <f t="shared" si="7"/>
        <v>0.75342465753424659</v>
      </c>
      <c r="F29" s="438">
        <v>45104</v>
      </c>
      <c r="G29" s="420">
        <v>585</v>
      </c>
      <c r="H29" s="421">
        <f t="shared" si="8"/>
        <v>0.80136986301369861</v>
      </c>
      <c r="J29" s="438">
        <v>45134</v>
      </c>
      <c r="K29" s="428">
        <v>740</v>
      </c>
      <c r="L29" s="421">
        <f t="shared" si="9"/>
        <v>1.0136986301369864</v>
      </c>
      <c r="N29" s="438">
        <v>45165</v>
      </c>
      <c r="O29" s="441">
        <v>749</v>
      </c>
      <c r="P29" s="421">
        <f t="shared" si="5"/>
        <v>1.026027397260274</v>
      </c>
      <c r="R29" s="438">
        <v>45265</v>
      </c>
      <c r="S29" s="441">
        <v>217</v>
      </c>
      <c r="T29" s="421">
        <f t="shared" si="6"/>
        <v>21.997260273972604</v>
      </c>
      <c r="W29" t="s">
        <v>3141</v>
      </c>
    </row>
    <row r="30" spans="2:24">
      <c r="B30" s="438">
        <v>45074</v>
      </c>
      <c r="C30" s="420">
        <v>550</v>
      </c>
      <c r="D30" s="421">
        <f t="shared" si="7"/>
        <v>0.75342465753424659</v>
      </c>
      <c r="F30" s="438">
        <v>45105</v>
      </c>
      <c r="G30" s="420">
        <v>600</v>
      </c>
      <c r="H30" s="421">
        <f t="shared" si="8"/>
        <v>0.82191780821917804</v>
      </c>
      <c r="J30" s="438">
        <v>45135</v>
      </c>
      <c r="K30" s="428">
        <v>740</v>
      </c>
      <c r="L30" s="421">
        <f t="shared" si="9"/>
        <v>1.0136986301369864</v>
      </c>
      <c r="N30" s="438">
        <v>45166</v>
      </c>
      <c r="O30" s="401">
        <v>740</v>
      </c>
      <c r="P30" s="421">
        <f t="shared" si="5"/>
        <v>1.0136986301369864</v>
      </c>
      <c r="R30" s="438">
        <v>45264</v>
      </c>
      <c r="S30" s="441">
        <v>231</v>
      </c>
      <c r="T30" s="421">
        <f t="shared" si="6"/>
        <v>23.416438356164388</v>
      </c>
    </row>
    <row r="31" spans="2:24">
      <c r="B31" s="438">
        <v>45075</v>
      </c>
      <c r="C31" s="401">
        <v>550</v>
      </c>
      <c r="D31" s="421">
        <f t="shared" si="7"/>
        <v>0.75342465753424659</v>
      </c>
      <c r="F31" s="438">
        <v>45106</v>
      </c>
      <c r="G31" s="420">
        <v>600</v>
      </c>
      <c r="H31" s="421">
        <f t="shared" si="8"/>
        <v>0.82191780821917804</v>
      </c>
      <c r="J31" s="438">
        <v>45136</v>
      </c>
      <c r="K31" s="420">
        <v>750</v>
      </c>
      <c r="L31" s="421">
        <f t="shared" si="9"/>
        <v>1.0273972602739727</v>
      </c>
      <c r="N31" s="438">
        <v>45167</v>
      </c>
      <c r="O31" s="401">
        <v>604</v>
      </c>
      <c r="P31" s="421">
        <f t="shared" si="5"/>
        <v>0.82739726027397265</v>
      </c>
      <c r="R31" s="438">
        <v>45263</v>
      </c>
      <c r="S31" s="441">
        <v>226</v>
      </c>
      <c r="T31" s="421">
        <f t="shared" si="6"/>
        <v>22.909589041095895</v>
      </c>
      <c r="V31" s="438">
        <v>45233</v>
      </c>
      <c r="W31" s="441">
        <v>41</v>
      </c>
      <c r="X31" s="421">
        <f>W31*1000*3.5%/365</f>
        <v>3.9315068493150691</v>
      </c>
    </row>
    <row r="32" spans="2:24">
      <c r="B32" s="438">
        <v>45076</v>
      </c>
      <c r="C32" s="401">
        <v>585</v>
      </c>
      <c r="D32" s="421">
        <f t="shared" si="7"/>
        <v>0.80136986301369861</v>
      </c>
      <c r="F32" s="438">
        <v>45107</v>
      </c>
      <c r="G32" s="420">
        <v>600</v>
      </c>
      <c r="H32" s="421">
        <f t="shared" si="8"/>
        <v>0.82191780821917804</v>
      </c>
      <c r="J32" s="438">
        <v>45137</v>
      </c>
      <c r="K32" s="420">
        <v>750</v>
      </c>
      <c r="L32" s="421">
        <f t="shared" si="9"/>
        <v>1.0273972602739727</v>
      </c>
      <c r="N32" s="438">
        <v>45168</v>
      </c>
      <c r="O32" s="401">
        <v>471</v>
      </c>
      <c r="P32" s="421">
        <f t="shared" si="5"/>
        <v>0.64520547945205475</v>
      </c>
      <c r="R32" s="438">
        <v>45262</v>
      </c>
      <c r="S32" s="441">
        <v>226</v>
      </c>
      <c r="T32" s="421">
        <f t="shared" si="6"/>
        <v>22.909589041095895</v>
      </c>
      <c r="V32" s="438">
        <v>45232</v>
      </c>
      <c r="W32" s="441">
        <v>241</v>
      </c>
      <c r="X32" s="421">
        <f t="shared" ref="X32:X33" si="10">W32*1000*3.5%/365</f>
        <v>23.109589041095891</v>
      </c>
    </row>
    <row r="33" spans="1:24">
      <c r="B33" s="438">
        <v>45077</v>
      </c>
      <c r="C33" s="401">
        <v>585</v>
      </c>
      <c r="D33" s="421">
        <f t="shared" ref="D33" si="11">C33*1000*0.05/100/365</f>
        <v>0.80136986301369861</v>
      </c>
      <c r="J33" s="438">
        <v>45138</v>
      </c>
      <c r="K33" s="420">
        <v>750</v>
      </c>
      <c r="L33" s="421">
        <f t="shared" ref="L33" si="12">K33*1000*0.05/100/365</f>
        <v>1.0273972602739727</v>
      </c>
      <c r="N33" s="438">
        <v>45169</v>
      </c>
      <c r="O33" s="401">
        <v>480</v>
      </c>
      <c r="P33" s="421">
        <f t="shared" si="5"/>
        <v>0.65753424657534243</v>
      </c>
      <c r="R33" s="438">
        <v>45261</v>
      </c>
      <c r="S33" s="441">
        <v>226</v>
      </c>
      <c r="T33" s="421">
        <f t="shared" si="6"/>
        <v>22.909589041095895</v>
      </c>
      <c r="V33" s="438">
        <v>45231</v>
      </c>
      <c r="W33" s="441">
        <v>248</v>
      </c>
      <c r="X33" s="421">
        <f t="shared" si="10"/>
        <v>23.780821917808218</v>
      </c>
    </row>
    <row r="34" spans="1:24">
      <c r="V34" s="438"/>
      <c r="W34" s="630"/>
      <c r="X34" s="630"/>
    </row>
    <row r="35" spans="1:24">
      <c r="B35" s="438" t="s">
        <v>2783</v>
      </c>
      <c r="D35" s="316">
        <f>SUM(D3:D33)*88</f>
        <v>1895.7128767123286</v>
      </c>
      <c r="F35" s="438" t="s">
        <v>2783</v>
      </c>
      <c r="H35" s="316">
        <f>SUM(H3:H33)*88</f>
        <v>2121.0410958904108</v>
      </c>
      <c r="J35" s="438" t="s">
        <v>2783</v>
      </c>
      <c r="L35" s="316">
        <f>SUM(L3:L33)*88</f>
        <v>2597.8082191780818</v>
      </c>
      <c r="N35" s="438" t="s">
        <v>2783</v>
      </c>
      <c r="P35" s="316">
        <f>SUM(P3:P33)*88</f>
        <v>2650.7287671232875</v>
      </c>
      <c r="R35" s="438" t="s">
        <v>2783</v>
      </c>
      <c r="T35" s="316">
        <f>SUM(T3:T33)</f>
        <v>686.27397260273983</v>
      </c>
      <c r="V35" s="438" t="s">
        <v>2783</v>
      </c>
      <c r="W35" s="630"/>
      <c r="X35" s="316">
        <f>SUM(X3:X33)</f>
        <v>50.821917808219183</v>
      </c>
    </row>
    <row r="36" spans="1:24">
      <c r="A36" s="431"/>
      <c r="B36" s="438" t="s">
        <v>3043</v>
      </c>
      <c r="C36" s="431"/>
      <c r="D36" s="316">
        <f>'HIS19'!KQ21</f>
        <v>1895.66</v>
      </c>
      <c r="E36" s="431"/>
      <c r="F36" s="438" t="s">
        <v>3043</v>
      </c>
      <c r="G36" s="431"/>
      <c r="H36" s="316">
        <f>'HIS19'!KQ22</f>
        <v>2121.2199999999998</v>
      </c>
      <c r="I36" s="431"/>
      <c r="J36" s="438" t="s">
        <v>3043</v>
      </c>
      <c r="K36" s="431"/>
      <c r="L36" s="316">
        <f>'HIS19'!KQ23</f>
        <v>2597.87</v>
      </c>
      <c r="M36" s="431"/>
      <c r="N36" s="438" t="s">
        <v>3043</v>
      </c>
      <c r="O36" s="431"/>
      <c r="P36" s="316">
        <f>'HIS19'!KQ24</f>
        <v>2650.71</v>
      </c>
      <c r="R36" s="438" t="s">
        <v>3043</v>
      </c>
      <c r="T36" s="316">
        <v>685.47</v>
      </c>
      <c r="V36" s="438" t="s">
        <v>3043</v>
      </c>
      <c r="W36" s="630"/>
      <c r="X36" s="316">
        <v>53.66</v>
      </c>
    </row>
    <row r="37" spans="1:24" s="431" customFormat="1">
      <c r="A37"/>
      <c r="B37" s="438" t="s">
        <v>3062</v>
      </c>
      <c r="C37"/>
      <c r="D37" s="316">
        <f>D36-D35</f>
        <v>-5.2876712328497888E-2</v>
      </c>
      <c r="E37"/>
      <c r="F37" s="438" t="s">
        <v>3062</v>
      </c>
      <c r="G37" s="401"/>
      <c r="H37" s="316">
        <f>H36-H35</f>
        <v>0.17890410958898428</v>
      </c>
      <c r="I37" s="401"/>
      <c r="J37" s="438" t="s">
        <v>3062</v>
      </c>
      <c r="K37" s="401"/>
      <c r="L37" s="316">
        <f>L36-L35</f>
        <v>6.1780821918091533E-2</v>
      </c>
      <c r="M37" s="401"/>
      <c r="N37" s="438" t="s">
        <v>3062</v>
      </c>
      <c r="O37" s="401"/>
      <c r="P37" s="316">
        <f>P36-P35</f>
        <v>-1.8767123287489085E-2</v>
      </c>
      <c r="R37" s="438" t="s">
        <v>3062</v>
      </c>
      <c r="S37" s="607"/>
      <c r="T37" s="316">
        <f>T36-T35</f>
        <v>-0.80397260273980464</v>
      </c>
      <c r="V37" s="438" t="s">
        <v>3062</v>
      </c>
      <c r="W37" s="630"/>
      <c r="X37" s="316">
        <f>X36-X35</f>
        <v>2.8380821917808134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K36"/>
  <sheetViews>
    <sheetView workbookViewId="0">
      <selection activeCell="K35" sqref="K35"/>
    </sheetView>
  </sheetViews>
  <sheetFormatPr defaultColWidth="9.140625" defaultRowHeight="12.75"/>
  <cols>
    <col min="1" max="1" width="1.85546875" style="340" customWidth="1"/>
    <col min="2" max="2" width="11" style="340" bestFit="1" customWidth="1"/>
    <col min="3" max="3" width="11.28515625" style="340" bestFit="1" customWidth="1"/>
    <col min="4" max="4" width="12.42578125" style="418" bestFit="1" customWidth="1"/>
    <col min="5" max="5" width="6.28515625" style="340" bestFit="1" customWidth="1"/>
    <col min="6" max="6" width="6.28515625" style="340" customWidth="1"/>
    <col min="7" max="7" width="7.140625" style="340" bestFit="1" customWidth="1"/>
    <col min="8" max="8" width="11.5703125" style="340" customWidth="1"/>
    <col min="9" max="10" width="12" style="340" bestFit="1" customWidth="1"/>
    <col min="11" max="11" width="7" style="340" bestFit="1" customWidth="1"/>
    <col min="12" max="16384" width="9.140625" style="340"/>
  </cols>
  <sheetData>
    <row r="2" spans="2:10">
      <c r="B2" s="396" t="s">
        <v>2662</v>
      </c>
      <c r="C2" s="396"/>
      <c r="D2" s="418" t="s">
        <v>2843</v>
      </c>
    </row>
    <row r="3" spans="2:10" ht="14.25">
      <c r="B3" s="240">
        <f t="shared" ref="B3:B33" si="0">MIN(D3,100000)</f>
        <v>100000</v>
      </c>
      <c r="C3" s="437">
        <v>45291</v>
      </c>
      <c r="D3" s="427">
        <v>101463.7</v>
      </c>
      <c r="E3" s="398">
        <f>VLOOKUP(D3,$H$5:$I$8,2)</f>
        <v>4.0000000000000001E-3</v>
      </c>
    </row>
    <row r="4" spans="2:10" ht="14.25">
      <c r="B4" s="240">
        <f t="shared" si="0"/>
        <v>100000</v>
      </c>
      <c r="C4" s="437">
        <v>45290</v>
      </c>
      <c r="D4" s="427">
        <v>101429</v>
      </c>
      <c r="E4" s="398">
        <f>VLOOKUP(D4,$H$5:$I$8,2)</f>
        <v>4.0000000000000001E-3</v>
      </c>
      <c r="F4" s="398"/>
      <c r="H4" s="218" t="s">
        <v>2756</v>
      </c>
      <c r="I4" s="218" t="s">
        <v>2951</v>
      </c>
      <c r="J4" s="218" t="s">
        <v>2757</v>
      </c>
    </row>
    <row r="5" spans="2:10" ht="14.25">
      <c r="B5" s="240">
        <f t="shared" si="0"/>
        <v>100000</v>
      </c>
      <c r="C5" s="437">
        <v>45289</v>
      </c>
      <c r="D5" s="427">
        <v>101429</v>
      </c>
      <c r="E5" s="398">
        <f t="shared" ref="E5:E33" si="1">VLOOKUP(D5,$H$5:$I$8,2)</f>
        <v>4.0000000000000001E-3</v>
      </c>
      <c r="F5" s="398"/>
      <c r="H5" s="377">
        <v>0</v>
      </c>
      <c r="I5" s="419">
        <v>1.5E-3</v>
      </c>
      <c r="J5" s="218" t="s">
        <v>2759</v>
      </c>
    </row>
    <row r="6" spans="2:10" ht="14.25">
      <c r="B6" s="240">
        <f t="shared" si="0"/>
        <v>100000</v>
      </c>
      <c r="C6" s="437">
        <v>45288</v>
      </c>
      <c r="D6" s="427">
        <v>101429</v>
      </c>
      <c r="E6" s="398">
        <f t="shared" si="1"/>
        <v>4.0000000000000001E-3</v>
      </c>
      <c r="F6" s="398"/>
      <c r="H6" s="377">
        <v>5000</v>
      </c>
      <c r="I6" s="419">
        <v>2E-3</v>
      </c>
      <c r="J6" s="218"/>
    </row>
    <row r="7" spans="2:10" ht="14.25">
      <c r="B7" s="240">
        <f t="shared" si="0"/>
        <v>100000</v>
      </c>
      <c r="C7" s="437">
        <v>45287</v>
      </c>
      <c r="D7" s="427">
        <v>100217.60000000001</v>
      </c>
      <c r="E7" s="398">
        <f t="shared" si="1"/>
        <v>4.0000000000000001E-3</v>
      </c>
      <c r="F7" s="398"/>
      <c r="H7" s="377">
        <v>20000</v>
      </c>
      <c r="I7" s="419">
        <v>3.0000000000000001E-3</v>
      </c>
      <c r="J7" s="218"/>
    </row>
    <row r="8" spans="2:10" ht="14.25">
      <c r="B8" s="240">
        <f t="shared" si="0"/>
        <v>100000</v>
      </c>
      <c r="C8" s="437">
        <v>45286</v>
      </c>
      <c r="D8" s="427">
        <v>100217.60000000001</v>
      </c>
      <c r="E8" s="398">
        <f>VLOOKUP(D8,$H$5:$I$8,2)</f>
        <v>4.0000000000000001E-3</v>
      </c>
      <c r="F8" s="398"/>
      <c r="H8" s="377">
        <v>100000</v>
      </c>
      <c r="I8" s="419">
        <v>4.0000000000000001E-3</v>
      </c>
      <c r="J8" s="218" t="s">
        <v>2758</v>
      </c>
    </row>
    <row r="9" spans="2:10" ht="14.25">
      <c r="B9" s="240">
        <f t="shared" si="0"/>
        <v>100000</v>
      </c>
      <c r="C9" s="437">
        <v>45285</v>
      </c>
      <c r="D9" s="427">
        <v>100217.60000000001</v>
      </c>
      <c r="E9" s="398">
        <f t="shared" si="1"/>
        <v>4.0000000000000001E-3</v>
      </c>
      <c r="F9" s="398"/>
      <c r="H9" s="218"/>
      <c r="I9" s="218"/>
      <c r="J9" s="218"/>
    </row>
    <row r="10" spans="2:10" ht="14.25">
      <c r="B10" s="240">
        <f t="shared" si="0"/>
        <v>100000</v>
      </c>
      <c r="C10" s="437">
        <v>45284</v>
      </c>
      <c r="D10" s="427">
        <v>100217.60000000001</v>
      </c>
      <c r="E10" s="398">
        <f t="shared" si="1"/>
        <v>4.0000000000000001E-3</v>
      </c>
      <c r="F10" s="398"/>
    </row>
    <row r="11" spans="2:10" ht="14.25">
      <c r="B11" s="240">
        <f t="shared" si="0"/>
        <v>100000</v>
      </c>
      <c r="C11" s="437">
        <v>45283</v>
      </c>
      <c r="D11" s="427">
        <v>100217.60000000001</v>
      </c>
      <c r="E11" s="398">
        <f>VLOOKUP(D11,$H$5:$I$8,2)</f>
        <v>4.0000000000000001E-3</v>
      </c>
      <c r="F11" s="398"/>
    </row>
    <row r="12" spans="2:10" ht="14.25">
      <c r="B12" s="240">
        <f t="shared" si="0"/>
        <v>100000</v>
      </c>
      <c r="C12" s="437">
        <v>45282</v>
      </c>
      <c r="D12" s="427">
        <v>100217.60000000001</v>
      </c>
      <c r="E12" s="398">
        <f t="shared" si="1"/>
        <v>4.0000000000000001E-3</v>
      </c>
      <c r="F12" s="398"/>
    </row>
    <row r="13" spans="2:10" ht="14.25">
      <c r="B13" s="240">
        <f t="shared" si="0"/>
        <v>100000</v>
      </c>
      <c r="C13" s="437">
        <v>45281</v>
      </c>
      <c r="D13" s="427">
        <v>100217.60000000001</v>
      </c>
      <c r="E13" s="398">
        <f t="shared" si="1"/>
        <v>4.0000000000000001E-3</v>
      </c>
      <c r="F13" s="398"/>
    </row>
    <row r="14" spans="2:10" ht="14.25">
      <c r="B14" s="240">
        <f t="shared" si="0"/>
        <v>100000</v>
      </c>
      <c r="C14" s="437">
        <v>45280</v>
      </c>
      <c r="D14" s="427">
        <v>100217.60000000001</v>
      </c>
      <c r="E14" s="398">
        <f t="shared" si="1"/>
        <v>4.0000000000000001E-3</v>
      </c>
      <c r="F14" s="398"/>
    </row>
    <row r="15" spans="2:10" ht="14.25">
      <c r="B15" s="240">
        <f t="shared" si="0"/>
        <v>100000</v>
      </c>
      <c r="C15" s="437">
        <v>45279</v>
      </c>
      <c r="D15" s="427">
        <v>101323.19</v>
      </c>
      <c r="E15" s="398">
        <f t="shared" si="1"/>
        <v>4.0000000000000001E-3</v>
      </c>
      <c r="F15" s="398"/>
    </row>
    <row r="16" spans="2:10" ht="14.25">
      <c r="B16" s="240">
        <f t="shared" si="0"/>
        <v>100000</v>
      </c>
      <c r="C16" s="437">
        <v>45278</v>
      </c>
      <c r="D16" s="427">
        <v>101323.19</v>
      </c>
      <c r="E16" s="398">
        <f t="shared" si="1"/>
        <v>4.0000000000000001E-3</v>
      </c>
      <c r="F16" s="398"/>
    </row>
    <row r="17" spans="2:11" ht="14.25">
      <c r="B17" s="240">
        <f t="shared" si="0"/>
        <v>100000</v>
      </c>
      <c r="C17" s="437">
        <v>45277</v>
      </c>
      <c r="D17" s="427">
        <v>101323.19</v>
      </c>
      <c r="E17" s="398">
        <f t="shared" si="1"/>
        <v>4.0000000000000001E-3</v>
      </c>
      <c r="F17" s="398"/>
    </row>
    <row r="18" spans="2:11" ht="14.25">
      <c r="B18" s="240">
        <f t="shared" si="0"/>
        <v>100000</v>
      </c>
      <c r="C18" s="437">
        <v>45276</v>
      </c>
      <c r="D18" s="427">
        <v>101323.19</v>
      </c>
      <c r="E18" s="398">
        <f t="shared" si="1"/>
        <v>4.0000000000000001E-3</v>
      </c>
      <c r="F18" s="398"/>
    </row>
    <row r="19" spans="2:11" ht="14.25">
      <c r="B19" s="240">
        <f t="shared" si="0"/>
        <v>100000</v>
      </c>
      <c r="C19" s="437">
        <v>45275</v>
      </c>
      <c r="D19" s="427">
        <v>101323.19</v>
      </c>
      <c r="E19" s="398">
        <f>VLOOKUP(D19,$H$5:$I$8,2)</f>
        <v>4.0000000000000001E-3</v>
      </c>
      <c r="F19" s="398"/>
    </row>
    <row r="20" spans="2:11" ht="14.25">
      <c r="B20" s="240">
        <f t="shared" si="0"/>
        <v>100000</v>
      </c>
      <c r="C20" s="437">
        <v>45274</v>
      </c>
      <c r="D20" s="427">
        <v>101323.19</v>
      </c>
      <c r="E20" s="398">
        <f t="shared" si="1"/>
        <v>4.0000000000000001E-3</v>
      </c>
      <c r="F20" s="398"/>
    </row>
    <row r="21" spans="2:11" ht="14.25">
      <c r="B21" s="240">
        <f t="shared" si="0"/>
        <v>100000</v>
      </c>
      <c r="C21" s="437">
        <v>45273</v>
      </c>
      <c r="D21" s="427">
        <v>101323.19</v>
      </c>
      <c r="E21" s="398">
        <f t="shared" si="1"/>
        <v>4.0000000000000001E-3</v>
      </c>
      <c r="F21" s="398"/>
    </row>
    <row r="22" spans="2:11" ht="14.25">
      <c r="B22" s="240">
        <f t="shared" si="0"/>
        <v>100000</v>
      </c>
      <c r="C22" s="437">
        <v>45272</v>
      </c>
      <c r="D22" s="427">
        <v>101323.19</v>
      </c>
      <c r="E22" s="398">
        <f t="shared" si="1"/>
        <v>4.0000000000000001E-3</v>
      </c>
      <c r="F22" s="398"/>
    </row>
    <row r="23" spans="2:11" ht="14.25">
      <c r="B23" s="240">
        <f t="shared" si="0"/>
        <v>100000</v>
      </c>
      <c r="C23" s="437">
        <v>45271</v>
      </c>
      <c r="D23" s="427">
        <v>101323.19</v>
      </c>
      <c r="E23" s="398">
        <f t="shared" si="1"/>
        <v>4.0000000000000001E-3</v>
      </c>
      <c r="F23" s="398"/>
    </row>
    <row r="24" spans="2:11" ht="14.25">
      <c r="B24" s="240">
        <f t="shared" si="0"/>
        <v>100000</v>
      </c>
      <c r="C24" s="437">
        <v>45270</v>
      </c>
      <c r="D24" s="427">
        <v>101323.19</v>
      </c>
      <c r="E24" s="398">
        <f t="shared" si="1"/>
        <v>4.0000000000000001E-3</v>
      </c>
      <c r="F24" s="398"/>
    </row>
    <row r="25" spans="2:11" ht="14.25">
      <c r="B25" s="240">
        <f t="shared" si="0"/>
        <v>100000</v>
      </c>
      <c r="C25" s="437">
        <v>45269</v>
      </c>
      <c r="D25" s="427">
        <v>101323.19</v>
      </c>
      <c r="E25" s="398">
        <f t="shared" si="1"/>
        <v>4.0000000000000001E-3</v>
      </c>
      <c r="F25" s="398"/>
    </row>
    <row r="26" spans="2:11" ht="14.25">
      <c r="B26" s="240">
        <f t="shared" si="0"/>
        <v>100000</v>
      </c>
      <c r="C26" s="437">
        <v>45268</v>
      </c>
      <c r="D26" s="427">
        <v>101323.19</v>
      </c>
      <c r="E26" s="398">
        <f t="shared" si="1"/>
        <v>4.0000000000000001E-3</v>
      </c>
      <c r="F26" s="398"/>
    </row>
    <row r="27" spans="2:11" ht="14.25">
      <c r="B27" s="240">
        <f t="shared" si="0"/>
        <v>100000</v>
      </c>
      <c r="C27" s="437">
        <v>45267</v>
      </c>
      <c r="D27" s="427">
        <v>101323.19</v>
      </c>
      <c r="E27" s="398">
        <f t="shared" si="1"/>
        <v>4.0000000000000001E-3</v>
      </c>
      <c r="F27" s="398"/>
    </row>
    <row r="28" spans="2:11" ht="14.25">
      <c r="B28" s="240">
        <f t="shared" si="0"/>
        <v>100000</v>
      </c>
      <c r="C28" s="437">
        <v>45266</v>
      </c>
      <c r="D28" s="427">
        <v>101323.19</v>
      </c>
      <c r="E28" s="398">
        <f t="shared" si="1"/>
        <v>4.0000000000000001E-3</v>
      </c>
      <c r="F28" s="398"/>
    </row>
    <row r="29" spans="2:11" ht="14.25">
      <c r="B29" s="240">
        <f t="shared" si="0"/>
        <v>100000</v>
      </c>
      <c r="C29" s="437">
        <v>45265</v>
      </c>
      <c r="D29" s="427">
        <v>100223.38</v>
      </c>
      <c r="E29" s="398">
        <f t="shared" si="1"/>
        <v>4.0000000000000001E-3</v>
      </c>
      <c r="F29" s="398"/>
      <c r="H29" s="340" t="s">
        <v>2584</v>
      </c>
      <c r="I29" s="340" t="s">
        <v>2585</v>
      </c>
      <c r="J29" s="340" t="s">
        <v>2663</v>
      </c>
      <c r="K29" s="340" t="s">
        <v>2586</v>
      </c>
    </row>
    <row r="30" spans="2:11" ht="14.25">
      <c r="B30" s="240">
        <f t="shared" si="0"/>
        <v>100000</v>
      </c>
      <c r="C30" s="437">
        <v>45264</v>
      </c>
      <c r="D30" s="427">
        <v>102223.38</v>
      </c>
      <c r="E30" s="398">
        <f t="shared" si="1"/>
        <v>4.0000000000000001E-3</v>
      </c>
      <c r="F30" s="398"/>
      <c r="H30" s="398">
        <v>2.5000000000000001E-2</v>
      </c>
      <c r="I30" s="398">
        <v>8.9999999999999993E-3</v>
      </c>
      <c r="J30" s="398">
        <v>5.0000000000000001E-3</v>
      </c>
      <c r="K30" s="398"/>
    </row>
    <row r="31" spans="2:11" ht="14.25">
      <c r="B31" s="240">
        <f t="shared" si="0"/>
        <v>100000</v>
      </c>
      <c r="C31" s="437">
        <v>45263</v>
      </c>
      <c r="D31" s="427">
        <v>102223.38</v>
      </c>
      <c r="E31" s="398">
        <f t="shared" si="1"/>
        <v>4.0000000000000001E-3</v>
      </c>
      <c r="F31" s="398"/>
      <c r="H31" s="399">
        <f>$B$35</f>
        <v>100000</v>
      </c>
      <c r="I31" s="399">
        <f>$B$35</f>
        <v>100000</v>
      </c>
      <c r="J31" s="399">
        <f>$B$35</f>
        <v>100000</v>
      </c>
    </row>
    <row r="32" spans="2:11" ht="14.25">
      <c r="B32" s="240">
        <f t="shared" si="0"/>
        <v>100000</v>
      </c>
      <c r="C32" s="437">
        <v>45262</v>
      </c>
      <c r="D32" s="457">
        <v>101612</v>
      </c>
      <c r="E32" s="398">
        <f t="shared" si="1"/>
        <v>4.0000000000000001E-3</v>
      </c>
      <c r="F32" s="398"/>
      <c r="H32" s="340" t="s">
        <v>3148</v>
      </c>
      <c r="I32" s="634" t="s">
        <v>3148</v>
      </c>
      <c r="J32" s="634" t="s">
        <v>3148</v>
      </c>
    </row>
    <row r="33" spans="2:11" ht="14.25">
      <c r="B33" s="240">
        <f t="shared" si="0"/>
        <v>100000</v>
      </c>
      <c r="C33" s="437">
        <v>45261</v>
      </c>
      <c r="D33" s="457">
        <v>101612</v>
      </c>
      <c r="E33" s="398">
        <f t="shared" si="1"/>
        <v>4.0000000000000001E-3</v>
      </c>
      <c r="F33" s="398"/>
      <c r="H33" s="340">
        <f>H30*H31/365*31</f>
        <v>212.32876712328766</v>
      </c>
      <c r="I33" s="675">
        <f t="shared" ref="I33:J33" si="2">I30*I31/365*31</f>
        <v>76.438356164383549</v>
      </c>
      <c r="J33" s="675">
        <f t="shared" si="2"/>
        <v>42.465753424657535</v>
      </c>
      <c r="K33" s="399">
        <f>D35</f>
        <v>34.344222465753433</v>
      </c>
    </row>
    <row r="34" spans="2:11">
      <c r="B34" s="240"/>
      <c r="C34" s="397"/>
      <c r="D34" s="403"/>
      <c r="E34" s="398"/>
      <c r="F34" s="398"/>
      <c r="G34" s="340" t="s">
        <v>2676</v>
      </c>
      <c r="H34" s="340">
        <v>212</v>
      </c>
      <c r="I34" s="340">
        <v>76</v>
      </c>
      <c r="J34" s="340">
        <v>42.47</v>
      </c>
      <c r="K34" s="632">
        <v>34</v>
      </c>
    </row>
    <row r="35" spans="2:11">
      <c r="B35" s="399">
        <f>AVERAGE(B3:B33)</f>
        <v>100000</v>
      </c>
      <c r="D35" s="763">
        <f>SUMPRODUCT(D3:D33,E3:E33)/365</f>
        <v>34.344222465753433</v>
      </c>
      <c r="E35" s="763"/>
      <c r="F35" s="400"/>
    </row>
    <row r="36" spans="2:11">
      <c r="B36" s="396" t="s">
        <v>2681</v>
      </c>
      <c r="D36" s="763" t="s">
        <v>2671</v>
      </c>
      <c r="E36" s="763"/>
      <c r="F36" s="400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I26"/>
  <sheetViews>
    <sheetView workbookViewId="0">
      <selection activeCell="I28" sqref="I28"/>
    </sheetView>
  </sheetViews>
  <sheetFormatPr defaultRowHeight="12.75"/>
  <cols>
    <col min="1" max="1" width="0.85546875" style="385" customWidth="1"/>
    <col min="2" max="2" width="9.140625" customWidth="1"/>
    <col min="3" max="3" width="7.5703125" bestFit="1" customWidth="1"/>
    <col min="4" max="4" width="6.5703125" bestFit="1" customWidth="1"/>
    <col min="5" max="5" width="9.28515625" style="385" bestFit="1" customWidth="1"/>
    <col min="6" max="6" width="5.5703125" style="392" bestFit="1" customWidth="1"/>
    <col min="7" max="8" width="9.7109375" bestFit="1" customWidth="1"/>
    <col min="9" max="9" width="44" customWidth="1"/>
  </cols>
  <sheetData>
    <row r="2" spans="2:9" s="385" customFormat="1" ht="25.5">
      <c r="B2" s="388" t="s">
        <v>3168</v>
      </c>
      <c r="C2" s="387" t="s">
        <v>311</v>
      </c>
      <c r="D2" s="388" t="s">
        <v>2609</v>
      </c>
      <c r="E2" s="389" t="s">
        <v>2607</v>
      </c>
      <c r="F2" s="389" t="s">
        <v>2631</v>
      </c>
      <c r="G2" s="389" t="s">
        <v>2608</v>
      </c>
      <c r="H2" s="387" t="s">
        <v>460</v>
      </c>
      <c r="I2" s="386" t="s">
        <v>2606</v>
      </c>
    </row>
    <row r="3" spans="2:9" ht="14.25">
      <c r="B3" s="226"/>
      <c r="C3" s="226">
        <v>102000</v>
      </c>
      <c r="D3" s="226">
        <v>0</v>
      </c>
      <c r="E3" s="226">
        <v>0</v>
      </c>
      <c r="F3" s="646" t="s">
        <v>2630</v>
      </c>
      <c r="G3" s="226">
        <f>SUM(B3:E3)</f>
        <v>102000</v>
      </c>
      <c r="H3" s="81">
        <v>43739</v>
      </c>
      <c r="I3" s="63"/>
    </row>
    <row r="4" spans="2:9">
      <c r="B4" s="226"/>
      <c r="C4" s="226"/>
      <c r="D4" s="226"/>
      <c r="E4" s="226"/>
      <c r="F4" s="393"/>
      <c r="G4" s="226"/>
      <c r="H4" s="63"/>
      <c r="I4" s="63"/>
    </row>
    <row r="5" spans="2:9" ht="14.25">
      <c r="B5" s="226"/>
      <c r="C5" s="226">
        <v>92574</v>
      </c>
      <c r="D5" s="226">
        <v>0</v>
      </c>
      <c r="E5" s="226">
        <v>20000</v>
      </c>
      <c r="F5" s="647" t="s">
        <v>2630</v>
      </c>
      <c r="G5" s="226">
        <f>SUM(B5:E5)</f>
        <v>112574</v>
      </c>
      <c r="H5" s="81">
        <v>43891</v>
      </c>
      <c r="I5" s="63"/>
    </row>
    <row r="6" spans="2:9" ht="14.25">
      <c r="B6" s="226">
        <f>4393.32+8715.16</f>
        <v>13108.48</v>
      </c>
      <c r="C6" s="226">
        <v>90000</v>
      </c>
      <c r="D6" s="226">
        <v>0</v>
      </c>
      <c r="E6" s="226">
        <v>9117</v>
      </c>
      <c r="F6" s="647" t="s">
        <v>2630</v>
      </c>
      <c r="G6" s="226">
        <f>SUM(B6:E6)</f>
        <v>112225.48</v>
      </c>
      <c r="H6" s="81">
        <v>44195</v>
      </c>
      <c r="I6" s="63" t="s">
        <v>2610</v>
      </c>
    </row>
    <row r="7" spans="2:9" ht="14.25">
      <c r="B7" s="226">
        <f>$B$6</f>
        <v>13108.48</v>
      </c>
      <c r="C7" s="390">
        <v>5000</v>
      </c>
      <c r="D7" s="226">
        <v>84000</v>
      </c>
      <c r="E7" s="226">
        <v>8848</v>
      </c>
      <c r="F7" s="647" t="s">
        <v>2630</v>
      </c>
      <c r="G7" s="390">
        <f>SUM(B7:E7)</f>
        <v>110956.48</v>
      </c>
      <c r="H7" s="81">
        <v>44548</v>
      </c>
      <c r="I7" s="63"/>
    </row>
    <row r="8" spans="2:9" s="385" customFormat="1">
      <c r="B8" s="226"/>
      <c r="C8" s="226" t="s">
        <v>2611</v>
      </c>
      <c r="D8" s="226"/>
      <c r="E8" s="226"/>
      <c r="F8" s="393"/>
      <c r="G8" s="226"/>
      <c r="H8" s="81"/>
      <c r="I8" s="63"/>
    </row>
    <row r="9" spans="2:9" ht="14.25">
      <c r="B9" s="226">
        <f t="shared" ref="B9:B22" si="0">$B$6</f>
        <v>13108.48</v>
      </c>
      <c r="C9" s="226">
        <v>2000</v>
      </c>
      <c r="D9" s="226">
        <v>89000</v>
      </c>
      <c r="E9" s="226">
        <v>8672</v>
      </c>
      <c r="F9" s="647" t="s">
        <v>2630</v>
      </c>
      <c r="G9" s="226">
        <f t="shared" ref="G9:G14" si="1">SUM(B9:E9)</f>
        <v>112780.48</v>
      </c>
      <c r="H9" s="81">
        <v>44576</v>
      </c>
      <c r="I9" s="63"/>
    </row>
    <row r="10" spans="2:9" ht="14.25">
      <c r="B10" s="226">
        <f t="shared" si="0"/>
        <v>13108.48</v>
      </c>
      <c r="C10" s="226">
        <v>2000</v>
      </c>
      <c r="D10" s="226">
        <v>89000</v>
      </c>
      <c r="E10" s="226">
        <v>7372</v>
      </c>
      <c r="F10" s="647" t="s">
        <v>2630</v>
      </c>
      <c r="G10" s="226">
        <f t="shared" si="1"/>
        <v>111480.48</v>
      </c>
      <c r="H10" s="81">
        <v>44608</v>
      </c>
      <c r="I10" s="63"/>
    </row>
    <row r="11" spans="2:9" ht="14.25">
      <c r="B11" s="226">
        <f t="shared" si="0"/>
        <v>13108.48</v>
      </c>
      <c r="C11" s="226">
        <v>2000</v>
      </c>
      <c r="D11" s="226">
        <v>90000</v>
      </c>
      <c r="E11" s="226">
        <v>8462</v>
      </c>
      <c r="F11" s="647" t="s">
        <v>2630</v>
      </c>
      <c r="G11" s="226">
        <f t="shared" si="1"/>
        <v>113570.48</v>
      </c>
      <c r="H11" s="81">
        <v>44638</v>
      </c>
      <c r="I11" s="63"/>
    </row>
    <row r="12" spans="2:9" ht="14.25">
      <c r="B12" s="226">
        <f t="shared" si="0"/>
        <v>13108.48</v>
      </c>
      <c r="C12" s="226">
        <v>2000</v>
      </c>
      <c r="D12" s="226">
        <v>91000</v>
      </c>
      <c r="E12" s="226">
        <v>3067</v>
      </c>
      <c r="F12" s="647" t="s">
        <v>2630</v>
      </c>
      <c r="G12" s="226">
        <f t="shared" si="1"/>
        <v>109175.48</v>
      </c>
      <c r="H12" s="81">
        <v>44701</v>
      </c>
      <c r="I12" s="63" t="s">
        <v>3180</v>
      </c>
    </row>
    <row r="13" spans="2:9" ht="14.25">
      <c r="B13" s="226">
        <f t="shared" si="0"/>
        <v>13108.48</v>
      </c>
      <c r="C13" s="226">
        <v>2000</v>
      </c>
      <c r="D13" s="226">
        <v>88000</v>
      </c>
      <c r="E13" s="226">
        <v>7877</v>
      </c>
      <c r="F13" s="647" t="s">
        <v>2630</v>
      </c>
      <c r="G13" s="226">
        <f t="shared" si="1"/>
        <v>110985.48</v>
      </c>
      <c r="H13" s="81">
        <v>44727</v>
      </c>
      <c r="I13" s="63" t="s">
        <v>3181</v>
      </c>
    </row>
    <row r="14" spans="2:9" ht="14.25">
      <c r="B14" s="226">
        <f t="shared" si="0"/>
        <v>13108.48</v>
      </c>
      <c r="C14" s="226">
        <v>2000</v>
      </c>
      <c r="D14" s="226">
        <v>83000</v>
      </c>
      <c r="E14" s="226">
        <v>8751</v>
      </c>
      <c r="F14" s="647" t="s">
        <v>2630</v>
      </c>
      <c r="G14" s="226">
        <f t="shared" si="1"/>
        <v>106859.48</v>
      </c>
      <c r="H14" s="81">
        <v>44788</v>
      </c>
      <c r="I14" s="63" t="s">
        <v>3182</v>
      </c>
    </row>
    <row r="15" spans="2:9" s="385" customFormat="1" ht="14.25">
      <c r="B15" s="226">
        <f t="shared" si="0"/>
        <v>13108.48</v>
      </c>
      <c r="C15" s="226">
        <v>2000</v>
      </c>
      <c r="D15" s="226">
        <v>83000</v>
      </c>
      <c r="E15" s="226">
        <v>5099</v>
      </c>
      <c r="F15" s="647" t="s">
        <v>2630</v>
      </c>
      <c r="G15" s="226">
        <f t="shared" ref="G15:G20" si="2">SUM(B15:E15)</f>
        <v>103207.48</v>
      </c>
      <c r="H15" s="81">
        <v>44849</v>
      </c>
      <c r="I15" s="63"/>
    </row>
    <row r="16" spans="2:9" s="385" customFormat="1" ht="14.25">
      <c r="B16" s="226">
        <f t="shared" si="0"/>
        <v>13108.48</v>
      </c>
      <c r="C16" s="226">
        <v>2000</v>
      </c>
      <c r="D16" s="226">
        <v>80000</v>
      </c>
      <c r="E16" s="226">
        <v>6195</v>
      </c>
      <c r="F16" s="647" t="s">
        <v>2630</v>
      </c>
      <c r="G16" s="226">
        <f t="shared" si="2"/>
        <v>101303.48</v>
      </c>
      <c r="H16" s="81">
        <v>44880</v>
      </c>
      <c r="I16" s="63"/>
    </row>
    <row r="17" spans="2:9" s="385" customFormat="1" ht="14.25">
      <c r="B17" s="226">
        <f t="shared" si="0"/>
        <v>13108.48</v>
      </c>
      <c r="C17" s="226">
        <v>2000</v>
      </c>
      <c r="D17" s="226">
        <v>75000</v>
      </c>
      <c r="E17" s="226">
        <v>9251</v>
      </c>
      <c r="F17" s="647" t="s">
        <v>2630</v>
      </c>
      <c r="G17" s="226">
        <f t="shared" si="2"/>
        <v>99359.48</v>
      </c>
      <c r="H17" s="81">
        <v>44910</v>
      </c>
      <c r="I17" s="63" t="s">
        <v>3182</v>
      </c>
    </row>
    <row r="18" spans="2:9" ht="14.25">
      <c r="B18" s="226">
        <f t="shared" si="0"/>
        <v>13108.48</v>
      </c>
      <c r="C18" s="226">
        <v>2000</v>
      </c>
      <c r="D18" s="226">
        <v>75000</v>
      </c>
      <c r="E18" s="226">
        <v>10000</v>
      </c>
      <c r="F18" s="647" t="s">
        <v>2630</v>
      </c>
      <c r="G18" s="226">
        <f t="shared" si="2"/>
        <v>100108.48</v>
      </c>
      <c r="H18" s="81">
        <v>45000</v>
      </c>
      <c r="I18" s="63"/>
    </row>
    <row r="19" spans="2:9" ht="14.25">
      <c r="B19" s="226">
        <f t="shared" si="0"/>
        <v>13108.48</v>
      </c>
      <c r="C19" s="226">
        <v>2000</v>
      </c>
      <c r="D19" s="226">
        <v>77000</v>
      </c>
      <c r="E19" s="226">
        <v>9000</v>
      </c>
      <c r="F19" s="647" t="s">
        <v>2630</v>
      </c>
      <c r="G19" s="226">
        <f t="shared" si="2"/>
        <v>101108.48</v>
      </c>
      <c r="H19" s="81">
        <v>45092</v>
      </c>
      <c r="I19" s="63" t="s">
        <v>2804</v>
      </c>
    </row>
    <row r="20" spans="2:9" ht="14.25">
      <c r="B20" s="226">
        <f t="shared" si="0"/>
        <v>13108.48</v>
      </c>
      <c r="C20" s="226">
        <v>2000</v>
      </c>
      <c r="D20" s="226">
        <v>82000</v>
      </c>
      <c r="E20" s="226">
        <v>8000</v>
      </c>
      <c r="F20" s="647" t="s">
        <v>2630</v>
      </c>
      <c r="G20" s="226">
        <f t="shared" si="2"/>
        <v>105108.48</v>
      </c>
      <c r="H20" s="81">
        <v>45127</v>
      </c>
      <c r="I20" s="63" t="s">
        <v>2808</v>
      </c>
    </row>
    <row r="21" spans="2:9" s="442" customFormat="1" ht="14.25">
      <c r="B21" s="226">
        <f t="shared" si="0"/>
        <v>13108.48</v>
      </c>
      <c r="C21" s="226">
        <v>2000</v>
      </c>
      <c r="D21" s="226">
        <v>87000</v>
      </c>
      <c r="E21" s="226">
        <v>5000</v>
      </c>
      <c r="F21" s="647" t="s">
        <v>2630</v>
      </c>
      <c r="G21" s="226">
        <f t="shared" ref="G21:G22" si="3">SUM(B21:E21)</f>
        <v>107108.48</v>
      </c>
      <c r="H21" s="81">
        <v>45168</v>
      </c>
      <c r="I21" s="63" t="s">
        <v>3177</v>
      </c>
    </row>
    <row r="22" spans="2:9" s="422" customFormat="1" ht="14.25">
      <c r="B22" s="226">
        <f t="shared" si="0"/>
        <v>13108.48</v>
      </c>
      <c r="C22" s="226">
        <v>3000</v>
      </c>
      <c r="D22" s="226">
        <v>82000</v>
      </c>
      <c r="E22" s="226">
        <v>7000</v>
      </c>
      <c r="F22" s="647" t="s">
        <v>2630</v>
      </c>
      <c r="G22" s="226">
        <f t="shared" si="3"/>
        <v>105108.48</v>
      </c>
      <c r="H22" s="81">
        <v>45285</v>
      </c>
      <c r="I22" s="63" t="s">
        <v>3179</v>
      </c>
    </row>
    <row r="23" spans="2:9">
      <c r="B23" s="226"/>
      <c r="C23" s="63" t="s">
        <v>3178</v>
      </c>
      <c r="D23" s="226"/>
      <c r="E23" s="226"/>
      <c r="F23" s="393"/>
      <c r="G23" s="226"/>
      <c r="H23" s="63"/>
      <c r="I23" s="63"/>
    </row>
    <row r="24" spans="2:9">
      <c r="B24" s="2"/>
      <c r="C24" s="2"/>
      <c r="D24" s="2"/>
      <c r="E24" s="2"/>
      <c r="F24" s="648"/>
      <c r="G24" s="2"/>
    </row>
    <row r="25" spans="2:9">
      <c r="B25" s="2"/>
      <c r="C25" s="2"/>
      <c r="D25" s="2"/>
      <c r="E25" s="2"/>
      <c r="F25" s="648"/>
      <c r="G25" s="2"/>
    </row>
    <row r="26" spans="2:9">
      <c r="B26" s="2"/>
      <c r="C26" s="2"/>
      <c r="D26" s="2"/>
      <c r="E26" s="2"/>
      <c r="F26" s="648"/>
      <c r="G26" s="2"/>
    </row>
  </sheetData>
  <pageMargins left="0.7" right="0.7" top="0.75" bottom="0.75" header="0.3" footer="0.3"/>
  <pageSetup paperSize="9"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D10"/>
  <sheetViews>
    <sheetView workbookViewId="0">
      <selection activeCell="D10" sqref="D10"/>
    </sheetView>
  </sheetViews>
  <sheetFormatPr defaultRowHeight="12.75"/>
  <cols>
    <col min="1" max="1" width="11.140625" style="417" bestFit="1" customWidth="1"/>
    <col min="2" max="2" width="6.7109375" bestFit="1" customWidth="1"/>
    <col min="3" max="3" width="7.28515625" bestFit="1" customWidth="1"/>
    <col min="4" max="4" width="13.28515625" bestFit="1" customWidth="1"/>
  </cols>
  <sheetData>
    <row r="2" spans="1:4" ht="38.25">
      <c r="B2" t="s">
        <v>2753</v>
      </c>
      <c r="C2" s="416" t="s">
        <v>2754</v>
      </c>
      <c r="D2" t="s">
        <v>461</v>
      </c>
    </row>
    <row r="3" spans="1:4">
      <c r="A3" s="417">
        <v>45082</v>
      </c>
      <c r="C3">
        <v>1000</v>
      </c>
      <c r="D3" t="s">
        <v>2752</v>
      </c>
    </row>
    <row r="4" spans="1:4">
      <c r="B4">
        <v>5000</v>
      </c>
      <c r="C4">
        <f>C3+B4</f>
        <v>6000</v>
      </c>
      <c r="D4" t="s">
        <v>2750</v>
      </c>
    </row>
    <row r="5" spans="1:4">
      <c r="B5">
        <v>5000</v>
      </c>
      <c r="C5" s="415">
        <f>C4+B5</f>
        <v>11000</v>
      </c>
      <c r="D5" s="415" t="s">
        <v>2750</v>
      </c>
    </row>
    <row r="6" spans="1:4">
      <c r="B6">
        <v>2000</v>
      </c>
      <c r="C6" s="415">
        <f>C5+B6</f>
        <v>13000</v>
      </c>
      <c r="D6" t="s">
        <v>2749</v>
      </c>
    </row>
    <row r="7" spans="1:4">
      <c r="B7">
        <v>2000</v>
      </c>
      <c r="C7" s="415">
        <f>C6+B7</f>
        <v>15000</v>
      </c>
      <c r="D7" s="415" t="s">
        <v>2749</v>
      </c>
    </row>
    <row r="8" spans="1:4">
      <c r="A8" s="417">
        <v>45098</v>
      </c>
      <c r="B8">
        <v>-12700</v>
      </c>
      <c r="D8" t="s">
        <v>2751</v>
      </c>
    </row>
    <row r="9" spans="1:4">
      <c r="C9" s="415">
        <f>C7+B8</f>
        <v>2300</v>
      </c>
      <c r="D9" t="s">
        <v>2755</v>
      </c>
    </row>
    <row r="10" spans="1:4">
      <c r="A10" s="417">
        <v>45106</v>
      </c>
      <c r="B10">
        <v>-1410</v>
      </c>
      <c r="C10" s="415">
        <f>C9+B10</f>
        <v>890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B4"/>
  <sheetViews>
    <sheetView workbookViewId="0">
      <selection activeCell="I48" sqref="I48"/>
    </sheetView>
  </sheetViews>
  <sheetFormatPr defaultRowHeight="12.75"/>
  <cols>
    <col min="1" max="1" width="2" bestFit="1" customWidth="1"/>
  </cols>
  <sheetData>
    <row r="2" spans="1:2">
      <c r="A2">
        <v>1</v>
      </c>
      <c r="B2" t="s">
        <v>1040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2.75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8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8" bestFit="1" customWidth="1"/>
    <col min="56" max="56" width="9.5703125" bestFit="1" customWidth="1"/>
  </cols>
  <sheetData>
    <row r="1" spans="2:63">
      <c r="B1" s="708" t="s">
        <v>124</v>
      </c>
      <c r="C1" s="708"/>
      <c r="D1" s="711" t="s">
        <v>292</v>
      </c>
      <c r="E1" s="711"/>
      <c r="F1" s="711" t="s">
        <v>341</v>
      </c>
      <c r="G1" s="711"/>
      <c r="H1" s="709" t="s">
        <v>127</v>
      </c>
      <c r="I1" s="709"/>
      <c r="J1" s="705" t="s">
        <v>292</v>
      </c>
      <c r="K1" s="705"/>
      <c r="L1" s="710" t="s">
        <v>520</v>
      </c>
      <c r="M1" s="710"/>
      <c r="N1" s="709" t="s">
        <v>146</v>
      </c>
      <c r="O1" s="709"/>
      <c r="P1" s="705" t="s">
        <v>293</v>
      </c>
      <c r="Q1" s="705"/>
      <c r="R1" s="710" t="s">
        <v>522</v>
      </c>
      <c r="S1" s="710"/>
      <c r="T1" s="699" t="s">
        <v>193</v>
      </c>
      <c r="U1" s="699"/>
      <c r="V1" s="705" t="s">
        <v>292</v>
      </c>
      <c r="W1" s="705"/>
      <c r="X1" s="704" t="s">
        <v>524</v>
      </c>
      <c r="Y1" s="704"/>
      <c r="Z1" s="699" t="s">
        <v>241</v>
      </c>
      <c r="AA1" s="699"/>
      <c r="AB1" s="706" t="s">
        <v>292</v>
      </c>
      <c r="AC1" s="706"/>
      <c r="AD1" s="707" t="s">
        <v>524</v>
      </c>
      <c r="AE1" s="707"/>
      <c r="AF1" s="699" t="s">
        <v>367</v>
      </c>
      <c r="AG1" s="699"/>
      <c r="AH1" s="706" t="s">
        <v>292</v>
      </c>
      <c r="AI1" s="706"/>
      <c r="AJ1" s="704" t="s">
        <v>530</v>
      </c>
      <c r="AK1" s="704"/>
      <c r="AL1" s="699" t="s">
        <v>389</v>
      </c>
      <c r="AM1" s="699"/>
      <c r="AN1" s="716" t="s">
        <v>292</v>
      </c>
      <c r="AO1" s="716"/>
      <c r="AP1" s="714" t="s">
        <v>531</v>
      </c>
      <c r="AQ1" s="714"/>
      <c r="AR1" s="699" t="s">
        <v>416</v>
      </c>
      <c r="AS1" s="699"/>
      <c r="AV1" s="714" t="s">
        <v>285</v>
      </c>
      <c r="AW1" s="714"/>
      <c r="AX1" s="717" t="s">
        <v>998</v>
      </c>
      <c r="AY1" s="717"/>
      <c r="AZ1" s="717"/>
      <c r="BA1" s="207"/>
      <c r="BB1" s="712">
        <v>42942</v>
      </c>
      <c r="BC1" s="713"/>
      <c r="BD1" s="713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8">
        <f>SUM(AY6:AY20)</f>
        <v>160501.32599999997</v>
      </c>
      <c r="BB3" s="1" t="s">
        <v>161</v>
      </c>
      <c r="BC3" s="198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698" t="s">
        <v>261</v>
      </c>
      <c r="U4" s="698"/>
      <c r="X4" s="119" t="s">
        <v>233</v>
      </c>
      <c r="Y4" s="123">
        <f>Y3-Y6</f>
        <v>4.9669099999591708</v>
      </c>
      <c r="Z4" s="698" t="s">
        <v>262</v>
      </c>
      <c r="AA4" s="698"/>
      <c r="AD4" s="154" t="s">
        <v>233</v>
      </c>
      <c r="AE4" s="154">
        <f>AE3-AE5</f>
        <v>-52.526899999851594</v>
      </c>
      <c r="AF4" s="698" t="s">
        <v>262</v>
      </c>
      <c r="AG4" s="698"/>
      <c r="AH4" s="143"/>
      <c r="AI4" s="143"/>
      <c r="AJ4" s="154" t="s">
        <v>233</v>
      </c>
      <c r="AK4" s="154">
        <f>AK3-AK5</f>
        <v>94.988909999992757</v>
      </c>
      <c r="AL4" s="698" t="s">
        <v>262</v>
      </c>
      <c r="AM4" s="698"/>
      <c r="AP4" s="170" t="s">
        <v>233</v>
      </c>
      <c r="AQ4" s="174">
        <f>AQ3-AQ5</f>
        <v>33.841989999942598</v>
      </c>
      <c r="AR4" s="698" t="s">
        <v>262</v>
      </c>
      <c r="AS4" s="698"/>
      <c r="AX4" s="698" t="s">
        <v>564</v>
      </c>
      <c r="AY4" s="698"/>
      <c r="BB4" s="698" t="s">
        <v>567</v>
      </c>
      <c r="BC4" s="698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698"/>
      <c r="U5" s="698"/>
      <c r="V5" s="3" t="s">
        <v>258</v>
      </c>
      <c r="W5">
        <v>2050</v>
      </c>
      <c r="X5" s="82"/>
      <c r="Z5" s="698"/>
      <c r="AA5" s="698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698"/>
      <c r="AG5" s="698"/>
      <c r="AH5" s="143"/>
      <c r="AI5" s="143"/>
      <c r="AJ5" s="154" t="s">
        <v>352</v>
      </c>
      <c r="AK5" s="162">
        <f>SUM(AK11:AK59)</f>
        <v>30858.011000000002</v>
      </c>
      <c r="AL5" s="698"/>
      <c r="AM5" s="698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698"/>
      <c r="AS5" s="698"/>
      <c r="AX5" s="698"/>
      <c r="AY5" s="698"/>
      <c r="BB5" s="698"/>
      <c r="BC5" s="698"/>
      <c r="BD5" s="715" t="s">
        <v>999</v>
      </c>
      <c r="BE5" s="715"/>
      <c r="BF5" s="715"/>
      <c r="BG5" s="715"/>
      <c r="BH5" s="715"/>
      <c r="BI5" s="715"/>
      <c r="BJ5" s="715"/>
      <c r="BK5" s="715"/>
    </row>
    <row r="6" spans="2:63" ht="25.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8">
        <v>10600.32</v>
      </c>
      <c r="BB6" t="s">
        <v>423</v>
      </c>
      <c r="BC6" s="198">
        <v>10600.001</v>
      </c>
      <c r="BD6" t="s">
        <v>1260</v>
      </c>
    </row>
    <row r="7" spans="2:63" ht="38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8">
        <v>2000.001</v>
      </c>
      <c r="BB7" s="1" t="s">
        <v>348</v>
      </c>
      <c r="BC7" s="198">
        <v>3400</v>
      </c>
      <c r="BD7" t="s">
        <v>1261</v>
      </c>
    </row>
    <row r="8" spans="2:63" ht="25.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5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8">
        <v>22000.001</v>
      </c>
      <c r="BB8" t="s">
        <v>502</v>
      </c>
      <c r="BC8" s="198">
        <v>9000</v>
      </c>
    </row>
    <row r="9" spans="2:63" ht="25.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8">
        <v>1000.001</v>
      </c>
      <c r="BB13" s="1" t="s">
        <v>98</v>
      </c>
      <c r="BC13" s="198">
        <v>993</v>
      </c>
    </row>
    <row r="14" spans="2:63" ht="25.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8">
        <v>1501</v>
      </c>
      <c r="BB14" s="1" t="s">
        <v>100</v>
      </c>
      <c r="BC14" s="198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8">
        <v>21000.001</v>
      </c>
      <c r="BB15" t="s">
        <v>560</v>
      </c>
      <c r="BC15" s="198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8">
        <f>88800+33600.001</f>
        <v>122400.00099999999</v>
      </c>
      <c r="BB16" t="s">
        <v>561</v>
      </c>
      <c r="BC16" s="198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8">
        <v>-40000</v>
      </c>
      <c r="BB17" t="s">
        <v>571</v>
      </c>
      <c r="BC17" s="198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8">
        <v>10000.001</v>
      </c>
      <c r="BB18" t="s">
        <v>505</v>
      </c>
      <c r="BC18" s="198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8">
        <v>0</v>
      </c>
      <c r="BB19" t="s">
        <v>494</v>
      </c>
      <c r="BC19" s="198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8">
        <v>10000</v>
      </c>
      <c r="BB20" t="s">
        <v>566</v>
      </c>
      <c r="BC20" s="198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700" t="s">
        <v>264</v>
      </c>
      <c r="W23" s="701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702"/>
      <c r="W24" s="703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7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8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8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8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09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09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199"/>
      <c r="AZ33" s="210"/>
      <c r="BA33" s="211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199">
        <f>12000+14000</f>
        <v>26000</v>
      </c>
      <c r="AZ34" s="210"/>
      <c r="BA34" s="211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199">
        <v>0</v>
      </c>
      <c r="AZ35" s="210"/>
      <c r="BA35" s="211"/>
      <c r="BB35" s="109" t="s">
        <v>498</v>
      </c>
      <c r="BC35" s="199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0">
        <v>-2800000</v>
      </c>
      <c r="BA36" s="211"/>
      <c r="BB36" s="109" t="s">
        <v>499</v>
      </c>
      <c r="BC36" s="199">
        <f>12000+14000+16600</f>
        <v>42600</v>
      </c>
      <c r="BD36" s="63">
        <v>-2800000</v>
      </c>
    </row>
    <row r="37" spans="11:56" ht="14.25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199"/>
      <c r="AZ37" s="210">
        <v>352000</v>
      </c>
      <c r="BA37" s="211"/>
      <c r="BB37" s="109" t="s">
        <v>500</v>
      </c>
      <c r="BC37" s="199">
        <v>0</v>
      </c>
      <c r="BD37" s="63">
        <v>705000</v>
      </c>
    </row>
    <row r="38" spans="11:56" ht="13.5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199">
        <f>(AZ36+AZ37)/36</f>
        <v>-68000</v>
      </c>
      <c r="AZ38" s="210"/>
      <c r="BA38" s="211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199"/>
      <c r="AZ39" s="210"/>
      <c r="BA39" s="211"/>
      <c r="BB39" s="109" t="s">
        <v>573</v>
      </c>
      <c r="BC39" s="199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199"/>
      <c r="AZ40" s="210"/>
      <c r="BA40" s="211"/>
      <c r="BB40" s="109" t="s">
        <v>504</v>
      </c>
      <c r="BC40" s="199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199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199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6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6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7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7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Z4:AA5"/>
    <mergeCell ref="T4:U5"/>
    <mergeCell ref="T1:U1"/>
    <mergeCell ref="V23:W24"/>
    <mergeCell ref="X1:Y1"/>
    <mergeCell ref="V1:W1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2"/>
  <sheetViews>
    <sheetView zoomScaleNormal="100" workbookViewId="0">
      <selection activeCell="G65" sqref="G65"/>
    </sheetView>
  </sheetViews>
  <sheetFormatPr defaultRowHeight="12.75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/>
    <row r="2" spans="2:16">
      <c r="B2" s="248" t="s">
        <v>334</v>
      </c>
      <c r="C2" s="248" t="s">
        <v>333</v>
      </c>
      <c r="D2" s="248" t="s">
        <v>1043</v>
      </c>
      <c r="E2" s="248"/>
      <c r="F2" s="248" t="s">
        <v>324</v>
      </c>
      <c r="G2" s="249" t="s">
        <v>317</v>
      </c>
      <c r="H2" s="250" t="s">
        <v>316</v>
      </c>
      <c r="I2" s="250"/>
      <c r="J2" s="249" t="s">
        <v>317</v>
      </c>
      <c r="K2" s="250" t="s">
        <v>316</v>
      </c>
      <c r="L2" s="250"/>
      <c r="M2" s="249" t="s">
        <v>317</v>
      </c>
      <c r="N2" s="250" t="s">
        <v>316</v>
      </c>
      <c r="O2" s="249" t="s">
        <v>317</v>
      </c>
      <c r="P2" s="250" t="s">
        <v>316</v>
      </c>
    </row>
    <row r="3" spans="2:16">
      <c r="B3" s="248"/>
      <c r="C3" s="248"/>
      <c r="D3" s="248" t="s">
        <v>2480</v>
      </c>
      <c r="E3" s="248"/>
      <c r="F3" s="248"/>
      <c r="G3" s="718" t="s">
        <v>2565</v>
      </c>
      <c r="H3" s="719"/>
      <c r="I3" s="345"/>
      <c r="J3" s="718" t="s">
        <v>2566</v>
      </c>
      <c r="K3" s="719"/>
      <c r="L3" s="273"/>
      <c r="M3" s="718">
        <v>43739</v>
      </c>
      <c r="N3" s="719"/>
      <c r="O3" s="718">
        <v>42401</v>
      </c>
      <c r="P3" s="719"/>
    </row>
    <row r="4" spans="2:16">
      <c r="B4" s="63" t="s">
        <v>322</v>
      </c>
      <c r="C4" s="71" t="s">
        <v>2486</v>
      </c>
      <c r="D4" s="63" t="s">
        <v>1037</v>
      </c>
      <c r="E4" s="63" t="s">
        <v>309</v>
      </c>
      <c r="F4" s="63" t="s">
        <v>1183</v>
      </c>
      <c r="G4" s="349"/>
      <c r="H4" s="381">
        <f>K4</f>
        <v>20000</v>
      </c>
      <c r="I4" s="226"/>
      <c r="J4" s="349"/>
      <c r="K4" s="353">
        <f>N4</f>
        <v>20000</v>
      </c>
      <c r="L4" s="226"/>
      <c r="M4" s="349"/>
      <c r="N4" s="226">
        <v>20000</v>
      </c>
      <c r="O4" s="63"/>
      <c r="P4" s="226">
        <v>20000</v>
      </c>
    </row>
    <row r="5" spans="2:16">
      <c r="B5" s="63" t="s">
        <v>322</v>
      </c>
      <c r="C5" s="71" t="s">
        <v>2486</v>
      </c>
      <c r="D5" s="71" t="s">
        <v>1037</v>
      </c>
      <c r="E5" s="63" t="s">
        <v>2487</v>
      </c>
      <c r="F5" s="63" t="s">
        <v>1183</v>
      </c>
      <c r="G5" s="349"/>
      <c r="H5" s="226">
        <f>300*6</f>
        <v>1800</v>
      </c>
      <c r="I5" s="226"/>
      <c r="J5" s="349"/>
      <c r="K5" s="353">
        <f>N5</f>
        <v>1200</v>
      </c>
      <c r="L5" s="226"/>
      <c r="M5" s="349"/>
      <c r="N5" s="226">
        <f>200*6</f>
        <v>1200</v>
      </c>
      <c r="O5" s="63"/>
      <c r="P5" s="226">
        <v>1020</v>
      </c>
    </row>
    <row r="6" spans="2:16">
      <c r="B6" s="63" t="s">
        <v>315</v>
      </c>
      <c r="C6" s="71" t="s">
        <v>2486</v>
      </c>
      <c r="D6" s="71" t="s">
        <v>1044</v>
      </c>
      <c r="E6" s="63" t="s">
        <v>2490</v>
      </c>
      <c r="F6" s="63" t="s">
        <v>1183</v>
      </c>
      <c r="G6" s="349" t="s">
        <v>2593</v>
      </c>
      <c r="H6" s="226">
        <v>32000</v>
      </c>
      <c r="I6" s="226"/>
      <c r="J6" s="349"/>
      <c r="K6" s="226">
        <v>0</v>
      </c>
      <c r="L6" s="226"/>
      <c r="M6" s="349"/>
      <c r="N6" s="226">
        <v>0</v>
      </c>
      <c r="O6" s="63"/>
      <c r="P6" s="63"/>
    </row>
    <row r="7" spans="2:16" s="342" customFormat="1">
      <c r="B7" s="63" t="s">
        <v>315</v>
      </c>
      <c r="C7" s="71" t="s">
        <v>315</v>
      </c>
      <c r="D7" s="71" t="s">
        <v>1044</v>
      </c>
      <c r="E7" s="63" t="s">
        <v>2489</v>
      </c>
      <c r="F7" s="63" t="s">
        <v>1183</v>
      </c>
      <c r="G7" s="349"/>
      <c r="H7" s="226" t="s">
        <v>2592</v>
      </c>
      <c r="I7" s="226"/>
      <c r="J7" s="349"/>
      <c r="K7" s="226">
        <v>564</v>
      </c>
      <c r="L7" s="226"/>
      <c r="M7" s="349"/>
      <c r="N7" s="226">
        <v>6100</v>
      </c>
      <c r="O7" s="63"/>
      <c r="P7" s="63"/>
    </row>
    <row r="8" spans="2:16">
      <c r="B8" s="63" t="s">
        <v>315</v>
      </c>
      <c r="C8" s="71" t="s">
        <v>315</v>
      </c>
      <c r="D8" s="71" t="s">
        <v>1038</v>
      </c>
      <c r="E8" s="63" t="s">
        <v>2532</v>
      </c>
      <c r="F8" s="63" t="s">
        <v>1183</v>
      </c>
      <c r="G8" s="349"/>
      <c r="H8" s="226">
        <v>1500</v>
      </c>
      <c r="I8" s="226"/>
      <c r="J8" s="349"/>
      <c r="K8" s="226">
        <v>1642</v>
      </c>
      <c r="L8" s="226"/>
      <c r="M8" s="349"/>
      <c r="N8" s="226">
        <v>1300</v>
      </c>
      <c r="O8" s="63"/>
      <c r="P8" s="63"/>
    </row>
    <row r="9" spans="2:16">
      <c r="B9" s="63" t="s">
        <v>315</v>
      </c>
      <c r="C9" s="71" t="s">
        <v>315</v>
      </c>
      <c r="D9" s="71" t="s">
        <v>1038</v>
      </c>
      <c r="E9" s="63" t="s">
        <v>2491</v>
      </c>
      <c r="F9" s="63" t="s">
        <v>327</v>
      </c>
      <c r="G9" s="349"/>
      <c r="H9" s="226">
        <v>1500</v>
      </c>
      <c r="I9" s="226"/>
      <c r="J9" s="349"/>
      <c r="K9" s="226">
        <v>2031</v>
      </c>
      <c r="L9" s="226"/>
      <c r="M9" s="349"/>
      <c r="N9" s="226">
        <v>107000</v>
      </c>
      <c r="O9" s="63"/>
      <c r="P9" s="226">
        <v>120000</v>
      </c>
    </row>
    <row r="10" spans="2:16">
      <c r="B10" s="63" t="s">
        <v>315</v>
      </c>
      <c r="C10" s="71" t="s">
        <v>315</v>
      </c>
      <c r="D10" s="71" t="s">
        <v>1044</v>
      </c>
      <c r="E10" s="63" t="s">
        <v>2492</v>
      </c>
      <c r="F10" s="63" t="s">
        <v>1183</v>
      </c>
      <c r="G10" s="349"/>
      <c r="H10" s="226">
        <f>14300+2000</f>
        <v>16300</v>
      </c>
      <c r="I10" s="226"/>
      <c r="J10" s="349"/>
      <c r="K10" s="226">
        <v>57781</v>
      </c>
      <c r="L10" s="226"/>
      <c r="M10" s="349"/>
      <c r="N10" s="226">
        <v>0</v>
      </c>
      <c r="O10" s="63"/>
      <c r="P10" s="63"/>
    </row>
    <row r="11" spans="2:16">
      <c r="B11" s="63" t="s">
        <v>315</v>
      </c>
      <c r="C11" s="71"/>
      <c r="D11" s="71" t="s">
        <v>1044</v>
      </c>
      <c r="E11" s="63" t="s">
        <v>2471</v>
      </c>
      <c r="F11" s="63" t="s">
        <v>2475</v>
      </c>
      <c r="G11" s="349"/>
      <c r="H11" s="226" t="s">
        <v>2567</v>
      </c>
      <c r="I11" s="226"/>
      <c r="J11" s="349"/>
      <c r="K11" s="226">
        <v>-46000</v>
      </c>
      <c r="L11" s="226"/>
      <c r="M11" s="349"/>
      <c r="N11" s="226">
        <v>-36000</v>
      </c>
      <c r="O11" s="63"/>
      <c r="P11" s="63"/>
    </row>
    <row r="12" spans="2:16" ht="5.25" customHeight="1">
      <c r="B12" s="63"/>
      <c r="C12" s="71"/>
      <c r="D12" s="71"/>
      <c r="E12" s="63" t="s">
        <v>1039</v>
      </c>
      <c r="F12" s="63" t="s">
        <v>1183</v>
      </c>
      <c r="G12" s="349"/>
      <c r="H12" s="226">
        <v>0</v>
      </c>
      <c r="I12" s="226"/>
      <c r="J12" s="349"/>
      <c r="K12" s="351">
        <f>N12</f>
        <v>20000</v>
      </c>
      <c r="L12" s="226"/>
      <c r="M12" s="349"/>
      <c r="N12" s="226">
        <v>20000</v>
      </c>
      <c r="O12" s="63"/>
      <c r="P12" s="63"/>
    </row>
    <row r="13" spans="2:16" s="365" customFormat="1">
      <c r="B13" s="63" t="s">
        <v>315</v>
      </c>
      <c r="C13" s="71" t="s">
        <v>315</v>
      </c>
      <c r="D13" s="71" t="s">
        <v>1044</v>
      </c>
      <c r="E13" s="63" t="s">
        <v>2531</v>
      </c>
      <c r="F13" s="63" t="s">
        <v>1183</v>
      </c>
      <c r="G13" s="349"/>
      <c r="H13" s="226">
        <v>0</v>
      </c>
      <c r="I13" s="226"/>
      <c r="J13" s="349"/>
      <c r="K13" s="351"/>
      <c r="L13" s="226"/>
      <c r="M13" s="349"/>
      <c r="N13" s="226"/>
      <c r="O13" s="63"/>
      <c r="P13" s="63"/>
    </row>
    <row r="14" spans="2:16">
      <c r="B14" s="63" t="s">
        <v>322</v>
      </c>
      <c r="C14" s="71" t="s">
        <v>315</v>
      </c>
      <c r="D14" s="71" t="s">
        <v>2564</v>
      </c>
      <c r="E14" s="63" t="s">
        <v>843</v>
      </c>
      <c r="F14" s="63" t="s">
        <v>1183</v>
      </c>
      <c r="G14" s="349"/>
      <c r="H14" s="381">
        <v>2500</v>
      </c>
      <c r="I14" s="226"/>
      <c r="J14" s="349"/>
      <c r="K14" s="353">
        <f>N14</f>
        <v>2500</v>
      </c>
      <c r="L14" s="226"/>
      <c r="M14" s="349"/>
      <c r="N14" s="226">
        <v>2500</v>
      </c>
      <c r="O14" s="63"/>
      <c r="P14" s="63"/>
    </row>
    <row r="15" spans="2:16">
      <c r="B15" s="63"/>
      <c r="C15" s="71" t="s">
        <v>314</v>
      </c>
      <c r="D15" s="71" t="s">
        <v>2564</v>
      </c>
      <c r="E15" s="63" t="s">
        <v>863</v>
      </c>
      <c r="F15" s="63" t="s">
        <v>1183</v>
      </c>
      <c r="G15" s="349"/>
      <c r="H15" s="381">
        <v>5000</v>
      </c>
      <c r="I15" s="226"/>
      <c r="J15" s="349"/>
      <c r="K15" s="353">
        <f>N15</f>
        <v>5000</v>
      </c>
      <c r="L15" s="226"/>
      <c r="M15" s="349"/>
      <c r="N15" s="226">
        <v>5000</v>
      </c>
      <c r="O15" s="63"/>
      <c r="P15" s="63"/>
    </row>
    <row r="16" spans="2:16">
      <c r="B16" s="63" t="s">
        <v>322</v>
      </c>
      <c r="C16" s="71" t="s">
        <v>315</v>
      </c>
      <c r="D16" s="71" t="s">
        <v>2564</v>
      </c>
      <c r="E16" s="63" t="s">
        <v>871</v>
      </c>
      <c r="F16" s="71" t="s">
        <v>1183</v>
      </c>
      <c r="G16" s="349"/>
      <c r="H16" s="226">
        <v>13400</v>
      </c>
      <c r="I16" s="226"/>
      <c r="J16" s="349"/>
      <c r="K16" s="226">
        <v>1300</v>
      </c>
      <c r="L16" s="226"/>
      <c r="M16" s="349"/>
      <c r="N16" s="226">
        <v>900</v>
      </c>
      <c r="O16" s="63"/>
      <c r="P16" s="63"/>
    </row>
    <row r="17" spans="2:16" s="343" customFormat="1">
      <c r="B17" s="63" t="s">
        <v>322</v>
      </c>
      <c r="C17" s="71" t="s">
        <v>315</v>
      </c>
      <c r="D17" s="71" t="s">
        <v>2564</v>
      </c>
      <c r="E17" s="63" t="s">
        <v>2461</v>
      </c>
      <c r="F17" s="71" t="s">
        <v>1183</v>
      </c>
      <c r="G17" s="349"/>
      <c r="H17" s="381">
        <v>5000</v>
      </c>
      <c r="I17" s="226"/>
      <c r="J17" s="349"/>
      <c r="K17" s="353">
        <f>N17</f>
        <v>5000</v>
      </c>
      <c r="L17" s="226"/>
      <c r="M17" s="349"/>
      <c r="N17" s="226">
        <v>5000</v>
      </c>
      <c r="O17" s="63"/>
      <c r="P17" s="63"/>
    </row>
    <row r="18" spans="2:16" ht="13.15" customHeight="1">
      <c r="B18" s="63"/>
      <c r="C18" s="724" t="s">
        <v>2495</v>
      </c>
      <c r="D18" s="71" t="s">
        <v>2564</v>
      </c>
      <c r="E18" s="63" t="s">
        <v>2482</v>
      </c>
      <c r="F18" s="63" t="s">
        <v>1183</v>
      </c>
      <c r="G18" s="349"/>
      <c r="H18" s="381">
        <f>N18</f>
        <v>90000</v>
      </c>
      <c r="I18" s="226"/>
      <c r="J18" s="349"/>
      <c r="K18" s="353">
        <f>N18</f>
        <v>90000</v>
      </c>
      <c r="L18" s="226"/>
      <c r="M18" s="349"/>
      <c r="N18" s="226">
        <v>90000</v>
      </c>
      <c r="O18" s="63"/>
      <c r="P18" s="226">
        <v>90000</v>
      </c>
    </row>
    <row r="19" spans="2:16">
      <c r="B19" s="63"/>
      <c r="C19" s="725"/>
      <c r="D19" s="71" t="s">
        <v>2564</v>
      </c>
      <c r="E19" s="63" t="s">
        <v>2484</v>
      </c>
      <c r="F19" s="63" t="s">
        <v>1183</v>
      </c>
      <c r="G19" s="349"/>
      <c r="H19" s="226">
        <f>N19+169000</f>
        <v>439000</v>
      </c>
      <c r="I19" s="226"/>
      <c r="J19" s="349"/>
      <c r="K19" s="226">
        <f>N19+169000*40%</f>
        <v>337600</v>
      </c>
      <c r="L19" s="226"/>
      <c r="M19" s="349"/>
      <c r="N19" s="226">
        <v>270000</v>
      </c>
      <c r="O19" s="63"/>
      <c r="P19" s="63"/>
    </row>
    <row r="20" spans="2:16">
      <c r="B20" s="63" t="s">
        <v>315</v>
      </c>
      <c r="C20" s="725"/>
      <c r="D20" s="71" t="s">
        <v>2564</v>
      </c>
      <c r="E20" s="63" t="s">
        <v>2483</v>
      </c>
      <c r="F20" s="63" t="s">
        <v>327</v>
      </c>
      <c r="G20" s="349">
        <f>750000-415000</f>
        <v>335000</v>
      </c>
      <c r="H20" s="226"/>
      <c r="I20" s="226"/>
      <c r="J20" s="354">
        <f>M20</f>
        <v>600000</v>
      </c>
      <c r="K20" s="226"/>
      <c r="L20" s="226"/>
      <c r="M20" s="350">
        <v>600000</v>
      </c>
      <c r="N20" s="226"/>
      <c r="O20" s="350">
        <f>600000-154000</f>
        <v>446000</v>
      </c>
      <c r="P20" s="63"/>
    </row>
    <row r="21" spans="2:16">
      <c r="B21" s="63" t="s">
        <v>315</v>
      </c>
      <c r="C21" s="725"/>
      <c r="D21" s="71" t="s">
        <v>2564</v>
      </c>
      <c r="E21" s="63" t="s">
        <v>2481</v>
      </c>
      <c r="F21" s="63" t="s">
        <v>1183</v>
      </c>
      <c r="G21" s="380">
        <f>200000</f>
        <v>200000</v>
      </c>
      <c r="H21" s="226"/>
      <c r="I21" s="226"/>
      <c r="J21" s="354">
        <f>M21</f>
        <v>200000</v>
      </c>
      <c r="K21" s="226"/>
      <c r="L21" s="226"/>
      <c r="M21" s="350">
        <v>200000</v>
      </c>
      <c r="N21" s="226"/>
      <c r="O21" s="226">
        <v>105000</v>
      </c>
      <c r="P21" s="63"/>
    </row>
    <row r="22" spans="2:16">
      <c r="B22" s="63" t="s">
        <v>315</v>
      </c>
      <c r="C22" s="725"/>
      <c r="D22" s="71" t="s">
        <v>1038</v>
      </c>
      <c r="E22" s="63" t="s">
        <v>1185</v>
      </c>
      <c r="F22" s="63" t="s">
        <v>1184</v>
      </c>
      <c r="G22" s="350">
        <f>1000+15000+18000</f>
        <v>34000</v>
      </c>
      <c r="H22" s="226"/>
      <c r="I22" s="226"/>
      <c r="J22" s="350">
        <f>37303+14272+15932</f>
        <v>67507</v>
      </c>
      <c r="K22" s="226"/>
      <c r="L22" s="226"/>
      <c r="M22" s="350">
        <f>(35+13+14)*1000</f>
        <v>62000</v>
      </c>
      <c r="N22" s="226"/>
      <c r="O22" s="394">
        <v>5000</v>
      </c>
      <c r="P22" s="63"/>
    </row>
    <row r="23" spans="2:16">
      <c r="B23" s="63" t="s">
        <v>315</v>
      </c>
      <c r="C23" s="725"/>
      <c r="D23" s="71" t="s">
        <v>1044</v>
      </c>
      <c r="E23" s="63" t="s">
        <v>1036</v>
      </c>
      <c r="F23" s="63" t="s">
        <v>1183</v>
      </c>
      <c r="G23" s="379">
        <f>205000+68000</f>
        <v>273000</v>
      </c>
      <c r="H23" s="226"/>
      <c r="I23" s="226"/>
      <c r="J23" s="349">
        <f>57247+54415</f>
        <v>111662</v>
      </c>
      <c r="K23" s="226"/>
      <c r="L23" s="226"/>
      <c r="M23" s="349">
        <f>51797+50452</f>
        <v>102249</v>
      </c>
      <c r="N23" s="226"/>
      <c r="O23" s="350">
        <v>78000</v>
      </c>
      <c r="P23" s="63"/>
    </row>
    <row r="24" spans="2:16">
      <c r="B24" s="63" t="s">
        <v>315</v>
      </c>
      <c r="C24" s="725"/>
      <c r="D24" s="71" t="s">
        <v>1044</v>
      </c>
      <c r="E24" s="63" t="s">
        <v>2464</v>
      </c>
      <c r="F24" s="63" t="s">
        <v>1183</v>
      </c>
      <c r="G24" s="352">
        <f>(113000+20000)+8000</f>
        <v>141000</v>
      </c>
      <c r="H24" s="226"/>
      <c r="I24" s="226"/>
      <c r="J24" s="350">
        <v>24201</v>
      </c>
      <c r="K24" s="226"/>
      <c r="L24" s="226"/>
      <c r="M24" s="350">
        <v>17000</v>
      </c>
      <c r="N24" s="226"/>
      <c r="O24" s="394">
        <v>142000</v>
      </c>
      <c r="P24" s="63"/>
    </row>
    <row r="25" spans="2:16">
      <c r="B25" s="63" t="s">
        <v>322</v>
      </c>
      <c r="C25" s="725"/>
      <c r="D25" s="63" t="s">
        <v>1182</v>
      </c>
      <c r="E25" s="63" t="s">
        <v>1181</v>
      </c>
      <c r="F25" s="63" t="s">
        <v>1184</v>
      </c>
      <c r="G25" s="380">
        <v>5000</v>
      </c>
      <c r="H25" s="226"/>
      <c r="I25" s="226"/>
      <c r="J25" s="382">
        <v>5000</v>
      </c>
      <c r="K25" s="226"/>
      <c r="L25" s="226"/>
      <c r="M25" s="349">
        <v>5000</v>
      </c>
      <c r="N25" s="226"/>
      <c r="O25" s="63"/>
      <c r="P25" s="63"/>
    </row>
    <row r="26" spans="2:16" s="347" customFormat="1">
      <c r="B26" s="63" t="s">
        <v>2462</v>
      </c>
      <c r="C26" s="726"/>
      <c r="D26" s="71" t="s">
        <v>2564</v>
      </c>
      <c r="E26" s="63" t="s">
        <v>2494</v>
      </c>
      <c r="F26" s="63" t="s">
        <v>327</v>
      </c>
      <c r="G26" s="350">
        <f>15000*3</f>
        <v>45000</v>
      </c>
      <c r="H26" s="226"/>
      <c r="I26" s="226"/>
      <c r="J26" s="354">
        <v>0</v>
      </c>
      <c r="K26" s="226"/>
      <c r="L26" s="226"/>
      <c r="M26" s="350">
        <v>0</v>
      </c>
      <c r="N26" s="226"/>
      <c r="O26" s="63"/>
      <c r="P26" s="63"/>
    </row>
    <row r="27" spans="2:16">
      <c r="B27" s="63" t="s">
        <v>2462</v>
      </c>
      <c r="C27" s="71" t="s">
        <v>314</v>
      </c>
      <c r="D27" s="71" t="s">
        <v>2564</v>
      </c>
      <c r="E27" s="63" t="s">
        <v>2485</v>
      </c>
      <c r="F27" s="63" t="s">
        <v>1183</v>
      </c>
      <c r="G27" s="350" t="s">
        <v>2463</v>
      </c>
      <c r="H27" s="226"/>
      <c r="I27" s="226"/>
      <c r="J27" s="354">
        <f>M27</f>
        <v>20000</v>
      </c>
      <c r="K27" s="226"/>
      <c r="L27" s="226"/>
      <c r="M27" s="350">
        <v>20000</v>
      </c>
      <c r="N27" s="226"/>
      <c r="O27" s="350">
        <v>30000</v>
      </c>
      <c r="P27" s="63"/>
    </row>
    <row r="28" spans="2:16">
      <c r="B28" s="63" t="s">
        <v>315</v>
      </c>
      <c r="C28" s="71" t="s">
        <v>315</v>
      </c>
      <c r="D28" s="71" t="s">
        <v>1182</v>
      </c>
      <c r="E28" s="63" t="s">
        <v>2477</v>
      </c>
      <c r="F28" s="63" t="s">
        <v>1184</v>
      </c>
      <c r="G28" s="350">
        <v>1000</v>
      </c>
      <c r="H28" s="226" t="s">
        <v>2466</v>
      </c>
      <c r="I28" s="226"/>
      <c r="J28" s="350">
        <v>92574</v>
      </c>
      <c r="K28" s="226"/>
      <c r="L28" s="226"/>
      <c r="M28" s="350">
        <v>102000</v>
      </c>
      <c r="N28" s="226"/>
      <c r="O28" s="394">
        <v>55000</v>
      </c>
      <c r="P28" s="63"/>
    </row>
    <row r="29" spans="2:16">
      <c r="B29" s="63" t="s">
        <v>322</v>
      </c>
      <c r="C29" s="71" t="s">
        <v>335</v>
      </c>
      <c r="D29" s="71" t="s">
        <v>2564</v>
      </c>
      <c r="E29" s="63" t="s">
        <v>2473</v>
      </c>
      <c r="F29" s="63" t="s">
        <v>1183</v>
      </c>
      <c r="G29" s="350">
        <v>40000</v>
      </c>
      <c r="H29" s="226"/>
      <c r="I29" s="226"/>
      <c r="J29" s="350">
        <v>27907</v>
      </c>
      <c r="K29" s="226"/>
      <c r="L29" s="226"/>
      <c r="M29" s="350">
        <v>6000</v>
      </c>
      <c r="N29" s="226"/>
      <c r="O29" s="394">
        <v>155000</v>
      </c>
      <c r="P29" s="63"/>
    </row>
    <row r="30" spans="2:16">
      <c r="B30" s="63" t="s">
        <v>315</v>
      </c>
      <c r="C30" s="71" t="s">
        <v>315</v>
      </c>
      <c r="D30" s="71" t="s">
        <v>1044</v>
      </c>
      <c r="E30" s="63" t="s">
        <v>2479</v>
      </c>
      <c r="F30" s="63" t="s">
        <v>1183</v>
      </c>
      <c r="G30" s="350">
        <v>2000</v>
      </c>
      <c r="H30" s="226"/>
      <c r="I30" s="226"/>
      <c r="J30" s="350">
        <v>28176</v>
      </c>
      <c r="K30" s="226"/>
      <c r="L30" s="226"/>
      <c r="M30" s="350">
        <v>20000</v>
      </c>
      <c r="N30" s="226"/>
      <c r="O30" s="63"/>
      <c r="P30" s="63"/>
    </row>
    <row r="31" spans="2:16" s="343" customFormat="1">
      <c r="B31" s="63" t="s">
        <v>315</v>
      </c>
      <c r="C31" s="71" t="s">
        <v>315</v>
      </c>
      <c r="D31" s="71" t="s">
        <v>1044</v>
      </c>
      <c r="E31" s="63" t="s">
        <v>2478</v>
      </c>
      <c r="F31" s="63" t="s">
        <v>1183</v>
      </c>
      <c r="G31" s="350">
        <f>176000</f>
        <v>176000</v>
      </c>
      <c r="H31" s="226"/>
      <c r="I31" s="226"/>
      <c r="J31" s="354">
        <v>0</v>
      </c>
      <c r="K31" s="226"/>
      <c r="L31" s="226"/>
      <c r="M31" s="350">
        <v>0</v>
      </c>
      <c r="N31" s="226"/>
      <c r="O31" s="63"/>
      <c r="P31" s="63"/>
    </row>
    <row r="32" spans="2:16">
      <c r="B32" s="63" t="s">
        <v>315</v>
      </c>
      <c r="C32" s="71" t="s">
        <v>315</v>
      </c>
      <c r="D32" s="71" t="s">
        <v>1180</v>
      </c>
      <c r="E32" s="360" t="s">
        <v>1865</v>
      </c>
      <c r="F32" s="63" t="s">
        <v>1184</v>
      </c>
      <c r="G32" s="352">
        <v>9000</v>
      </c>
      <c r="H32" s="226"/>
      <c r="I32" s="226"/>
      <c r="J32" s="350">
        <v>20000</v>
      </c>
      <c r="K32" s="226"/>
      <c r="L32" s="226"/>
      <c r="M32" s="350">
        <v>0</v>
      </c>
      <c r="N32" s="226"/>
      <c r="O32" s="63" t="s">
        <v>330</v>
      </c>
      <c r="P32" s="63"/>
    </row>
    <row r="33" spans="2:16" ht="25.5">
      <c r="B33" s="63" t="s">
        <v>315</v>
      </c>
      <c r="C33" s="71" t="s">
        <v>315</v>
      </c>
      <c r="D33" s="727" t="s">
        <v>1182</v>
      </c>
      <c r="E33" s="360" t="s">
        <v>2533</v>
      </c>
      <c r="F33" s="183" t="s">
        <v>2513</v>
      </c>
      <c r="G33" s="352">
        <v>598000</v>
      </c>
      <c r="H33" s="226"/>
      <c r="I33" s="226"/>
      <c r="J33" s="350">
        <f>27564</f>
        <v>27564</v>
      </c>
      <c r="K33" s="226"/>
      <c r="L33" s="226"/>
      <c r="M33" s="350">
        <v>20000</v>
      </c>
      <c r="N33" s="226"/>
      <c r="O33" s="394">
        <v>20000</v>
      </c>
      <c r="P33" s="63"/>
    </row>
    <row r="34" spans="2:16" s="365" customFormat="1">
      <c r="B34" s="63"/>
      <c r="C34" s="71"/>
      <c r="D34" s="728"/>
      <c r="E34" s="360" t="s">
        <v>2534</v>
      </c>
      <c r="F34" s="183" t="s">
        <v>1183</v>
      </c>
      <c r="G34" s="350">
        <f>-140000</f>
        <v>-140000</v>
      </c>
      <c r="H34" s="226"/>
      <c r="I34" s="226"/>
      <c r="J34" s="350"/>
      <c r="K34" s="226"/>
      <c r="L34" s="226"/>
      <c r="M34" s="350"/>
      <c r="N34" s="226"/>
      <c r="O34" s="63"/>
      <c r="P34" s="63"/>
    </row>
    <row r="35" spans="2:16">
      <c r="B35" s="63" t="s">
        <v>315</v>
      </c>
      <c r="C35" s="71"/>
      <c r="D35" s="71"/>
      <c r="E35" s="63" t="s">
        <v>2471</v>
      </c>
      <c r="F35" s="71" t="s">
        <v>2475</v>
      </c>
      <c r="G35" s="350" t="s">
        <v>2472</v>
      </c>
      <c r="H35" s="226"/>
      <c r="I35" s="226"/>
      <c r="J35" s="350">
        <v>-30000</v>
      </c>
      <c r="K35" s="226"/>
      <c r="L35" s="226"/>
      <c r="M35" s="350">
        <v>-40000</v>
      </c>
      <c r="N35" s="226"/>
      <c r="O35" s="350">
        <v>-30000</v>
      </c>
      <c r="P35" s="63"/>
    </row>
    <row r="36" spans="2:16" s="359" customFormat="1">
      <c r="B36" s="63"/>
      <c r="C36" s="71"/>
      <c r="D36" s="71" t="s">
        <v>1037</v>
      </c>
      <c r="E36" s="360" t="s">
        <v>2516</v>
      </c>
      <c r="F36" s="183" t="s">
        <v>1183</v>
      </c>
      <c r="G36" s="352" t="s">
        <v>2561</v>
      </c>
      <c r="H36" s="226"/>
      <c r="I36" s="226"/>
      <c r="J36" s="354">
        <v>0</v>
      </c>
      <c r="K36" s="226"/>
      <c r="L36" s="226"/>
      <c r="M36" s="350">
        <v>0</v>
      </c>
      <c r="N36" s="226"/>
      <c r="O36" s="63"/>
      <c r="P36" s="63"/>
    </row>
    <row r="37" spans="2:16" s="362" customFormat="1">
      <c r="B37" s="63" t="s">
        <v>315</v>
      </c>
      <c r="C37" s="71" t="s">
        <v>315</v>
      </c>
      <c r="D37" s="71" t="s">
        <v>1182</v>
      </c>
      <c r="E37" s="360" t="s">
        <v>2530</v>
      </c>
      <c r="F37" s="63" t="s">
        <v>1183</v>
      </c>
      <c r="G37" s="350">
        <v>16000</v>
      </c>
      <c r="H37" s="226"/>
      <c r="I37" s="226"/>
      <c r="J37" s="350"/>
      <c r="K37" s="226"/>
      <c r="L37" s="226"/>
      <c r="M37" s="350"/>
      <c r="N37" s="226"/>
      <c r="O37" s="63"/>
      <c r="P37" s="63"/>
    </row>
    <row r="38" spans="2:16" s="359" customFormat="1">
      <c r="B38" s="63"/>
      <c r="C38" s="71"/>
      <c r="D38" s="71"/>
      <c r="E38" s="63" t="s">
        <v>2514</v>
      </c>
      <c r="F38" s="71" t="s">
        <v>2475</v>
      </c>
      <c r="G38" s="350" t="s">
        <v>2515</v>
      </c>
      <c r="H38" s="226"/>
      <c r="I38" s="226"/>
      <c r="J38" s="350" t="s">
        <v>427</v>
      </c>
      <c r="K38" s="226"/>
      <c r="L38" s="226"/>
      <c r="M38" s="350" t="s">
        <v>427</v>
      </c>
      <c r="N38" s="226"/>
      <c r="O38" s="63"/>
      <c r="P38" s="63"/>
    </row>
    <row r="39" spans="2:16">
      <c r="B39" s="63" t="s">
        <v>315</v>
      </c>
      <c r="C39" s="71" t="s">
        <v>315</v>
      </c>
      <c r="D39" s="71"/>
      <c r="E39" s="63" t="s">
        <v>2474</v>
      </c>
      <c r="F39" s="63" t="s">
        <v>1184</v>
      </c>
      <c r="G39" s="350" t="s">
        <v>330</v>
      </c>
      <c r="H39" s="226"/>
      <c r="I39" s="226"/>
      <c r="J39" s="350" t="s">
        <v>330</v>
      </c>
      <c r="K39" s="226"/>
      <c r="L39" s="226"/>
      <c r="M39" s="350" t="s">
        <v>330</v>
      </c>
      <c r="N39" s="226"/>
      <c r="O39" s="63"/>
      <c r="P39" s="63"/>
    </row>
    <row r="40" spans="2:16">
      <c r="E40" s="206"/>
      <c r="F40" s="206" t="s">
        <v>2470</v>
      </c>
      <c r="G40" s="114">
        <f>SUM(G4:G39)</f>
        <v>1735000</v>
      </c>
      <c r="H40" s="346">
        <f>SUM(H4:H39)</f>
        <v>628000</v>
      </c>
      <c r="J40" s="114">
        <f>SUM(J4:J39)</f>
        <v>1194591</v>
      </c>
      <c r="K40" s="346">
        <f>SUM(K4:K39)</f>
        <v>498618</v>
      </c>
      <c r="M40" s="114">
        <f>SUM(M4:M39)</f>
        <v>1114249</v>
      </c>
      <c r="N40" s="346">
        <f>SUM(N4:N39)</f>
        <v>493000</v>
      </c>
      <c r="O40" s="114">
        <f>SUM(O4:O39)</f>
        <v>1006000</v>
      </c>
      <c r="P40" s="346">
        <f>SUM(P4:P39)</f>
        <v>231020</v>
      </c>
    </row>
    <row r="41" spans="2:16" s="343" customFormat="1">
      <c r="E41" s="206"/>
      <c r="F41" s="206" t="s">
        <v>2517</v>
      </c>
      <c r="G41" s="114">
        <v>1735000</v>
      </c>
      <c r="H41" s="346">
        <v>628000</v>
      </c>
      <c r="I41" s="2"/>
      <c r="J41" s="114">
        <v>1194591</v>
      </c>
      <c r="K41" s="346">
        <v>498618</v>
      </c>
      <c r="L41" s="2"/>
      <c r="M41" s="114">
        <v>1114249</v>
      </c>
      <c r="N41" s="346">
        <v>493000</v>
      </c>
      <c r="O41" s="114">
        <v>1006000</v>
      </c>
      <c r="P41" s="346">
        <v>231202</v>
      </c>
    </row>
    <row r="42" spans="2:16" s="344" customFormat="1">
      <c r="E42" s="348" t="s">
        <v>2493</v>
      </c>
      <c r="F42" s="201">
        <v>1.33</v>
      </c>
      <c r="G42" s="114"/>
      <c r="H42" s="114" t="s">
        <v>2465</v>
      </c>
      <c r="I42" s="2"/>
      <c r="J42" s="114"/>
      <c r="K42" s="346"/>
      <c r="L42" s="2"/>
    </row>
    <row r="43" spans="2:16" s="344" customFormat="1">
      <c r="E43" s="206"/>
      <c r="F43" s="206" t="s">
        <v>2562</v>
      </c>
      <c r="G43" s="723">
        <f>G40/F42+H40</f>
        <v>1932511.2781954887</v>
      </c>
      <c r="H43" s="723"/>
      <c r="I43" s="2"/>
      <c r="J43" s="114"/>
      <c r="K43" s="2"/>
      <c r="L43" s="2"/>
      <c r="M43" s="114"/>
      <c r="N43" s="2"/>
    </row>
    <row r="44" spans="2:16" s="344" customFormat="1">
      <c r="E44" s="206"/>
      <c r="F44" s="206" t="s">
        <v>2563</v>
      </c>
      <c r="G44" s="722">
        <f>H40*F42+G40</f>
        <v>2570240</v>
      </c>
      <c r="H44" s="722"/>
      <c r="I44" s="2"/>
      <c r="J44" s="722">
        <f>K40*1.37+J40</f>
        <v>1877697.6600000001</v>
      </c>
      <c r="K44" s="722"/>
      <c r="L44" s="2"/>
      <c r="M44" s="722">
        <f>N40*1.37+M40</f>
        <v>1789659</v>
      </c>
      <c r="N44" s="722"/>
      <c r="O44" s="722">
        <f>P40*1.36+O40</f>
        <v>1320187.2</v>
      </c>
      <c r="P44" s="722"/>
    </row>
    <row r="45" spans="2:16">
      <c r="I45" s="114"/>
      <c r="L45" s="114"/>
      <c r="N45" s="114"/>
    </row>
    <row r="46" spans="2:16">
      <c r="H46" s="114"/>
      <c r="I46" s="114"/>
      <c r="K46" s="114"/>
      <c r="L46" s="114"/>
      <c r="N46" s="114"/>
    </row>
    <row r="47" spans="2:16">
      <c r="B47" s="721" t="s">
        <v>1186</v>
      </c>
      <c r="C47" s="721"/>
      <c r="D47" s="721"/>
      <c r="E47" s="721"/>
      <c r="F47" s="721"/>
      <c r="G47" s="721"/>
      <c r="H47" s="721"/>
      <c r="I47" s="721"/>
      <c r="J47" s="721"/>
      <c r="K47" s="721"/>
      <c r="L47" s="721"/>
      <c r="M47" s="721"/>
      <c r="N47" s="721"/>
    </row>
    <row r="48" spans="2:16">
      <c r="B48" s="721" t="s">
        <v>2469</v>
      </c>
      <c r="C48" s="721"/>
      <c r="D48" s="721"/>
      <c r="E48" s="721"/>
      <c r="F48" s="721"/>
      <c r="G48" s="721"/>
      <c r="H48" s="721"/>
      <c r="I48" s="721"/>
      <c r="J48" s="721"/>
      <c r="K48" s="721"/>
      <c r="L48" s="721"/>
      <c r="M48" s="721"/>
      <c r="N48" s="721"/>
    </row>
    <row r="49" spans="2:14">
      <c r="B49" s="721" t="s">
        <v>2468</v>
      </c>
      <c r="C49" s="721"/>
      <c r="D49" s="721"/>
      <c r="E49" s="721"/>
      <c r="F49" s="721"/>
      <c r="G49" s="721"/>
      <c r="H49" s="721"/>
      <c r="I49" s="721"/>
      <c r="J49" s="721"/>
      <c r="K49" s="721"/>
      <c r="L49" s="721"/>
      <c r="M49" s="721"/>
      <c r="N49" s="721"/>
    </row>
    <row r="50" spans="2:14">
      <c r="B50" s="720" t="s">
        <v>2467</v>
      </c>
      <c r="C50" s="720"/>
      <c r="D50" s="720"/>
      <c r="E50" s="720"/>
      <c r="F50" s="720"/>
      <c r="G50" s="720"/>
      <c r="H50" s="720"/>
      <c r="I50" s="720"/>
      <c r="J50" s="720"/>
      <c r="K50" s="720"/>
      <c r="L50" s="720"/>
      <c r="M50" s="720"/>
      <c r="N50" s="720"/>
    </row>
    <row r="51" spans="2:14">
      <c r="B51" s="720"/>
      <c r="C51" s="720"/>
      <c r="D51" s="720"/>
      <c r="E51" s="720"/>
      <c r="F51" s="720"/>
      <c r="G51" s="720"/>
      <c r="H51" s="720"/>
      <c r="I51" s="720"/>
      <c r="J51" s="720"/>
      <c r="K51" s="720"/>
      <c r="L51" s="720"/>
      <c r="M51" s="720"/>
      <c r="N51" s="720"/>
    </row>
    <row r="52" spans="2:14">
      <c r="B52" s="720"/>
      <c r="C52" s="720"/>
      <c r="D52" s="720"/>
      <c r="E52" s="720"/>
      <c r="F52" s="720"/>
      <c r="G52" s="720"/>
      <c r="H52" s="720"/>
      <c r="I52" s="720"/>
      <c r="J52" s="720"/>
      <c r="K52" s="720"/>
      <c r="L52" s="720"/>
      <c r="M52" s="720"/>
      <c r="N52" s="720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2.75"/>
  <cols>
    <col min="1" max="1" width="1" customWidth="1"/>
    <col min="2" max="2" width="24.28515625" style="363" bestFit="1" customWidth="1"/>
    <col min="3" max="3" width="11.5703125" style="376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>
      <c r="C1" s="373"/>
    </row>
    <row r="2" spans="2:10">
      <c r="B2" s="370" t="s">
        <v>461</v>
      </c>
      <c r="C2" s="374" t="s">
        <v>460</v>
      </c>
      <c r="D2" s="369" t="s">
        <v>456</v>
      </c>
      <c r="E2" s="370" t="s">
        <v>455</v>
      </c>
      <c r="F2" s="368" t="s">
        <v>457</v>
      </c>
      <c r="G2" s="371" t="s">
        <v>2536</v>
      </c>
      <c r="H2" s="371" t="s">
        <v>458</v>
      </c>
    </row>
    <row r="3" spans="2:10">
      <c r="B3" s="63"/>
      <c r="C3" s="375"/>
      <c r="D3" s="63"/>
      <c r="E3" s="90"/>
      <c r="F3" s="90"/>
      <c r="G3" s="90"/>
      <c r="H3" s="90"/>
    </row>
    <row r="4" spans="2:10">
      <c r="B4" s="63" t="s">
        <v>2545</v>
      </c>
      <c r="C4" s="375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2543</v>
      </c>
      <c r="C5" s="375">
        <v>44561</v>
      </c>
      <c r="D5" s="63" t="s">
        <v>2551</v>
      </c>
      <c r="E5" s="90">
        <v>505987.67999999993</v>
      </c>
      <c r="F5" s="63" t="s">
        <v>2551</v>
      </c>
      <c r="G5" s="90"/>
      <c r="H5" s="90"/>
      <c r="J5" s="52"/>
    </row>
    <row r="6" spans="2:10" s="367" customFormat="1">
      <c r="B6" s="63" t="s">
        <v>915</v>
      </c>
      <c r="C6" s="375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367" customFormat="1">
      <c r="B7" s="63" t="s">
        <v>915</v>
      </c>
      <c r="C7" s="375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367" customFormat="1">
      <c r="B8" s="63" t="s">
        <v>2539</v>
      </c>
      <c r="C8" s="375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367" customFormat="1">
      <c r="B9" s="63" t="s">
        <v>2539</v>
      </c>
      <c r="C9" s="375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367" customFormat="1">
      <c r="B10" s="63" t="s">
        <v>2539</v>
      </c>
      <c r="C10" s="375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367" customFormat="1">
      <c r="B11" s="63" t="s">
        <v>2539</v>
      </c>
      <c r="C11" s="375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367" customFormat="1">
      <c r="B12" s="63" t="s">
        <v>2539</v>
      </c>
      <c r="C12" s="375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366" customFormat="1">
      <c r="B13" s="63" t="s">
        <v>2539</v>
      </c>
      <c r="C13" s="375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366" customFormat="1">
      <c r="B14" s="63" t="s">
        <v>2539</v>
      </c>
      <c r="C14" s="375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366" customFormat="1">
      <c r="B15" s="63" t="s">
        <v>2539</v>
      </c>
      <c r="C15" s="375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366" customFormat="1">
      <c r="B16" s="63" t="s">
        <v>2539</v>
      </c>
      <c r="C16" s="375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361" customFormat="1">
      <c r="B17" s="63" t="s">
        <v>2539</v>
      </c>
      <c r="C17" s="375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361" customFormat="1">
      <c r="B18" s="63" t="s">
        <v>2538</v>
      </c>
      <c r="C18" s="375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361" customFormat="1">
      <c r="B19" s="63" t="s">
        <v>2535</v>
      </c>
      <c r="C19" s="375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361" customFormat="1">
      <c r="B20" s="63" t="s">
        <v>2540</v>
      </c>
      <c r="C20" s="375">
        <v>43711</v>
      </c>
      <c r="D20" s="226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>
      <c r="B21" s="183" t="s">
        <v>2537</v>
      </c>
      <c r="C21" s="375">
        <v>43710</v>
      </c>
      <c r="D21" s="377">
        <v>1740000</v>
      </c>
      <c r="E21" s="90">
        <f t="shared" si="0"/>
        <v>1090821.68</v>
      </c>
      <c r="F21" s="364">
        <v>1740000</v>
      </c>
      <c r="G21" s="90">
        <v>46524</v>
      </c>
      <c r="H21" s="90">
        <f>F21/G21</f>
        <v>37.400051586278053</v>
      </c>
    </row>
    <row r="22" spans="2:11" s="361" customFormat="1">
      <c r="B22" s="183"/>
      <c r="C22" s="375">
        <v>43553</v>
      </c>
      <c r="D22" s="378"/>
      <c r="E22" s="90">
        <f t="shared" si="0"/>
        <v>1090821.68</v>
      </c>
      <c r="F22" s="364">
        <v>100</v>
      </c>
      <c r="G22" s="90"/>
      <c r="H22" s="90"/>
    </row>
    <row r="23" spans="2:11">
      <c r="B23" s="63" t="s">
        <v>1031</v>
      </c>
      <c r="C23" s="375">
        <v>43228</v>
      </c>
      <c r="D23" s="226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361" customFormat="1">
      <c r="B24" s="63" t="s">
        <v>2550</v>
      </c>
      <c r="C24" s="375">
        <v>43100</v>
      </c>
      <c r="D24" s="63" t="s">
        <v>2551</v>
      </c>
      <c r="E24" s="90">
        <v>705314.48</v>
      </c>
      <c r="F24" s="63" t="s">
        <v>2551</v>
      </c>
      <c r="G24" s="90"/>
      <c r="H24" s="90"/>
      <c r="K24" s="52"/>
    </row>
    <row r="25" spans="2:11">
      <c r="B25" s="63" t="s">
        <v>2548</v>
      </c>
      <c r="C25" s="375" t="s">
        <v>2529</v>
      </c>
      <c r="D25" s="226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372" customFormat="1">
      <c r="B26" s="63" t="s">
        <v>2544</v>
      </c>
      <c r="C26" s="375" t="s">
        <v>2549</v>
      </c>
      <c r="D26" s="226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375">
        <v>42627</v>
      </c>
      <c r="D27" s="226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375">
        <v>42626</v>
      </c>
      <c r="D28" s="226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375">
        <v>42594</v>
      </c>
      <c r="D29" s="226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375">
        <v>42563</v>
      </c>
      <c r="D30" s="226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375">
        <v>42534</v>
      </c>
      <c r="D31" s="226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375">
        <v>42502</v>
      </c>
      <c r="D32" s="226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375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375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2546</v>
      </c>
      <c r="C35" s="375">
        <v>42487</v>
      </c>
      <c r="D35" s="226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2547</v>
      </c>
      <c r="C36" s="375">
        <v>42487</v>
      </c>
      <c r="D36" s="226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375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372" customFormat="1">
      <c r="B38" s="63"/>
      <c r="C38" s="375"/>
      <c r="D38" s="63"/>
      <c r="E38" s="730" t="s">
        <v>2554</v>
      </c>
      <c r="F38" s="731"/>
      <c r="G38" s="90"/>
      <c r="H38" s="90"/>
    </row>
    <row r="39" spans="2:8">
      <c r="B39" s="63" t="s">
        <v>2552</v>
      </c>
      <c r="C39" s="375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6" t="s">
        <v>2553</v>
      </c>
    </row>
    <row r="41" spans="2:8" ht="18">
      <c r="B41" s="729" t="s">
        <v>989</v>
      </c>
      <c r="C41" s="729"/>
      <c r="D41" s="729"/>
      <c r="E41" s="729"/>
      <c r="F41" s="729"/>
      <c r="G41" s="729"/>
      <c r="H41" s="729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2.75"/>
  <cols>
    <col min="1" max="1" width="1.140625" customWidth="1"/>
    <col min="2" max="2" width="11.7109375" customWidth="1"/>
    <col min="3" max="3" width="10.7109375" style="262" bestFit="1" customWidth="1"/>
    <col min="4" max="4" width="12.85546875" bestFit="1" customWidth="1"/>
    <col min="5" max="5" width="9.140625" style="262"/>
  </cols>
  <sheetData>
    <row r="2" spans="2:5">
      <c r="B2" s="63" t="s">
        <v>460</v>
      </c>
      <c r="C2" s="224" t="s">
        <v>912</v>
      </c>
      <c r="D2" s="63" t="s">
        <v>461</v>
      </c>
      <c r="E2" s="224" t="s">
        <v>913</v>
      </c>
    </row>
    <row r="3" spans="2:5">
      <c r="B3" s="225">
        <v>42430</v>
      </c>
      <c r="C3" s="224">
        <v>400</v>
      </c>
      <c r="D3" s="63" t="s">
        <v>918</v>
      </c>
      <c r="E3" s="224">
        <v>892</v>
      </c>
    </row>
    <row r="4" spans="2:5">
      <c r="B4" s="225">
        <v>42705</v>
      </c>
      <c r="C4" s="224">
        <v>-8</v>
      </c>
      <c r="D4" s="63" t="s">
        <v>917</v>
      </c>
      <c r="E4" s="224">
        <v>492</v>
      </c>
    </row>
    <row r="5" spans="2:5">
      <c r="B5" s="225">
        <v>42705</v>
      </c>
      <c r="C5" s="224">
        <v>500</v>
      </c>
      <c r="D5" s="63" t="s">
        <v>459</v>
      </c>
      <c r="E5" s="224">
        <v>500</v>
      </c>
    </row>
    <row r="6" spans="2:5">
      <c r="B6" s="81">
        <v>42918</v>
      </c>
      <c r="C6" s="224">
        <v>-7.37</v>
      </c>
      <c r="D6" s="63" t="s">
        <v>916</v>
      </c>
      <c r="E6" s="224">
        <v>880.85</v>
      </c>
    </row>
    <row r="7" spans="2:5">
      <c r="B7" s="81">
        <v>43010</v>
      </c>
      <c r="C7" s="224">
        <v>-7.47</v>
      </c>
      <c r="D7" s="63" t="s">
        <v>916</v>
      </c>
      <c r="E7" s="224">
        <v>873.38</v>
      </c>
    </row>
    <row r="8" spans="2:5">
      <c r="B8" s="81">
        <v>43095</v>
      </c>
      <c r="C8" s="224">
        <v>-8</v>
      </c>
      <c r="D8" s="63" t="s">
        <v>917</v>
      </c>
      <c r="E8" s="224">
        <v>865.38</v>
      </c>
    </row>
    <row r="9" spans="2:5">
      <c r="B9" s="81">
        <v>43095</v>
      </c>
      <c r="C9" s="224">
        <v>-7.5</v>
      </c>
      <c r="D9" s="63" t="s">
        <v>916</v>
      </c>
      <c r="E9" s="224">
        <v>857.88</v>
      </c>
    </row>
    <row r="10" spans="2:5">
      <c r="B10" s="81">
        <v>43136</v>
      </c>
      <c r="C10" s="224">
        <v>2905</v>
      </c>
      <c r="D10" s="63" t="s">
        <v>915</v>
      </c>
      <c r="E10" s="224">
        <v>3762.88</v>
      </c>
    </row>
    <row r="11" spans="2:5">
      <c r="B11" s="81">
        <v>43227</v>
      </c>
      <c r="C11" s="224">
        <v>2905</v>
      </c>
      <c r="D11" s="63" t="s">
        <v>915</v>
      </c>
      <c r="E11" s="224">
        <v>6667.88</v>
      </c>
    </row>
    <row r="12" spans="2:5">
      <c r="B12" s="63" t="s">
        <v>1287</v>
      </c>
      <c r="C12" s="224"/>
      <c r="D12" s="63" t="s">
        <v>914</v>
      </c>
      <c r="E12" s="224"/>
    </row>
    <row r="13" spans="2:5">
      <c r="B13" s="63"/>
      <c r="C13" s="224"/>
      <c r="D13" s="63"/>
      <c r="E13" s="224"/>
    </row>
    <row r="14" spans="2:5">
      <c r="B14" s="81">
        <v>43862</v>
      </c>
      <c r="C14" s="224">
        <v>2905</v>
      </c>
      <c r="D14" s="63"/>
      <c r="E14" s="224"/>
    </row>
    <row r="15" spans="2:5">
      <c r="B15" s="81">
        <v>43880</v>
      </c>
      <c r="C15" s="224">
        <v>-20600</v>
      </c>
      <c r="D15" s="63" t="s">
        <v>1288</v>
      </c>
      <c r="E15" s="224">
        <v>564</v>
      </c>
    </row>
    <row r="16" spans="2:5">
      <c r="B16" s="81">
        <v>43952</v>
      </c>
      <c r="C16" s="224">
        <v>2905</v>
      </c>
      <c r="D16" s="63"/>
      <c r="E16" s="224">
        <f>E15+C16</f>
        <v>3469</v>
      </c>
    </row>
    <row r="17" spans="2:5">
      <c r="B17" s="81">
        <v>44012</v>
      </c>
      <c r="C17" s="224">
        <v>12.51</v>
      </c>
      <c r="D17" s="63" t="s">
        <v>1289</v>
      </c>
      <c r="E17" s="224">
        <f>E16+C17</f>
        <v>3481.51</v>
      </c>
    </row>
    <row r="18" spans="2:5">
      <c r="B18" s="81">
        <v>44044</v>
      </c>
      <c r="C18" s="224">
        <v>2905</v>
      </c>
      <c r="D18" s="63"/>
      <c r="E18" s="224">
        <f>E17+C18</f>
        <v>6386.51</v>
      </c>
    </row>
    <row r="19" spans="2:5">
      <c r="B19" s="81">
        <v>44139</v>
      </c>
      <c r="C19" s="224">
        <f>1319+1586</f>
        <v>2905</v>
      </c>
      <c r="D19" s="63"/>
      <c r="E19" s="224">
        <f>E18+C19</f>
        <v>9291.51</v>
      </c>
    </row>
    <row r="20" spans="2:5">
      <c r="B20" s="63"/>
      <c r="C20" s="224"/>
      <c r="D20" s="63"/>
      <c r="E20" s="224"/>
    </row>
    <row r="21" spans="2:5">
      <c r="B21" s="63"/>
      <c r="C21" s="224"/>
      <c r="D21" s="63"/>
      <c r="E21" s="224"/>
    </row>
    <row r="22" spans="2:5">
      <c r="B22" s="63"/>
      <c r="C22" s="224"/>
      <c r="D22" s="63"/>
      <c r="E22" s="224"/>
    </row>
    <row r="23" spans="2:5">
      <c r="B23" s="81"/>
      <c r="C23" s="224"/>
      <c r="D23" s="63"/>
      <c r="E23" s="224"/>
    </row>
    <row r="24" spans="2:5">
      <c r="B24" s="63"/>
      <c r="C24" s="224"/>
      <c r="D24" s="63"/>
      <c r="E24" s="224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2.75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2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>
      <c r="B1" s="708" t="s">
        <v>909</v>
      </c>
      <c r="C1" s="708"/>
      <c r="D1" s="707" t="s">
        <v>515</v>
      </c>
      <c r="E1" s="707"/>
      <c r="F1" s="708" t="s">
        <v>513</v>
      </c>
      <c r="G1" s="708"/>
      <c r="H1" s="735" t="s">
        <v>549</v>
      </c>
      <c r="I1" s="735"/>
      <c r="J1" s="707" t="s">
        <v>515</v>
      </c>
      <c r="K1" s="707"/>
      <c r="L1" s="708" t="s">
        <v>908</v>
      </c>
      <c r="M1" s="708"/>
      <c r="N1" s="735" t="s">
        <v>549</v>
      </c>
      <c r="O1" s="735"/>
      <c r="P1" s="707" t="s">
        <v>515</v>
      </c>
      <c r="Q1" s="707"/>
      <c r="R1" s="708" t="s">
        <v>552</v>
      </c>
      <c r="S1" s="708"/>
      <c r="T1" s="735" t="s">
        <v>549</v>
      </c>
      <c r="U1" s="735"/>
      <c r="V1" s="707" t="s">
        <v>515</v>
      </c>
      <c r="W1" s="707"/>
      <c r="X1" s="708" t="s">
        <v>907</v>
      </c>
      <c r="Y1" s="708"/>
      <c r="Z1" s="735" t="s">
        <v>549</v>
      </c>
      <c r="AA1" s="735"/>
      <c r="AB1" s="707" t="s">
        <v>515</v>
      </c>
      <c r="AC1" s="707"/>
      <c r="AD1" s="708" t="s">
        <v>591</v>
      </c>
      <c r="AE1" s="708"/>
      <c r="AF1" s="735" t="s">
        <v>549</v>
      </c>
      <c r="AG1" s="735"/>
      <c r="AH1" s="707" t="s">
        <v>515</v>
      </c>
      <c r="AI1" s="707"/>
      <c r="AJ1" s="708" t="s">
        <v>906</v>
      </c>
      <c r="AK1" s="708"/>
      <c r="AL1" s="735" t="s">
        <v>626</v>
      </c>
      <c r="AM1" s="735"/>
      <c r="AN1" s="707" t="s">
        <v>627</v>
      </c>
      <c r="AO1" s="707"/>
      <c r="AP1" s="708" t="s">
        <v>621</v>
      </c>
      <c r="AQ1" s="708"/>
      <c r="AR1" s="735" t="s">
        <v>549</v>
      </c>
      <c r="AS1" s="735"/>
      <c r="AT1" s="707" t="s">
        <v>515</v>
      </c>
      <c r="AU1" s="707"/>
      <c r="AV1" s="708" t="s">
        <v>905</v>
      </c>
      <c r="AW1" s="708"/>
      <c r="AX1" s="735" t="s">
        <v>549</v>
      </c>
      <c r="AY1" s="735"/>
      <c r="AZ1" s="707" t="s">
        <v>515</v>
      </c>
      <c r="BA1" s="707"/>
      <c r="BB1" s="708" t="s">
        <v>653</v>
      </c>
      <c r="BC1" s="708"/>
      <c r="BD1" s="735" t="s">
        <v>549</v>
      </c>
      <c r="BE1" s="735"/>
      <c r="BF1" s="707" t="s">
        <v>515</v>
      </c>
      <c r="BG1" s="707"/>
      <c r="BH1" s="708" t="s">
        <v>904</v>
      </c>
      <c r="BI1" s="708"/>
      <c r="BJ1" s="735" t="s">
        <v>549</v>
      </c>
      <c r="BK1" s="735"/>
      <c r="BL1" s="707" t="s">
        <v>515</v>
      </c>
      <c r="BM1" s="707"/>
      <c r="BN1" s="708" t="s">
        <v>921</v>
      </c>
      <c r="BO1" s="708"/>
      <c r="BP1" s="735" t="s">
        <v>549</v>
      </c>
      <c r="BQ1" s="735"/>
      <c r="BR1" s="707" t="s">
        <v>515</v>
      </c>
      <c r="BS1" s="707"/>
      <c r="BT1" s="708" t="s">
        <v>903</v>
      </c>
      <c r="BU1" s="708"/>
      <c r="BV1" s="735" t="s">
        <v>704</v>
      </c>
      <c r="BW1" s="735"/>
      <c r="BX1" s="707" t="s">
        <v>705</v>
      </c>
      <c r="BY1" s="707"/>
      <c r="BZ1" s="708" t="s">
        <v>703</v>
      </c>
      <c r="CA1" s="708"/>
      <c r="CB1" s="735" t="s">
        <v>730</v>
      </c>
      <c r="CC1" s="735"/>
      <c r="CD1" s="707" t="s">
        <v>731</v>
      </c>
      <c r="CE1" s="707"/>
      <c r="CF1" s="708" t="s">
        <v>902</v>
      </c>
      <c r="CG1" s="708"/>
      <c r="CH1" s="735" t="s">
        <v>730</v>
      </c>
      <c r="CI1" s="735"/>
      <c r="CJ1" s="707" t="s">
        <v>731</v>
      </c>
      <c r="CK1" s="707"/>
      <c r="CL1" s="708" t="s">
        <v>748</v>
      </c>
      <c r="CM1" s="708"/>
      <c r="CN1" s="735" t="s">
        <v>730</v>
      </c>
      <c r="CO1" s="735"/>
      <c r="CP1" s="707" t="s">
        <v>731</v>
      </c>
      <c r="CQ1" s="707"/>
      <c r="CR1" s="708" t="s">
        <v>901</v>
      </c>
      <c r="CS1" s="708"/>
      <c r="CT1" s="735" t="s">
        <v>730</v>
      </c>
      <c r="CU1" s="735"/>
      <c r="CV1" s="733" t="s">
        <v>731</v>
      </c>
      <c r="CW1" s="733"/>
      <c r="CX1" s="708" t="s">
        <v>769</v>
      </c>
      <c r="CY1" s="708"/>
      <c r="CZ1" s="735" t="s">
        <v>730</v>
      </c>
      <c r="DA1" s="735"/>
      <c r="DB1" s="733" t="s">
        <v>731</v>
      </c>
      <c r="DC1" s="733"/>
      <c r="DD1" s="708" t="s">
        <v>900</v>
      </c>
      <c r="DE1" s="708"/>
      <c r="DF1" s="735" t="s">
        <v>816</v>
      </c>
      <c r="DG1" s="735"/>
      <c r="DH1" s="733" t="s">
        <v>817</v>
      </c>
      <c r="DI1" s="733"/>
      <c r="DJ1" s="708" t="s">
        <v>809</v>
      </c>
      <c r="DK1" s="708"/>
      <c r="DL1" s="735" t="s">
        <v>816</v>
      </c>
      <c r="DM1" s="735"/>
      <c r="DN1" s="733" t="s">
        <v>731</v>
      </c>
      <c r="DO1" s="733"/>
      <c r="DP1" s="708" t="s">
        <v>899</v>
      </c>
      <c r="DQ1" s="708"/>
      <c r="DR1" s="735" t="s">
        <v>816</v>
      </c>
      <c r="DS1" s="735"/>
      <c r="DT1" s="733" t="s">
        <v>731</v>
      </c>
      <c r="DU1" s="733"/>
      <c r="DV1" s="708" t="s">
        <v>898</v>
      </c>
      <c r="DW1" s="708"/>
      <c r="DX1" s="735" t="s">
        <v>816</v>
      </c>
      <c r="DY1" s="735"/>
      <c r="DZ1" s="733" t="s">
        <v>731</v>
      </c>
      <c r="EA1" s="733"/>
      <c r="EB1" s="708" t="s">
        <v>897</v>
      </c>
      <c r="EC1" s="708"/>
      <c r="ED1" s="735" t="s">
        <v>816</v>
      </c>
      <c r="EE1" s="735"/>
      <c r="EF1" s="733" t="s">
        <v>731</v>
      </c>
      <c r="EG1" s="733"/>
      <c r="EH1" s="708" t="s">
        <v>883</v>
      </c>
      <c r="EI1" s="708"/>
      <c r="EJ1" s="735" t="s">
        <v>816</v>
      </c>
      <c r="EK1" s="735"/>
      <c r="EL1" s="733" t="s">
        <v>936</v>
      </c>
      <c r="EM1" s="733"/>
      <c r="EN1" s="708" t="s">
        <v>922</v>
      </c>
      <c r="EO1" s="708"/>
      <c r="EP1" s="735" t="s">
        <v>816</v>
      </c>
      <c r="EQ1" s="735"/>
      <c r="ER1" s="733" t="s">
        <v>950</v>
      </c>
      <c r="ES1" s="733"/>
      <c r="ET1" s="708" t="s">
        <v>937</v>
      </c>
      <c r="EU1" s="708"/>
      <c r="EV1" s="735" t="s">
        <v>816</v>
      </c>
      <c r="EW1" s="735"/>
      <c r="EX1" s="733" t="s">
        <v>530</v>
      </c>
      <c r="EY1" s="733"/>
      <c r="EZ1" s="708" t="s">
        <v>952</v>
      </c>
      <c r="FA1" s="708"/>
      <c r="FC1" s="1" t="s">
        <v>967</v>
      </c>
      <c r="FD1" s="1" t="s">
        <v>968</v>
      </c>
      <c r="FE1" s="1"/>
      <c r="FF1" s="1"/>
    </row>
    <row r="2" spans="2:162">
      <c r="B2" s="201" t="s">
        <v>161</v>
      </c>
      <c r="C2" s="200">
        <f>SUM(C4:C10)</f>
        <v>9649.8310000000001</v>
      </c>
      <c r="D2" s="203" t="s">
        <v>296</v>
      </c>
      <c r="E2" s="227">
        <f>C2-G2</f>
        <v>4102.8269999999993</v>
      </c>
      <c r="F2" s="201" t="s">
        <v>161</v>
      </c>
      <c r="G2" s="200">
        <f>SUM(G4:G12)</f>
        <v>5547.0040000000008</v>
      </c>
      <c r="H2" s="200" t="s">
        <v>540</v>
      </c>
      <c r="I2" s="233">
        <f>SUM(I4:I12)</f>
        <v>5949</v>
      </c>
      <c r="J2" s="203" t="s">
        <v>296</v>
      </c>
      <c r="K2" s="227">
        <f>I2+G2-M2</f>
        <v>1177.4230000000007</v>
      </c>
      <c r="L2" s="201" t="s">
        <v>161</v>
      </c>
      <c r="M2" s="200">
        <f>SUM(M4:M12)</f>
        <v>10318.581</v>
      </c>
      <c r="N2" s="201" t="s">
        <v>540</v>
      </c>
      <c r="O2" s="232">
        <f>SUM(O4:O12)</f>
        <v>7954.5</v>
      </c>
      <c r="P2" s="203" t="s">
        <v>296</v>
      </c>
      <c r="Q2" s="227">
        <f>O2+M2-S2</f>
        <v>1007.0799999999981</v>
      </c>
      <c r="R2" s="201" t="s">
        <v>161</v>
      </c>
      <c r="S2" s="206">
        <f>SUM(S4:S12)</f>
        <v>17266.001</v>
      </c>
      <c r="T2" s="201" t="s">
        <v>540</v>
      </c>
      <c r="U2" s="232">
        <f>SUM(U4:U12)</f>
        <v>5945</v>
      </c>
      <c r="V2" s="203" t="s">
        <v>296</v>
      </c>
      <c r="W2" s="227">
        <f>U2+S2-Y2</f>
        <v>3135</v>
      </c>
      <c r="X2" s="201" t="s">
        <v>161</v>
      </c>
      <c r="Y2" s="206">
        <f>SUM(Y4:Y23)</f>
        <v>20076.001</v>
      </c>
      <c r="Z2" s="201" t="s">
        <v>540</v>
      </c>
      <c r="AA2" s="232">
        <f>SUM(AA4:AA12)</f>
        <v>30884</v>
      </c>
      <c r="AB2" s="203" t="s">
        <v>296</v>
      </c>
      <c r="AC2" s="227">
        <f>AA2+Y2-AE2</f>
        <v>45403</v>
      </c>
      <c r="AD2" s="201" t="s">
        <v>161</v>
      </c>
      <c r="AE2" s="206">
        <f>SUM(AE4:AE23)</f>
        <v>5557.0010000000002</v>
      </c>
      <c r="AF2" s="201" t="s">
        <v>540</v>
      </c>
      <c r="AG2" s="232">
        <f>SUM(AG4:AG12)</f>
        <v>10065</v>
      </c>
      <c r="AH2" s="203" t="s">
        <v>296</v>
      </c>
      <c r="AI2" s="227">
        <f>AG2+AE2-AK2</f>
        <v>1002.0010000000002</v>
      </c>
      <c r="AJ2" s="201" t="s">
        <v>161</v>
      </c>
      <c r="AK2" s="206">
        <f>SUM(AK4:AK23)</f>
        <v>14620</v>
      </c>
      <c r="AL2" s="201" t="s">
        <v>540</v>
      </c>
      <c r="AM2" s="232">
        <f>SUM(AM4:AM11)</f>
        <v>67462</v>
      </c>
      <c r="AN2" s="203" t="s">
        <v>296</v>
      </c>
      <c r="AO2" s="227">
        <f>AM2+AK2-AQ2</f>
        <v>77328.990000000005</v>
      </c>
      <c r="AP2" s="201" t="s">
        <v>161</v>
      </c>
      <c r="AQ2" s="206">
        <f>SUM(AQ4:AQ24)</f>
        <v>4753.01</v>
      </c>
      <c r="AR2" s="201" t="s">
        <v>540</v>
      </c>
      <c r="AS2" s="232">
        <f>SUM(AS4:AS10)</f>
        <v>11820</v>
      </c>
      <c r="AT2" s="203" t="s">
        <v>296</v>
      </c>
      <c r="AU2" s="227">
        <f>AS2+AQ2-AW2</f>
        <v>1197.0000000000018</v>
      </c>
      <c r="AV2" s="201" t="s">
        <v>161</v>
      </c>
      <c r="AW2" s="206">
        <f>SUM(AW4:AW24)</f>
        <v>15376.01</v>
      </c>
      <c r="AX2" s="201" t="s">
        <v>540</v>
      </c>
      <c r="AY2" s="232">
        <f>SUM(AY4:AY15)</f>
        <v>8243.06</v>
      </c>
      <c r="AZ2" s="203" t="s">
        <v>296</v>
      </c>
      <c r="BA2" s="227">
        <f>AY2+AW2-BC2</f>
        <v>2157.0600000000013</v>
      </c>
      <c r="BB2" s="201" t="s">
        <v>161</v>
      </c>
      <c r="BC2" s="206">
        <f>SUM(BC4:BC24)</f>
        <v>21462.01</v>
      </c>
      <c r="BD2" s="201" t="s">
        <v>540</v>
      </c>
      <c r="BE2" s="232">
        <f>SUM(BE4:BE15)</f>
        <v>6478.170000000001</v>
      </c>
      <c r="BF2" s="203" t="s">
        <v>296</v>
      </c>
      <c r="BG2" s="227">
        <f>BE2+BC2-BI2</f>
        <v>1105.1790000000001</v>
      </c>
      <c r="BH2" s="201" t="s">
        <v>161</v>
      </c>
      <c r="BI2" s="206">
        <f>SUM(BI4:BI13)</f>
        <v>26835.001</v>
      </c>
      <c r="BJ2" s="201" t="s">
        <v>540</v>
      </c>
      <c r="BK2" s="232">
        <f>SUM(BK4:BK15)</f>
        <v>7174</v>
      </c>
      <c r="BL2" s="203" t="s">
        <v>296</v>
      </c>
      <c r="BM2" s="227">
        <f>BK2+BI2-BO2</f>
        <v>1723</v>
      </c>
      <c r="BN2" s="201" t="s">
        <v>161</v>
      </c>
      <c r="BO2" s="206">
        <f>SUM(BO4:BO13)</f>
        <v>32286.001000000004</v>
      </c>
      <c r="BP2" s="201" t="s">
        <v>540</v>
      </c>
      <c r="BQ2" s="232">
        <f>SUM(BQ4:BQ15)</f>
        <v>7385</v>
      </c>
      <c r="BR2" s="203" t="s">
        <v>296</v>
      </c>
      <c r="BS2" s="227">
        <f>BQ2+BO2-BU2</f>
        <v>1721.0000000000073</v>
      </c>
      <c r="BT2" s="201" t="s">
        <v>161</v>
      </c>
      <c r="BU2" s="206">
        <f>SUM(BU4:BU13)</f>
        <v>37950.000999999997</v>
      </c>
      <c r="BV2" s="201" t="s">
        <v>540</v>
      </c>
      <c r="BW2" s="232">
        <f>SUM(BW4:BW19)</f>
        <v>16350</v>
      </c>
      <c r="BX2" s="203" t="s">
        <v>296</v>
      </c>
      <c r="BY2" s="227">
        <f>BW2+BU2-CA2</f>
        <v>3874.9999999999927</v>
      </c>
      <c r="BZ2" s="201" t="s">
        <v>161</v>
      </c>
      <c r="CA2" s="206">
        <f>SUM(CA4:CA14)</f>
        <v>50425.001000000004</v>
      </c>
      <c r="CB2" s="201" t="s">
        <v>540</v>
      </c>
      <c r="CC2" s="232">
        <f>SUM(CC4:CC18)</f>
        <v>6446.8</v>
      </c>
      <c r="CD2" s="203" t="s">
        <v>296</v>
      </c>
      <c r="CE2" s="227">
        <f>CC2+CA2-CG2</f>
        <v>1185.8000000000029</v>
      </c>
      <c r="CF2" s="201" t="s">
        <v>161</v>
      </c>
      <c r="CG2" s="206">
        <f>SUM(CG4:CG14)</f>
        <v>55686.001000000004</v>
      </c>
      <c r="CH2" s="201" t="s">
        <v>540</v>
      </c>
      <c r="CI2" s="232">
        <f>SUM(CI4:CI18)</f>
        <v>6951</v>
      </c>
      <c r="CJ2" s="203" t="s">
        <v>296</v>
      </c>
      <c r="CK2" s="227">
        <f>CI2+CG2-CM2</f>
        <v>2422</v>
      </c>
      <c r="CL2" s="201" t="s">
        <v>161</v>
      </c>
      <c r="CM2" s="206">
        <f>SUM(CM4:CM15)</f>
        <v>60215.001000000004</v>
      </c>
      <c r="CN2" s="201" t="s">
        <v>540</v>
      </c>
      <c r="CO2" s="232">
        <f>SUM(CO4:CO18)</f>
        <v>7632.57</v>
      </c>
      <c r="CP2" s="203" t="s">
        <v>296</v>
      </c>
      <c r="CQ2" s="227">
        <f>CO2+CM2-CS2</f>
        <v>2797.5699999999924</v>
      </c>
      <c r="CR2" s="201" t="s">
        <v>161</v>
      </c>
      <c r="CS2" s="206">
        <f>SUM(CS4:CS15)</f>
        <v>65050.001000000004</v>
      </c>
      <c r="CT2" s="201" t="s">
        <v>540</v>
      </c>
      <c r="CU2" s="232">
        <f>SUM(CU4:CU21)</f>
        <v>29786.789999999997</v>
      </c>
      <c r="CV2" s="203" t="s">
        <v>296</v>
      </c>
      <c r="CW2" s="227">
        <f>CU2+CS2-CY2</f>
        <v>1060.1199999999953</v>
      </c>
      <c r="CX2" s="201" t="s">
        <v>161</v>
      </c>
      <c r="CY2" s="206">
        <f>SUM(CY4:CY23)</f>
        <v>93776.671000000002</v>
      </c>
      <c r="CZ2" s="201" t="s">
        <v>540</v>
      </c>
      <c r="DA2" s="232">
        <f>SUM(DA4:DA17)</f>
        <v>172.85</v>
      </c>
      <c r="DB2" s="203" t="s">
        <v>296</v>
      </c>
      <c r="DC2" s="227">
        <f>DA2+CY2-DE2</f>
        <v>1832.5200000000041</v>
      </c>
      <c r="DD2" s="201" t="s">
        <v>161</v>
      </c>
      <c r="DE2" s="206">
        <f>SUM(DE4:DE23)</f>
        <v>92117.001000000004</v>
      </c>
      <c r="DF2" s="201" t="s">
        <v>540</v>
      </c>
      <c r="DG2" s="232">
        <f>SUM(DG4:DG17)</f>
        <v>7750.46</v>
      </c>
      <c r="DH2" s="203" t="s">
        <v>296</v>
      </c>
      <c r="DI2" s="227">
        <f>DG2+DE2-DK2</f>
        <v>1285.9610000000102</v>
      </c>
      <c r="DJ2" s="201" t="s">
        <v>161</v>
      </c>
      <c r="DK2" s="206">
        <f>SUM(DK4:DK23)</f>
        <v>98581.5</v>
      </c>
      <c r="DL2" s="201" t="s">
        <v>540</v>
      </c>
      <c r="DM2" s="232">
        <f>SUM(DM4:DM16)</f>
        <v>7975.76</v>
      </c>
      <c r="DN2" s="203" t="s">
        <v>296</v>
      </c>
      <c r="DO2" s="227">
        <f>DM2+DK2-DQ2</f>
        <v>1211.2699999999895</v>
      </c>
      <c r="DP2" s="201" t="s">
        <v>161</v>
      </c>
      <c r="DQ2" s="206">
        <f>SUM(DQ4:DQ23)</f>
        <v>105345.99</v>
      </c>
      <c r="DR2" s="201" t="s">
        <v>540</v>
      </c>
      <c r="DS2" s="232">
        <f>SUM(DS4:DS19)</f>
        <v>7716.6510000000007</v>
      </c>
      <c r="DT2" s="203" t="s">
        <v>296</v>
      </c>
      <c r="DU2" s="227">
        <f>DS2+DQ2-DW2</f>
        <v>2021.1609999999928</v>
      </c>
      <c r="DV2" s="201" t="s">
        <v>161</v>
      </c>
      <c r="DW2" s="206">
        <f>SUM(DW4:DW26)</f>
        <v>111041.48000000001</v>
      </c>
      <c r="DX2" s="201" t="s">
        <v>540</v>
      </c>
      <c r="DY2" s="232">
        <f>SUM(DY4:DY22)</f>
        <v>26268.66</v>
      </c>
      <c r="DZ2" s="203" t="s">
        <v>296</v>
      </c>
      <c r="EA2" s="227">
        <f>DY2+DW2-EC2</f>
        <v>59646.040000000023</v>
      </c>
      <c r="EB2" s="201" t="s">
        <v>161</v>
      </c>
      <c r="EC2" s="206">
        <f>SUM(EC4:EC26)</f>
        <v>77664.099999999991</v>
      </c>
      <c r="ED2" s="201" t="s">
        <v>540</v>
      </c>
      <c r="EE2" s="232">
        <f>SUM(EE4:EE23)</f>
        <v>9792.52</v>
      </c>
      <c r="EF2" s="203" t="s">
        <v>296</v>
      </c>
      <c r="EG2" s="227">
        <f>EE2+EC2-EI2</f>
        <v>3922.1600000000035</v>
      </c>
      <c r="EH2" s="201" t="s">
        <v>161</v>
      </c>
      <c r="EI2" s="206">
        <f>SUM(EI4:EI26)</f>
        <v>83534.459999999992</v>
      </c>
      <c r="EJ2" s="201" t="s">
        <v>540</v>
      </c>
      <c r="EK2" s="232">
        <f>SUM(EK4:EK20)</f>
        <v>9808.85</v>
      </c>
      <c r="EL2" s="203" t="s">
        <v>296</v>
      </c>
      <c r="EM2" s="227">
        <f>EK2+EI2-EO2</f>
        <v>1949.9900000000052</v>
      </c>
      <c r="EN2" s="201" t="s">
        <v>161</v>
      </c>
      <c r="EO2" s="206">
        <f>SUM(EO4:EO26)</f>
        <v>91393.319999999992</v>
      </c>
      <c r="EP2" s="201" t="s">
        <v>540</v>
      </c>
      <c r="EQ2" s="232">
        <f>SUM(EQ4:EQ18)</f>
        <v>26019.359999999997</v>
      </c>
      <c r="ER2" s="203" t="s">
        <v>296</v>
      </c>
      <c r="ES2" s="227">
        <f>EQ2+EO2-EU2</f>
        <v>3019.679999999993</v>
      </c>
      <c r="ET2" s="201" t="s">
        <v>161</v>
      </c>
      <c r="EU2" s="206">
        <f>SUM(EU4:EU25)</f>
        <v>114393</v>
      </c>
      <c r="EV2" s="201" t="s">
        <v>540</v>
      </c>
      <c r="EW2" s="232">
        <f>SUM(EW4:EW22)</f>
        <v>10677.851000000001</v>
      </c>
      <c r="EX2" s="203" t="s">
        <v>296</v>
      </c>
      <c r="EY2" s="227">
        <f>EW2+EU2-FA2</f>
        <v>1963.8509999999951</v>
      </c>
      <c r="EZ2" s="201" t="s">
        <v>161</v>
      </c>
      <c r="FA2" s="206">
        <f>SUM(FA4:FA19)</f>
        <v>123107</v>
      </c>
      <c r="FB2" t="s">
        <v>983</v>
      </c>
      <c r="FC2" s="235">
        <f>FA2</f>
        <v>123107</v>
      </c>
      <c r="FD2" s="226">
        <f>C2</f>
        <v>9649.8310000000001</v>
      </c>
      <c r="FE2" s="236" t="s">
        <v>969</v>
      </c>
      <c r="FF2" s="238">
        <f>FC2-FD2</f>
        <v>113457.16899999999</v>
      </c>
    </row>
    <row r="3" spans="2:162">
      <c r="B3" s="200"/>
      <c r="C3" s="200"/>
      <c r="D3" s="142" t="s">
        <v>585</v>
      </c>
      <c r="E3" s="202">
        <f>E2-E7-E8</f>
        <v>612.82599999999934</v>
      </c>
      <c r="F3" s="200"/>
      <c r="G3" s="200"/>
      <c r="H3" s="200"/>
      <c r="I3" s="200"/>
      <c r="J3" s="142" t="s">
        <v>585</v>
      </c>
      <c r="K3" s="202">
        <f>K2-K6-K7</f>
        <v>427.42300000000068</v>
      </c>
      <c r="L3" s="200"/>
      <c r="M3" s="200"/>
      <c r="P3" s="142" t="s">
        <v>585</v>
      </c>
      <c r="Q3" s="202">
        <f>Q2-Q6-Q7</f>
        <v>257.07999999999811</v>
      </c>
      <c r="R3" s="200"/>
      <c r="S3" s="200"/>
      <c r="V3" s="142" t="s">
        <v>585</v>
      </c>
      <c r="W3" s="202">
        <f>W2-W6-W7</f>
        <v>1040</v>
      </c>
      <c r="X3" s="200"/>
      <c r="Y3" s="200"/>
      <c r="AB3" s="142" t="s">
        <v>595</v>
      </c>
      <c r="AC3" s="202">
        <f>AC2-AC6-AC7-AC9</f>
        <v>668</v>
      </c>
      <c r="AD3" s="200"/>
      <c r="AE3" s="200"/>
      <c r="AH3" s="142" t="s">
        <v>595</v>
      </c>
      <c r="AI3" s="202">
        <f>AI2-AI6-AI7-AI9</f>
        <v>1002.0010000000002</v>
      </c>
      <c r="AJ3" s="200"/>
      <c r="AK3" s="200"/>
      <c r="AN3" s="142" t="s">
        <v>630</v>
      </c>
      <c r="AO3">
        <f>AO2-AO6-AO9</f>
        <v>748.99000000000524</v>
      </c>
      <c r="AP3" s="200"/>
      <c r="AQ3" s="200"/>
      <c r="AT3" s="142" t="s">
        <v>640</v>
      </c>
      <c r="AU3">
        <f>AU2-AU7</f>
        <v>637.00000000000182</v>
      </c>
      <c r="AV3" s="200"/>
      <c r="AW3" s="200"/>
      <c r="AZ3" s="214" t="s">
        <v>640</v>
      </c>
      <c r="BA3" s="214">
        <f>BA2-BA7</f>
        <v>1569.0600000000013</v>
      </c>
      <c r="BB3" s="200"/>
      <c r="BC3" s="200"/>
      <c r="BF3" s="214" t="s">
        <v>640</v>
      </c>
      <c r="BG3" s="214">
        <f>BG2-BG7</f>
        <v>517.17900000000009</v>
      </c>
      <c r="BH3" s="200"/>
      <c r="BI3" s="200"/>
      <c r="BL3" s="214" t="s">
        <v>640</v>
      </c>
      <c r="BM3" s="214">
        <f>BM2-BM7</f>
        <v>1135</v>
      </c>
      <c r="BN3" s="200"/>
      <c r="BO3" s="200"/>
      <c r="BR3" s="214" t="s">
        <v>640</v>
      </c>
      <c r="BS3" s="214">
        <f>BS2-BS7</f>
        <v>1720.9990000000073</v>
      </c>
      <c r="BT3" s="200"/>
      <c r="BU3" s="200"/>
      <c r="BX3" s="214" t="s">
        <v>640</v>
      </c>
      <c r="BY3" s="214">
        <f>BY2-BY7</f>
        <v>2750.9999999999927</v>
      </c>
      <c r="BZ3" s="200"/>
      <c r="CA3" s="200"/>
      <c r="CD3" s="214" t="s">
        <v>640</v>
      </c>
      <c r="CE3" s="214">
        <f>CE2-CE7</f>
        <v>510.80000000000291</v>
      </c>
      <c r="CF3" s="200"/>
      <c r="CG3" s="200"/>
      <c r="CJ3" s="142" t="s">
        <v>651</v>
      </c>
      <c r="CK3">
        <f>CK2-CK6-CK7</f>
        <v>627</v>
      </c>
      <c r="CL3" s="200"/>
      <c r="CM3" s="200"/>
      <c r="CP3" s="142" t="s">
        <v>651</v>
      </c>
      <c r="CQ3" s="229">
        <f>CQ2-CQ6-CQ7</f>
        <v>877.56999999999243</v>
      </c>
      <c r="CR3" s="200"/>
      <c r="CS3" s="200"/>
      <c r="CV3" s="142" t="s">
        <v>651</v>
      </c>
      <c r="CW3" s="142">
        <f>CW2-CW6-CW7</f>
        <v>510.11999999999534</v>
      </c>
      <c r="CX3" s="200"/>
      <c r="CY3" s="200"/>
      <c r="DB3" s="142" t="s">
        <v>651</v>
      </c>
      <c r="DC3" s="142">
        <f>DC2-DC6-DC7</f>
        <v>832.52000000000407</v>
      </c>
      <c r="DD3" s="200"/>
      <c r="DE3" s="200"/>
      <c r="DH3" s="142" t="s">
        <v>651</v>
      </c>
      <c r="DI3" s="142">
        <f>DI2-DI6-DI7</f>
        <v>179.66100000001029</v>
      </c>
      <c r="DJ3" s="200"/>
      <c r="DK3" s="200"/>
      <c r="DN3" s="142" t="s">
        <v>651</v>
      </c>
      <c r="DO3" s="142">
        <f>DO2-DO6-DO7</f>
        <v>661.26999999998952</v>
      </c>
      <c r="DP3" s="200"/>
      <c r="DQ3" s="200"/>
      <c r="DT3" s="142" t="s">
        <v>651</v>
      </c>
      <c r="DU3" s="228">
        <f>DU2-DU6-DU7</f>
        <v>281.93099999999276</v>
      </c>
      <c r="DV3" s="200"/>
      <c r="DW3" s="200"/>
      <c r="DZ3" s="142" t="s">
        <v>866</v>
      </c>
      <c r="EA3" s="228">
        <f>EA2-EA6-EA7-EA9</f>
        <v>53.440000000024156</v>
      </c>
      <c r="EB3" s="200"/>
      <c r="EC3" s="200"/>
      <c r="EF3" s="142" t="s">
        <v>651</v>
      </c>
      <c r="EG3" s="142">
        <f>EG2-EG6-EG7</f>
        <v>1297.1100000000035</v>
      </c>
      <c r="EH3" s="200"/>
      <c r="EI3" s="200"/>
      <c r="EL3" s="142" t="s">
        <v>651</v>
      </c>
      <c r="EM3" s="142">
        <f>EM2-EM6-EM7</f>
        <v>621.09000000000515</v>
      </c>
      <c r="EN3" s="200"/>
      <c r="EO3" s="200"/>
      <c r="ER3" s="142" t="s">
        <v>651</v>
      </c>
      <c r="ES3" s="142">
        <f>ES2-ES6-ES7</f>
        <v>1634.1199999999931</v>
      </c>
      <c r="ET3" s="200"/>
      <c r="EU3" s="200"/>
      <c r="EX3" s="142" t="s">
        <v>651</v>
      </c>
      <c r="EY3" s="142">
        <f>EY2-EY6-EY7</f>
        <v>1313.8509999999951</v>
      </c>
      <c r="EZ3" s="200"/>
      <c r="FA3" s="200"/>
      <c r="FC3" s="289" t="s">
        <v>1547</v>
      </c>
      <c r="FD3" s="289"/>
      <c r="FE3" s="289"/>
      <c r="FF3" s="289"/>
    </row>
    <row r="4" spans="2:162">
      <c r="B4" s="63" t="s">
        <v>509</v>
      </c>
      <c r="C4" s="63">
        <v>600.00099999999998</v>
      </c>
      <c r="D4" s="142" t="s">
        <v>584</v>
      </c>
      <c r="E4" s="202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2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2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4" t="s">
        <v>546</v>
      </c>
      <c r="K6" s="202">
        <v>750</v>
      </c>
      <c r="L6" s="63" t="s">
        <v>510</v>
      </c>
      <c r="M6" s="63">
        <v>8327.69</v>
      </c>
      <c r="N6" s="1" t="s">
        <v>542</v>
      </c>
      <c r="O6">
        <v>4.5</v>
      </c>
      <c r="P6" s="204" t="s">
        <v>548</v>
      </c>
      <c r="Q6" s="202">
        <v>750</v>
      </c>
      <c r="R6" s="63" t="s">
        <v>510</v>
      </c>
      <c r="S6" s="63">
        <v>14407</v>
      </c>
      <c r="T6" s="1" t="s">
        <v>542</v>
      </c>
      <c r="U6">
        <v>0</v>
      </c>
      <c r="V6" s="204" t="s">
        <v>579</v>
      </c>
      <c r="W6" s="202">
        <v>750</v>
      </c>
      <c r="X6" s="63" t="s">
        <v>510</v>
      </c>
      <c r="Y6" s="63">
        <v>17906</v>
      </c>
      <c r="Z6" s="1" t="s">
        <v>542</v>
      </c>
      <c r="AA6">
        <v>0</v>
      </c>
      <c r="AB6" s="204" t="s">
        <v>593</v>
      </c>
      <c r="AC6" s="202">
        <v>750</v>
      </c>
      <c r="AD6" s="63" t="s">
        <v>510</v>
      </c>
      <c r="AE6" s="63">
        <v>4121</v>
      </c>
      <c r="AF6" s="1" t="s">
        <v>542</v>
      </c>
      <c r="AG6">
        <v>0</v>
      </c>
      <c r="AH6" s="204" t="s">
        <v>600</v>
      </c>
      <c r="AI6" s="202">
        <v>0</v>
      </c>
      <c r="AJ6" s="63" t="s">
        <v>510</v>
      </c>
      <c r="AK6" s="63">
        <v>13676</v>
      </c>
      <c r="AN6" s="204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4" t="s">
        <v>623</v>
      </c>
      <c r="CK6" s="204">
        <f>SUM(CK11:CK11)</f>
        <v>1200</v>
      </c>
      <c r="CL6" s="63"/>
      <c r="CM6" s="63"/>
      <c r="CN6" t="s">
        <v>628</v>
      </c>
      <c r="CO6">
        <v>0</v>
      </c>
      <c r="CP6" s="204" t="s">
        <v>623</v>
      </c>
      <c r="CQ6" s="204">
        <f>SUM(CQ11:CQ11)</f>
        <v>550</v>
      </c>
      <c r="CR6" s="63"/>
      <c r="CS6" s="63"/>
      <c r="CT6" t="s">
        <v>628</v>
      </c>
      <c r="CU6">
        <v>0</v>
      </c>
      <c r="CV6" s="204" t="s">
        <v>623</v>
      </c>
      <c r="CW6" s="204">
        <f>SUM(CW11:CW11)</f>
        <v>550</v>
      </c>
      <c r="CX6" s="63"/>
      <c r="CY6" s="63"/>
      <c r="CZ6" t="s">
        <v>628</v>
      </c>
      <c r="DA6">
        <v>0</v>
      </c>
      <c r="DB6" s="204" t="s">
        <v>623</v>
      </c>
      <c r="DC6" s="204">
        <f>SUM(DC11:DC11)</f>
        <v>550</v>
      </c>
      <c r="DD6" s="63"/>
      <c r="DE6" s="63"/>
      <c r="DF6" t="s">
        <v>628</v>
      </c>
      <c r="DG6">
        <v>0</v>
      </c>
      <c r="DH6" s="204" t="s">
        <v>623</v>
      </c>
      <c r="DI6" s="204">
        <f>SUM(DI11:DI11)</f>
        <v>550</v>
      </c>
      <c r="DJ6" s="63"/>
      <c r="DK6" s="63"/>
      <c r="DL6" t="s">
        <v>628</v>
      </c>
      <c r="DM6">
        <v>0</v>
      </c>
      <c r="DN6" s="204" t="s">
        <v>623</v>
      </c>
      <c r="DO6" s="204">
        <f>SUM(DO11:DO11)</f>
        <v>550</v>
      </c>
      <c r="DP6" s="63"/>
      <c r="DQ6" s="63"/>
      <c r="DR6" t="s">
        <v>628</v>
      </c>
      <c r="DS6">
        <v>0</v>
      </c>
      <c r="DT6" s="204" t="s">
        <v>623</v>
      </c>
      <c r="DU6" s="204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4" t="s">
        <v>623</v>
      </c>
      <c r="EA6" s="204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4" t="s">
        <v>875</v>
      </c>
      <c r="EG6" s="204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4" t="s">
        <v>875</v>
      </c>
      <c r="EM6" s="204">
        <f>EM11</f>
        <v>0</v>
      </c>
      <c r="EN6" s="63" t="s">
        <v>843</v>
      </c>
      <c r="EO6" s="63">
        <v>2500</v>
      </c>
      <c r="EP6" t="s">
        <v>628</v>
      </c>
      <c r="ER6" s="204" t="s">
        <v>943</v>
      </c>
      <c r="ES6" s="204">
        <v>1300</v>
      </c>
      <c r="ET6" s="63" t="s">
        <v>843</v>
      </c>
      <c r="EU6" s="63">
        <v>2500</v>
      </c>
      <c r="EV6" t="s">
        <v>628</v>
      </c>
      <c r="EW6">
        <v>0</v>
      </c>
      <c r="EX6" s="204" t="s">
        <v>957</v>
      </c>
      <c r="EY6" s="204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>
      <c r="B7" s="63" t="s">
        <v>511</v>
      </c>
      <c r="C7" s="63">
        <v>3130.21</v>
      </c>
      <c r="D7" s="204" t="s">
        <v>547</v>
      </c>
      <c r="E7" s="202">
        <f>750*3</f>
        <v>2250</v>
      </c>
      <c r="F7" s="63" t="s">
        <v>511</v>
      </c>
      <c r="G7" s="63">
        <v>1936.001</v>
      </c>
      <c r="H7" s="1"/>
      <c r="I7" s="1"/>
      <c r="J7" s="204" t="s">
        <v>514</v>
      </c>
      <c r="K7" s="202">
        <v>0</v>
      </c>
      <c r="L7" s="63" t="s">
        <v>511</v>
      </c>
      <c r="M7" s="63">
        <v>1486.89</v>
      </c>
      <c r="N7" t="s">
        <v>557</v>
      </c>
      <c r="O7">
        <v>30</v>
      </c>
      <c r="P7" s="204"/>
      <c r="Q7" s="202"/>
      <c r="R7" s="63" t="s">
        <v>511</v>
      </c>
      <c r="S7" s="63">
        <v>2477</v>
      </c>
      <c r="T7" t="s">
        <v>578</v>
      </c>
      <c r="U7">
        <v>0</v>
      </c>
      <c r="V7" s="204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4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4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4"/>
      <c r="AP7" s="63" t="s">
        <v>615</v>
      </c>
      <c r="AQ7" s="63">
        <v>671</v>
      </c>
      <c r="AR7" t="s">
        <v>610</v>
      </c>
      <c r="AS7">
        <v>0</v>
      </c>
      <c r="AT7" s="204" t="s">
        <v>634</v>
      </c>
      <c r="AU7" s="204">
        <v>560</v>
      </c>
      <c r="AV7" s="63" t="s">
        <v>511</v>
      </c>
      <c r="AW7" s="63">
        <v>630</v>
      </c>
      <c r="AX7" t="s">
        <v>610</v>
      </c>
      <c r="AY7">
        <v>0</v>
      </c>
      <c r="AZ7" s="204" t="s">
        <v>643</v>
      </c>
      <c r="BA7" s="204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4" t="s">
        <v>654</v>
      </c>
      <c r="BG7" s="204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4" t="s">
        <v>685</v>
      </c>
      <c r="BM7" s="204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4" t="s">
        <v>695</v>
      </c>
      <c r="BS7" s="204">
        <v>1E-3</v>
      </c>
      <c r="BT7" s="63" t="s">
        <v>511</v>
      </c>
      <c r="BU7" s="63">
        <v>2290</v>
      </c>
      <c r="BV7" t="s">
        <v>719</v>
      </c>
      <c r="BW7">
        <v>3980</v>
      </c>
      <c r="BX7" s="204" t="s">
        <v>623</v>
      </c>
      <c r="BY7" s="204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4" t="s">
        <v>623</v>
      </c>
      <c r="CE7" s="204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4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4" t="s">
        <v>645</v>
      </c>
      <c r="CQ7" s="9">
        <f>CQ23</f>
        <v>1370</v>
      </c>
      <c r="CR7" s="63" t="s">
        <v>510</v>
      </c>
      <c r="CS7" s="216">
        <v>58074</v>
      </c>
      <c r="CT7" s="734" t="s">
        <v>779</v>
      </c>
      <c r="CU7" s="708"/>
      <c r="CV7" s="204" t="s">
        <v>645</v>
      </c>
      <c r="CW7" s="217">
        <f>CW22</f>
        <v>0</v>
      </c>
      <c r="CX7" s="63" t="s">
        <v>771</v>
      </c>
      <c r="CY7" s="216">
        <v>20265</v>
      </c>
      <c r="CZ7" t="s">
        <v>788</v>
      </c>
      <c r="DA7">
        <v>0</v>
      </c>
      <c r="DB7" s="204" t="s">
        <v>645</v>
      </c>
      <c r="DC7" s="217">
        <v>450</v>
      </c>
      <c r="DD7" s="63" t="s">
        <v>771</v>
      </c>
      <c r="DE7" s="216">
        <v>12707</v>
      </c>
      <c r="DF7" t="s">
        <v>541</v>
      </c>
      <c r="DG7">
        <f>5861+1000+500+250</f>
        <v>7611</v>
      </c>
      <c r="DH7" s="204" t="s">
        <v>645</v>
      </c>
      <c r="DI7" s="217">
        <f>SUM(DI20:DI25)</f>
        <v>556.29999999999995</v>
      </c>
      <c r="DJ7" s="63" t="s">
        <v>811</v>
      </c>
      <c r="DK7" s="222">
        <f>8732-32.5</f>
        <v>8699.5</v>
      </c>
      <c r="DL7" t="s">
        <v>541</v>
      </c>
      <c r="DM7">
        <f>5861+1000+500+250</f>
        <v>7611</v>
      </c>
      <c r="DN7" s="204" t="s">
        <v>645</v>
      </c>
      <c r="DO7" s="217">
        <v>0</v>
      </c>
      <c r="DP7" s="63" t="s">
        <v>771</v>
      </c>
      <c r="DQ7" s="216">
        <f>6974</f>
        <v>6974</v>
      </c>
      <c r="DR7" t="s">
        <v>837</v>
      </c>
      <c r="DS7">
        <f>5861+1000+500+250</f>
        <v>7611</v>
      </c>
      <c r="DT7" s="204" t="s">
        <v>645</v>
      </c>
      <c r="DU7" s="217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4" t="s">
        <v>645</v>
      </c>
      <c r="EA7" s="217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4" t="s">
        <v>645</v>
      </c>
      <c r="EG7" s="217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4" t="s">
        <v>645</v>
      </c>
      <c r="EM7" s="217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4" t="s">
        <v>645</v>
      </c>
      <c r="ES7" s="217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4" t="s">
        <v>645</v>
      </c>
      <c r="EY7" s="217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>
      <c r="B8" s="63"/>
      <c r="C8" s="63"/>
      <c r="D8" s="204" t="s">
        <v>514</v>
      </c>
      <c r="E8" s="202">
        <v>1240.001</v>
      </c>
      <c r="F8" s="63"/>
      <c r="G8" s="63"/>
      <c r="H8" s="1"/>
      <c r="I8" s="1"/>
      <c r="J8" s="142"/>
      <c r="K8" s="202"/>
      <c r="L8" s="63" t="s">
        <v>544</v>
      </c>
      <c r="M8" s="63">
        <v>400</v>
      </c>
      <c r="P8" s="142"/>
      <c r="Q8" s="202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2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2">
        <f>SUM(AC11:AC19)</f>
        <v>312.5</v>
      </c>
      <c r="AD8" s="63" t="s">
        <v>544</v>
      </c>
      <c r="AE8" s="63">
        <v>851</v>
      </c>
      <c r="AH8" s="142" t="s">
        <v>575</v>
      </c>
      <c r="AI8" s="212">
        <f>SUM(AI11:AI19)</f>
        <v>559.5</v>
      </c>
      <c r="AJ8" s="63" t="s">
        <v>544</v>
      </c>
      <c r="AK8" s="63">
        <v>294</v>
      </c>
      <c r="AN8" s="142" t="s">
        <v>575</v>
      </c>
      <c r="AO8" s="213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4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4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4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4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4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4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4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6">
        <v>25024</v>
      </c>
      <c r="CZ8" s="734" t="s">
        <v>778</v>
      </c>
      <c r="DA8" s="708"/>
      <c r="DB8" s="142" t="s">
        <v>783</v>
      </c>
      <c r="DC8" s="142">
        <f>SUM(DC13:DC18)</f>
        <v>243.87</v>
      </c>
      <c r="DD8" s="63" t="s">
        <v>772</v>
      </c>
      <c r="DE8" s="216">
        <v>25024</v>
      </c>
      <c r="DF8" s="734" t="s">
        <v>778</v>
      </c>
      <c r="DG8" s="708"/>
      <c r="DH8" s="142" t="s">
        <v>783</v>
      </c>
      <c r="DI8" s="142">
        <f>SUM(DI13:DI17)</f>
        <v>126.5</v>
      </c>
      <c r="DJ8" s="63" t="s">
        <v>772</v>
      </c>
      <c r="DK8" s="216">
        <v>25060</v>
      </c>
      <c r="DL8" s="734" t="s">
        <v>778</v>
      </c>
      <c r="DM8" s="708"/>
      <c r="DN8" s="142" t="s">
        <v>783</v>
      </c>
      <c r="DO8" s="142">
        <f>SUM(DO13:DO19)</f>
        <v>424.62</v>
      </c>
      <c r="DP8" s="63" t="s">
        <v>772</v>
      </c>
      <c r="DQ8" s="216">
        <v>25096</v>
      </c>
      <c r="DR8" s="734" t="s">
        <v>778</v>
      </c>
      <c r="DS8" s="708"/>
      <c r="DT8" s="142" t="s">
        <v>783</v>
      </c>
      <c r="DU8" s="142">
        <f>SUM(DU13:DU17)</f>
        <v>32</v>
      </c>
      <c r="DV8" s="63"/>
      <c r="DW8" s="63"/>
      <c r="DX8" s="734" t="s">
        <v>778</v>
      </c>
      <c r="DY8" s="708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734" t="s">
        <v>928</v>
      </c>
      <c r="EK8" s="708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>
      <c r="B9" s="63"/>
      <c r="C9" s="63"/>
      <c r="D9" s="204"/>
      <c r="F9" s="63"/>
      <c r="G9" s="63"/>
      <c r="H9" s="1"/>
      <c r="I9" s="1"/>
      <c r="J9" s="142"/>
      <c r="K9" s="202"/>
      <c r="L9" s="63"/>
      <c r="M9" s="63"/>
      <c r="P9" s="142"/>
      <c r="Q9" s="202"/>
      <c r="R9" s="63"/>
      <c r="S9" s="63"/>
      <c r="V9" s="142"/>
      <c r="W9" s="202"/>
      <c r="X9" s="63" t="s">
        <v>589</v>
      </c>
      <c r="Y9" s="63">
        <v>0</v>
      </c>
      <c r="AB9" s="142" t="s">
        <v>590</v>
      </c>
      <c r="AC9" s="202">
        <v>43985</v>
      </c>
      <c r="AD9" s="63" t="s">
        <v>589</v>
      </c>
      <c r="AE9" s="63">
        <v>5</v>
      </c>
      <c r="AH9" s="142" t="s">
        <v>590</v>
      </c>
      <c r="AI9" s="202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3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3">
        <f>SUM(BA12:BA18)</f>
        <v>99.89</v>
      </c>
      <c r="BB9" s="63" t="s">
        <v>614</v>
      </c>
      <c r="BC9" s="63">
        <v>1564</v>
      </c>
      <c r="BF9" s="142" t="s">
        <v>575</v>
      </c>
      <c r="BG9" s="213">
        <f>SUM(BG12:BG23)</f>
        <v>299.44999999999993</v>
      </c>
      <c r="BH9" s="63" t="s">
        <v>652</v>
      </c>
      <c r="BI9" s="63">
        <v>5</v>
      </c>
      <c r="BL9" s="142" t="s">
        <v>575</v>
      </c>
      <c r="BM9" s="213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3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4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4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4">
        <f>SUM(CW18:CW20)</f>
        <v>0</v>
      </c>
      <c r="CX9" s="63" t="s">
        <v>781</v>
      </c>
      <c r="CY9" s="216">
        <v>25000</v>
      </c>
      <c r="CZ9" t="s">
        <v>542</v>
      </c>
      <c r="DA9">
        <v>0</v>
      </c>
      <c r="DB9" s="142" t="s">
        <v>648</v>
      </c>
      <c r="DC9" s="204">
        <f>SUM(DC21:DC23)</f>
        <v>340</v>
      </c>
      <c r="DD9" s="63" t="s">
        <v>781</v>
      </c>
      <c r="DE9" s="216">
        <v>25000</v>
      </c>
      <c r="DF9" t="s">
        <v>806</v>
      </c>
      <c r="DG9">
        <v>37</v>
      </c>
      <c r="DH9" s="142" t="s">
        <v>648</v>
      </c>
      <c r="DI9" s="204">
        <v>0</v>
      </c>
      <c r="DJ9" s="63" t="s">
        <v>781</v>
      </c>
      <c r="DK9" s="216">
        <v>25000</v>
      </c>
      <c r="DL9" t="s">
        <v>772</v>
      </c>
      <c r="DM9">
        <v>35.659999999999997</v>
      </c>
      <c r="DN9" s="142" t="s">
        <v>648</v>
      </c>
      <c r="DO9" s="204">
        <v>0</v>
      </c>
      <c r="DP9" s="63" t="s">
        <v>781</v>
      </c>
      <c r="DQ9" s="216">
        <v>25000</v>
      </c>
      <c r="DR9" t="s">
        <v>772</v>
      </c>
      <c r="DS9">
        <v>37</v>
      </c>
      <c r="DT9" s="142" t="s">
        <v>648</v>
      </c>
      <c r="DU9" s="204">
        <v>0</v>
      </c>
      <c r="DV9" s="63" t="s">
        <v>771</v>
      </c>
      <c r="DW9" s="216">
        <v>13611</v>
      </c>
      <c r="DX9" t="s">
        <v>853</v>
      </c>
      <c r="DY9">
        <v>37</v>
      </c>
      <c r="DZ9" s="142" t="s">
        <v>862</v>
      </c>
      <c r="EA9" s="204">
        <f>EA19+EA20</f>
        <v>59522.6</v>
      </c>
      <c r="EB9" s="63" t="s">
        <v>771</v>
      </c>
      <c r="EC9" s="216">
        <v>8191</v>
      </c>
      <c r="EF9" s="142" t="s">
        <v>874</v>
      </c>
      <c r="EG9" s="204">
        <f>SUM(EG18:EG23)</f>
        <v>888.76</v>
      </c>
      <c r="EH9" s="63" t="s">
        <v>771</v>
      </c>
      <c r="EI9" s="216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4">
        <f>SUM(EM19:EM21)</f>
        <v>103.17</v>
      </c>
      <c r="EN9" s="63" t="s">
        <v>771</v>
      </c>
      <c r="EO9" s="216">
        <v>2720</v>
      </c>
      <c r="EP9" s="734" t="s">
        <v>928</v>
      </c>
      <c r="EQ9" s="708"/>
      <c r="ER9" s="142" t="s">
        <v>874</v>
      </c>
      <c r="ES9" s="204">
        <f>SUM(ES18:ES20)</f>
        <v>23.98</v>
      </c>
      <c r="ET9" s="63" t="s">
        <v>771</v>
      </c>
      <c r="EU9" s="216">
        <v>8950</v>
      </c>
      <c r="EV9" s="734" t="s">
        <v>928</v>
      </c>
      <c r="EW9" s="708"/>
      <c r="EX9" s="142" t="s">
        <v>874</v>
      </c>
      <c r="EY9" s="204">
        <f>SUM(EY20:EY21)</f>
        <v>250</v>
      </c>
      <c r="EZ9" s="63" t="s">
        <v>771</v>
      </c>
      <c r="FA9" s="216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2">
        <v>17.001000000000001</v>
      </c>
      <c r="L10" s="63"/>
      <c r="M10" s="63"/>
      <c r="P10" s="142" t="s">
        <v>543</v>
      </c>
      <c r="Q10" s="202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4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4">
        <v>1E-3</v>
      </c>
      <c r="BZ10" s="63" t="s">
        <v>652</v>
      </c>
      <c r="CA10" s="63">
        <v>5</v>
      </c>
      <c r="CD10" s="142" t="s">
        <v>701</v>
      </c>
      <c r="CE10" s="204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6">
        <v>15029</v>
      </c>
      <c r="CZ10" t="s">
        <v>825</v>
      </c>
      <c r="DA10">
        <v>26.85</v>
      </c>
      <c r="DD10" s="63" t="s">
        <v>770</v>
      </c>
      <c r="DE10" s="216">
        <f>20063+2000</f>
        <v>22063</v>
      </c>
      <c r="DF10" t="s">
        <v>826</v>
      </c>
      <c r="DG10">
        <v>26.85</v>
      </c>
      <c r="DJ10" s="63" t="s">
        <v>770</v>
      </c>
      <c r="DK10" s="216">
        <v>31103</v>
      </c>
      <c r="DL10" t="s">
        <v>824</v>
      </c>
      <c r="DM10">
        <v>33.56</v>
      </c>
      <c r="DP10" s="63" t="s">
        <v>770</v>
      </c>
      <c r="DQ10" s="216">
        <f>5244+34139</f>
        <v>39383</v>
      </c>
      <c r="DR10" t="s">
        <v>836</v>
      </c>
      <c r="DS10">
        <v>26.85</v>
      </c>
      <c r="DV10" s="63" t="s">
        <v>772</v>
      </c>
      <c r="DW10" s="216">
        <v>25133</v>
      </c>
      <c r="DX10" t="s">
        <v>854</v>
      </c>
      <c r="DY10">
        <v>26.85</v>
      </c>
      <c r="EB10" s="63" t="s">
        <v>772</v>
      </c>
      <c r="EC10" s="216">
        <v>25170</v>
      </c>
      <c r="EH10" s="63" t="s">
        <v>772</v>
      </c>
      <c r="EI10" s="216">
        <v>25170</v>
      </c>
      <c r="EJ10" t="s">
        <v>930</v>
      </c>
      <c r="EK10" s="9">
        <v>33.56</v>
      </c>
      <c r="EN10" s="63" t="s">
        <v>772</v>
      </c>
      <c r="EO10" s="216">
        <v>25240</v>
      </c>
      <c r="EP10" t="s">
        <v>772</v>
      </c>
      <c r="EQ10">
        <f>25325-EO10</f>
        <v>85</v>
      </c>
      <c r="ET10" s="63" t="s">
        <v>772</v>
      </c>
      <c r="EU10" s="216">
        <v>0</v>
      </c>
      <c r="EV10" t="s">
        <v>772</v>
      </c>
      <c r="EW10">
        <v>0</v>
      </c>
      <c r="EZ10" s="63" t="s">
        <v>772</v>
      </c>
      <c r="FA10" s="216">
        <v>0</v>
      </c>
    </row>
    <row r="11" spans="2:162">
      <c r="B11" s="63" t="s">
        <v>512</v>
      </c>
      <c r="C11" s="63">
        <v>0</v>
      </c>
      <c r="D11" s="142" t="s">
        <v>543</v>
      </c>
      <c r="E11" s="202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6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6">
        <v>0.99</v>
      </c>
      <c r="ED11" s="734" t="s">
        <v>928</v>
      </c>
      <c r="EE11" s="708"/>
      <c r="EF11" s="142" t="s">
        <v>892</v>
      </c>
      <c r="EG11" s="142">
        <v>550</v>
      </c>
      <c r="EH11" s="63" t="s">
        <v>844</v>
      </c>
      <c r="EI11" s="216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6">
        <v>0.99</v>
      </c>
      <c r="EP11" t="s">
        <v>941</v>
      </c>
      <c r="EQ11">
        <v>200</v>
      </c>
      <c r="ER11" s="218" t="s">
        <v>946</v>
      </c>
      <c r="ES11" s="142">
        <f>70*2</f>
        <v>140</v>
      </c>
      <c r="ET11" s="63" t="s">
        <v>844</v>
      </c>
      <c r="EU11" s="216">
        <v>200</v>
      </c>
      <c r="EV11" t="s">
        <v>963</v>
      </c>
      <c r="EW11">
        <v>200</v>
      </c>
      <c r="EX11" s="218" t="s">
        <v>959</v>
      </c>
      <c r="EY11" s="142">
        <v>70</v>
      </c>
      <c r="EZ11" s="63" t="s">
        <v>844</v>
      </c>
      <c r="FA11" s="216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734" t="s">
        <v>778</v>
      </c>
      <c r="CU12" s="708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6">
        <v>37933</v>
      </c>
      <c r="DX12" t="s">
        <v>872</v>
      </c>
      <c r="DY12">
        <v>56.81</v>
      </c>
      <c r="EB12" s="63" t="s">
        <v>770</v>
      </c>
      <c r="EC12" s="216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6">
        <v>27124</v>
      </c>
      <c r="EJ12" t="s">
        <v>789</v>
      </c>
      <c r="EK12">
        <f>38+10</f>
        <v>48</v>
      </c>
      <c r="EN12" s="63" t="s">
        <v>770</v>
      </c>
      <c r="EO12" s="216">
        <f>1380+25030</f>
        <v>26410</v>
      </c>
      <c r="EP12" t="s">
        <v>930</v>
      </c>
      <c r="EQ12" s="9">
        <f>26.85*2+33.56</f>
        <v>87.26</v>
      </c>
      <c r="ER12" s="218" t="s">
        <v>949</v>
      </c>
      <c r="ES12" s="204">
        <f>89*3</f>
        <v>267</v>
      </c>
      <c r="ET12" s="63" t="s">
        <v>770</v>
      </c>
      <c r="EU12" s="216">
        <f>54174+1010</f>
        <v>55184</v>
      </c>
      <c r="EV12" t="s">
        <v>956</v>
      </c>
      <c r="EW12" s="9">
        <v>26.85</v>
      </c>
      <c r="EX12" s="218" t="s">
        <v>960</v>
      </c>
      <c r="EY12" s="204">
        <f>89+29*2</f>
        <v>147</v>
      </c>
      <c r="EZ12" s="63" t="s">
        <v>770</v>
      </c>
      <c r="FA12" s="216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8" t="s">
        <v>814</v>
      </c>
      <c r="CW13" s="142">
        <v>70</v>
      </c>
      <c r="CX13" s="63" t="s">
        <v>743</v>
      </c>
      <c r="CY13" s="63">
        <v>610</v>
      </c>
      <c r="DB13" s="218" t="s">
        <v>798</v>
      </c>
      <c r="DC13" s="142">
        <v>0</v>
      </c>
      <c r="DD13" s="63" t="s">
        <v>743</v>
      </c>
      <c r="DE13" s="63">
        <v>635</v>
      </c>
      <c r="DH13" s="218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8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8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8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8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8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8" t="s">
        <v>835</v>
      </c>
      <c r="ES13" s="204">
        <v>50</v>
      </c>
      <c r="ET13" s="63" t="s">
        <v>511</v>
      </c>
      <c r="EU13" s="71">
        <v>1244</v>
      </c>
      <c r="EV13" t="s">
        <v>821</v>
      </c>
      <c r="EW13">
        <v>0</v>
      </c>
      <c r="EX13" s="218" t="s">
        <v>835</v>
      </c>
      <c r="EY13" s="204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8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8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8" t="s">
        <v>804</v>
      </c>
      <c r="DI14" s="142">
        <v>89</v>
      </c>
      <c r="DJ14" s="63" t="s">
        <v>652</v>
      </c>
      <c r="DK14" s="63">
        <v>5</v>
      </c>
      <c r="DN14" s="218" t="s">
        <v>819</v>
      </c>
      <c r="DO14" s="204">
        <v>89</v>
      </c>
      <c r="DP14" s="63" t="s">
        <v>652</v>
      </c>
      <c r="DQ14" s="63">
        <v>5</v>
      </c>
      <c r="DT14" s="218" t="s">
        <v>834</v>
      </c>
      <c r="DU14" s="204">
        <v>0</v>
      </c>
      <c r="DV14" s="63" t="s">
        <v>848</v>
      </c>
      <c r="DW14" s="63">
        <v>8</v>
      </c>
      <c r="DZ14" s="218" t="s">
        <v>859</v>
      </c>
      <c r="EA14" s="204">
        <v>89</v>
      </c>
      <c r="EB14" s="63" t="s">
        <v>848</v>
      </c>
      <c r="EC14" s="63">
        <v>8</v>
      </c>
      <c r="ED14" t="s">
        <v>821</v>
      </c>
      <c r="EE14">
        <v>25</v>
      </c>
      <c r="EF14" s="218" t="s">
        <v>861</v>
      </c>
      <c r="EG14" s="204">
        <v>0</v>
      </c>
      <c r="EH14" s="63" t="s">
        <v>848</v>
      </c>
      <c r="EI14" s="63">
        <v>8</v>
      </c>
      <c r="EL14" s="218" t="s">
        <v>924</v>
      </c>
      <c r="EM14" s="204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8" t="s">
        <v>947</v>
      </c>
      <c r="ES14" s="204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8" t="s">
        <v>961</v>
      </c>
      <c r="EY14" s="204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8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8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8" t="s">
        <v>812</v>
      </c>
      <c r="DI15" s="142">
        <v>10</v>
      </c>
      <c r="DJ15" s="63" t="s">
        <v>677</v>
      </c>
      <c r="DK15" s="63">
        <v>-8</v>
      </c>
      <c r="DN15" s="218" t="s">
        <v>818</v>
      </c>
      <c r="DO15" s="142">
        <v>15</v>
      </c>
      <c r="DP15" s="63" t="s">
        <v>706</v>
      </c>
      <c r="DQ15" s="63">
        <v>13.99</v>
      </c>
      <c r="DT15" s="218" t="s">
        <v>835</v>
      </c>
      <c r="DV15" s="63" t="s">
        <v>845</v>
      </c>
      <c r="DW15" s="63">
        <v>10000</v>
      </c>
      <c r="DZ15" s="218" t="s">
        <v>868</v>
      </c>
      <c r="EA15" s="204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8" t="s">
        <v>835</v>
      </c>
      <c r="EG15" s="204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8" t="s">
        <v>835</v>
      </c>
      <c r="EM15" s="204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8" t="s">
        <v>721</v>
      </c>
      <c r="ES15" s="204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8"/>
      <c r="EY15" s="204"/>
      <c r="EZ15" s="63" t="s">
        <v>845</v>
      </c>
      <c r="FA15" s="63">
        <v>0</v>
      </c>
      <c r="FC15" s="291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8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8" t="s">
        <v>792</v>
      </c>
      <c r="DC16" s="142">
        <v>32.25</v>
      </c>
      <c r="DD16" s="63" t="s">
        <v>641</v>
      </c>
      <c r="DE16" s="63">
        <v>0</v>
      </c>
      <c r="DH16" s="218" t="s">
        <v>808</v>
      </c>
      <c r="DI16" s="142">
        <v>5</v>
      </c>
      <c r="DJ16" s="63" t="s">
        <v>641</v>
      </c>
      <c r="DK16" s="63">
        <v>0</v>
      </c>
      <c r="DN16" s="218" t="s">
        <v>828</v>
      </c>
      <c r="DO16" s="142">
        <v>32</v>
      </c>
      <c r="DP16" s="63" t="s">
        <v>641</v>
      </c>
      <c r="DQ16" s="63">
        <v>0</v>
      </c>
      <c r="DT16" s="218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8" t="s">
        <v>869</v>
      </c>
      <c r="EA16" s="204">
        <v>10.5</v>
      </c>
      <c r="EB16" s="63" t="s">
        <v>743</v>
      </c>
      <c r="EC16" s="63">
        <v>710</v>
      </c>
      <c r="ED16" t="s">
        <v>542</v>
      </c>
      <c r="EF16" s="218" t="s">
        <v>876</v>
      </c>
      <c r="EG16" s="204">
        <v>32.25</v>
      </c>
      <c r="EH16" s="63" t="s">
        <v>743</v>
      </c>
      <c r="EI16" s="63">
        <v>1235</v>
      </c>
      <c r="EL16" s="218" t="s">
        <v>925</v>
      </c>
      <c r="EM16" s="204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8" t="s">
        <v>944</v>
      </c>
      <c r="ES16" s="204">
        <v>14</v>
      </c>
      <c r="ET16" s="63" t="s">
        <v>743</v>
      </c>
      <c r="EU16" s="63">
        <v>1635</v>
      </c>
      <c r="EV16" t="s">
        <v>954</v>
      </c>
      <c r="EW16">
        <v>0</v>
      </c>
      <c r="EX16" s="218"/>
      <c r="EY16" s="204"/>
      <c r="EZ16" s="63" t="s">
        <v>743</v>
      </c>
      <c r="FA16" s="63">
        <v>0</v>
      </c>
      <c r="FC16" s="226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8" t="s">
        <v>830</v>
      </c>
      <c r="DC17" s="142">
        <v>82</v>
      </c>
      <c r="DD17" s="71" t="s">
        <v>632</v>
      </c>
      <c r="DE17" s="71">
        <v>0</v>
      </c>
      <c r="DH17" s="218"/>
      <c r="DJ17" s="71" t="s">
        <v>632</v>
      </c>
      <c r="DK17" s="71">
        <v>0</v>
      </c>
      <c r="DL17" s="6" t="s">
        <v>671</v>
      </c>
      <c r="DN17" s="218" t="s">
        <v>827</v>
      </c>
      <c r="DO17" s="204">
        <v>52</v>
      </c>
      <c r="DP17" s="71" t="s">
        <v>632</v>
      </c>
      <c r="DQ17" s="71">
        <v>0</v>
      </c>
      <c r="DR17" s="6" t="s">
        <v>671</v>
      </c>
      <c r="DT17" s="218"/>
      <c r="DU17" s="204"/>
      <c r="DV17" s="63" t="s">
        <v>652</v>
      </c>
      <c r="DW17" s="63">
        <v>5</v>
      </c>
      <c r="DX17" t="s">
        <v>919</v>
      </c>
      <c r="DY17">
        <v>3300</v>
      </c>
      <c r="DZ17" s="218" t="s">
        <v>808</v>
      </c>
      <c r="EA17" s="204">
        <v>0</v>
      </c>
      <c r="EB17" s="63" t="s">
        <v>652</v>
      </c>
      <c r="EC17" s="63">
        <v>5</v>
      </c>
      <c r="EF17" s="218" t="s">
        <v>881</v>
      </c>
      <c r="EG17" s="204">
        <v>7.5</v>
      </c>
      <c r="EH17" s="63" t="s">
        <v>652</v>
      </c>
      <c r="EI17" s="63">
        <v>5</v>
      </c>
      <c r="EJ17" s="6" t="s">
        <v>671</v>
      </c>
      <c r="EL17" s="218" t="s">
        <v>723</v>
      </c>
      <c r="EM17" s="204">
        <v>4.25</v>
      </c>
      <c r="EN17" s="63" t="s">
        <v>951</v>
      </c>
      <c r="EO17" s="63">
        <v>0</v>
      </c>
      <c r="EP17" t="s">
        <v>938</v>
      </c>
      <c r="EQ17">
        <v>155</v>
      </c>
      <c r="ES17" s="204"/>
      <c r="ET17" s="63" t="s">
        <v>677</v>
      </c>
      <c r="EU17" s="63">
        <v>-123</v>
      </c>
      <c r="EX17" s="234"/>
      <c r="EY17" s="204"/>
      <c r="EZ17" s="63" t="s">
        <v>677</v>
      </c>
      <c r="FA17" s="63">
        <v>-78</v>
      </c>
      <c r="FC17" s="226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8" t="s">
        <v>794</v>
      </c>
      <c r="DC18" s="142">
        <v>20.62</v>
      </c>
      <c r="DL18" s="6" t="s">
        <v>763</v>
      </c>
      <c r="DM18">
        <v>12.34</v>
      </c>
      <c r="DN18" s="218" t="s">
        <v>829</v>
      </c>
      <c r="DO18" s="204">
        <v>15</v>
      </c>
      <c r="DR18" s="6" t="s">
        <v>867</v>
      </c>
      <c r="DS18">
        <v>12.000999999999999</v>
      </c>
      <c r="DU18" s="204"/>
      <c r="DV18" s="63" t="s">
        <v>677</v>
      </c>
      <c r="DW18" s="63">
        <v>-1394.65</v>
      </c>
      <c r="DX18" t="s">
        <v>856</v>
      </c>
      <c r="DY18">
        <v>1600</v>
      </c>
      <c r="EA18" s="204"/>
      <c r="EB18" s="63" t="s">
        <v>706</v>
      </c>
      <c r="EC18" s="63">
        <v>677</v>
      </c>
      <c r="ED18" s="6" t="s">
        <v>920</v>
      </c>
      <c r="EE18">
        <v>42</v>
      </c>
      <c r="EF18" s="204" t="s">
        <v>882</v>
      </c>
      <c r="EG18" s="142">
        <v>17</v>
      </c>
      <c r="EH18" s="63" t="s">
        <v>677</v>
      </c>
      <c r="EI18" s="63">
        <v>-19.23</v>
      </c>
      <c r="EJ18" s="6"/>
      <c r="EM18" s="204"/>
      <c r="EN18" s="63" t="s">
        <v>677</v>
      </c>
      <c r="EO18" s="63">
        <f>-EM23</f>
        <v>-1274.6300000000001</v>
      </c>
      <c r="ER18" s="142" t="s">
        <v>873</v>
      </c>
      <c r="ES18" s="204">
        <v>0</v>
      </c>
      <c r="ET18" s="63" t="s">
        <v>641</v>
      </c>
      <c r="EU18" s="63">
        <v>0</v>
      </c>
      <c r="EX18" s="142" t="s">
        <v>964</v>
      </c>
      <c r="EY18" s="204">
        <f>1162-827</f>
        <v>335</v>
      </c>
      <c r="EZ18" s="63" t="s">
        <v>641</v>
      </c>
      <c r="FA18" s="63">
        <v>0</v>
      </c>
      <c r="FC18" s="226">
        <f>FC20-SUM(FC15:FC17)</f>
        <v>5915.8520000000135</v>
      </c>
      <c r="FD18" s="63"/>
      <c r="FE18" s="63" t="s">
        <v>1545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699" t="s">
        <v>782</v>
      </c>
      <c r="CU19" s="699"/>
      <c r="CX19" t="s">
        <v>774</v>
      </c>
      <c r="DL19" s="6" t="s">
        <v>823</v>
      </c>
      <c r="DM19">
        <f>DO19</f>
        <v>81.62</v>
      </c>
      <c r="DN19" s="218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4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4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4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19" t="s">
        <v>813</v>
      </c>
      <c r="DI20" s="220">
        <v>468</v>
      </c>
      <c r="DV20" s="71" t="s">
        <v>632</v>
      </c>
      <c r="DW20" s="71">
        <v>0</v>
      </c>
      <c r="DZ20" s="204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4"/>
      <c r="EV20" s="6" t="s">
        <v>955</v>
      </c>
      <c r="EW20">
        <v>100</v>
      </c>
      <c r="EX20" s="142" t="s">
        <v>958</v>
      </c>
      <c r="EY20" s="204">
        <v>247</v>
      </c>
      <c r="FC20" s="230">
        <f>I2+O2+U2+AA2+AG2+AM2+AS2+AY2+BE2+BK2+BQ2+BW2+CC2+CI2+CO2+CU2+DA2+DG2+DM2+DS2+DY2+EE2+EK2+EQ2+EW2</f>
        <v>342709.85200000001</v>
      </c>
      <c r="FD20" s="231" t="s">
        <v>978</v>
      </c>
      <c r="FE20" s="65" t="s">
        <v>1548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19" t="s">
        <v>644</v>
      </c>
      <c r="DC21" s="220">
        <v>305</v>
      </c>
      <c r="DH21" s="219" t="s">
        <v>803</v>
      </c>
      <c r="DI21" s="220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4">
        <v>103.17</v>
      </c>
      <c r="ET21" t="s">
        <v>858</v>
      </c>
      <c r="EX21" s="142" t="s">
        <v>962</v>
      </c>
      <c r="EY21" s="142">
        <v>3</v>
      </c>
      <c r="EZ21" s="721" t="s">
        <v>858</v>
      </c>
      <c r="FA21" s="721"/>
      <c r="FC21" s="237">
        <f>FC20-FC22</f>
        <v>113457.16899999997</v>
      </c>
      <c r="FD21" s="229"/>
      <c r="FE21" s="732" t="s">
        <v>1546</v>
      </c>
      <c r="FF21" s="732"/>
      <c r="FG21" s="732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19" t="s">
        <v>763</v>
      </c>
      <c r="DC22" s="220">
        <f>5+7</f>
        <v>12</v>
      </c>
      <c r="DH22" s="219" t="s">
        <v>802</v>
      </c>
      <c r="DI22" s="223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721" t="s">
        <v>871</v>
      </c>
      <c r="FA22" s="721"/>
      <c r="FC22" s="230">
        <f>E2+K2+Q2+W2+AC2+AI2+AO2+AU2+BA2+BG2+BM2+BS2+BY2+CE2+CK2+CQ2+CW2+DC2+DI2+DO2+DU2+EA2+EG2+EM2+ES2+EY2</f>
        <v>229252.68300000005</v>
      </c>
      <c r="FD22" s="231" t="s">
        <v>978</v>
      </c>
      <c r="FE22" s="86" t="s">
        <v>1549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19" t="s">
        <v>795</v>
      </c>
      <c r="DC23" s="220">
        <v>23</v>
      </c>
      <c r="DH23" s="219" t="s">
        <v>801</v>
      </c>
      <c r="DI23" s="220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4"/>
      <c r="EG23" s="204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4">
        <v>75.569999999999993</v>
      </c>
      <c r="ET23" t="s">
        <v>857</v>
      </c>
      <c r="EZ23" s="721" t="s">
        <v>1000</v>
      </c>
      <c r="FA23" s="721"/>
      <c r="FC23" s="63" t="s">
        <v>979</v>
      </c>
      <c r="FD23" s="63"/>
      <c r="FE23" s="63"/>
    </row>
    <row r="24" spans="12:163">
      <c r="L24" s="229"/>
      <c r="Q24" s="229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19" t="s">
        <v>800</v>
      </c>
      <c r="DI24" s="220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4">
        <v>54.27</v>
      </c>
      <c r="EN24" t="s">
        <v>857</v>
      </c>
      <c r="ER24" s="142" t="s">
        <v>800</v>
      </c>
      <c r="ES24" s="204">
        <v>9.99</v>
      </c>
      <c r="ET24" t="s">
        <v>896</v>
      </c>
      <c r="EY24" s="204"/>
      <c r="EZ24" s="721" t="s">
        <v>1076</v>
      </c>
      <c r="FA24" s="721"/>
      <c r="FC24" s="290">
        <f>SUM(FD25:FD26)</f>
        <v>178477.61000000002</v>
      </c>
      <c r="FD24" s="63"/>
      <c r="FE24" s="63" t="s">
        <v>965</v>
      </c>
    </row>
    <row r="25" spans="12:163">
      <c r="AH25" s="229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19" t="s">
        <v>807</v>
      </c>
      <c r="DI25" s="220">
        <v>0</v>
      </c>
      <c r="EF25" s="142" t="s">
        <v>880</v>
      </c>
      <c r="EG25" s="204">
        <v>98.75</v>
      </c>
      <c r="EH25" t="s">
        <v>896</v>
      </c>
      <c r="EM25" s="204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29"/>
      <c r="BR26" t="s">
        <v>697</v>
      </c>
      <c r="BS26">
        <v>65</v>
      </c>
      <c r="BX26" t="s">
        <v>727</v>
      </c>
      <c r="BY26">
        <v>40.000999999999998</v>
      </c>
      <c r="CU26" s="229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29"/>
      <c r="CU27" s="229"/>
      <c r="FC27" s="282"/>
      <c r="FD27" s="283"/>
      <c r="FE27" s="284"/>
    </row>
    <row r="28" spans="12:163" ht="14.25" customHeight="1">
      <c r="AY28" s="229"/>
      <c r="CU28" s="229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1"/>
      <c r="EX29" s="221"/>
      <c r="FC29" s="736" t="s">
        <v>1543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1"/>
      <c r="EL30" s="221"/>
      <c r="FC30" s="737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1"/>
      <c r="DL31" s="221"/>
      <c r="DQ31" s="221"/>
      <c r="DR31" s="221"/>
      <c r="DX31" s="221"/>
      <c r="FC31" s="736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5"/>
      <c r="BX32" t="s">
        <v>728</v>
      </c>
      <c r="BY32">
        <v>9</v>
      </c>
      <c r="FC32" s="737"/>
      <c r="FD32" s="239">
        <f>FC22-FC24-SUM(FD29:FD31)</f>
        <v>11389.822000000036</v>
      </c>
      <c r="FE32" s="63" t="s">
        <v>1551</v>
      </c>
      <c r="FF32" t="s">
        <v>987</v>
      </c>
    </row>
    <row r="33" spans="4:160" s="1" customFormat="1" ht="18">
      <c r="D33" s="285"/>
      <c r="E33" s="286"/>
      <c r="BX33" s="1" t="s">
        <v>726</v>
      </c>
      <c r="BY33" s="1">
        <v>5</v>
      </c>
      <c r="CV33" s="285"/>
      <c r="CW33" s="285"/>
      <c r="DB33" s="285"/>
      <c r="DC33" s="285"/>
      <c r="DH33" s="285"/>
      <c r="DI33" s="285"/>
      <c r="DN33" s="285"/>
      <c r="DO33" s="285"/>
      <c r="DT33" s="285"/>
      <c r="DU33" s="285"/>
      <c r="DZ33" s="285"/>
      <c r="EA33" s="285"/>
      <c r="EF33" s="285"/>
      <c r="EG33" s="285"/>
      <c r="EL33" s="285"/>
      <c r="EM33" s="285"/>
      <c r="ER33" s="285"/>
      <c r="ES33" s="285"/>
      <c r="EU33" s="287"/>
      <c r="EX33" s="285"/>
      <c r="EY33" s="285"/>
      <c r="FA33" s="287"/>
      <c r="FD33" s="288"/>
    </row>
    <row r="34" spans="4:160" ht="18">
      <c r="DW34" s="221"/>
      <c r="EC34" s="221"/>
      <c r="EI34" s="221"/>
      <c r="EO34" s="221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T1:U1"/>
    <mergeCell ref="AF1:AG1"/>
    <mergeCell ref="AN1:AO1"/>
    <mergeCell ref="V1:W1"/>
    <mergeCell ref="AL1:AM1"/>
    <mergeCell ref="X1:Y1"/>
    <mergeCell ref="B1:C1"/>
    <mergeCell ref="F1:G1"/>
    <mergeCell ref="D1:E1"/>
    <mergeCell ref="L1:M1"/>
    <mergeCell ref="J1:K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CT19:CU19"/>
    <mergeCell ref="CT7:CU7"/>
    <mergeCell ref="CT12:CU12"/>
    <mergeCell ref="CZ1:DA1"/>
    <mergeCell ref="CT1:CU1"/>
    <mergeCell ref="ED1:EE1"/>
    <mergeCell ref="DV1:DW1"/>
    <mergeCell ref="DT1:DU1"/>
    <mergeCell ref="EF1:EG1"/>
    <mergeCell ref="ED11:EE11"/>
    <mergeCell ref="DL8:DM8"/>
    <mergeCell ref="DX1:DY1"/>
    <mergeCell ref="DZ1:EA1"/>
    <mergeCell ref="EB1:EC1"/>
    <mergeCell ref="DX8:DY8"/>
    <mergeCell ref="DR8:DS8"/>
    <mergeCell ref="DP1:DQ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FE21:FG21"/>
    <mergeCell ref="EZ22:FA22"/>
    <mergeCell ref="EZ23:FA23"/>
    <mergeCell ref="EZ24:FA24"/>
    <mergeCell ref="EZ21:FA2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LU79"/>
  <sheetViews>
    <sheetView tabSelected="1" topLeftCell="LK1" zoomScaleNormal="100" workbookViewId="0">
      <selection activeCell="LU31" sqref="LU31"/>
    </sheetView>
  </sheetViews>
  <sheetFormatPr defaultColWidth="14.5703125" defaultRowHeight="12.75"/>
  <cols>
    <col min="1" max="1" width="13.42578125" style="340" customWidth="1"/>
    <col min="2" max="2" width="8.7109375" style="202" bestFit="1" customWidth="1"/>
    <col min="3" max="4" width="5.28515625" style="340" hidden="1" customWidth="1"/>
    <col min="5" max="5" width="19.5703125" style="340" bestFit="1" customWidth="1"/>
    <col min="6" max="6" width="9.140625" style="340" bestFit="1" customWidth="1"/>
    <col min="7" max="7" width="13.42578125" style="340" customWidth="1"/>
    <col min="8" max="8" width="8.7109375" style="202" bestFit="1" customWidth="1"/>
    <col min="9" max="10" width="9.140625" style="340" customWidth="1"/>
    <col min="11" max="11" width="19.5703125" style="340" bestFit="1" customWidth="1"/>
    <col min="12" max="12" width="8.140625" style="340" bestFit="1" customWidth="1"/>
    <col min="13" max="13" width="13.42578125" style="340" customWidth="1"/>
    <col min="14" max="14" width="8.7109375" style="202" bestFit="1" customWidth="1"/>
    <col min="15" max="15" width="9" style="340" bestFit="1" customWidth="1"/>
    <col min="16" max="16" width="5" style="340" bestFit="1" customWidth="1"/>
    <col min="17" max="17" width="22.140625" style="340" bestFit="1" customWidth="1"/>
    <col min="18" max="18" width="8.140625" style="340" bestFit="1" customWidth="1"/>
    <col min="19" max="19" width="13.42578125" style="340" customWidth="1"/>
    <col min="20" max="20" width="8.7109375" style="202" bestFit="1" customWidth="1"/>
    <col min="21" max="21" width="12" style="340" customWidth="1"/>
    <col min="22" max="22" width="6" style="340" bestFit="1" customWidth="1"/>
    <col min="23" max="23" width="19" style="340" bestFit="1" customWidth="1"/>
    <col min="24" max="24" width="10.28515625" style="340" customWidth="1"/>
    <col min="25" max="25" width="14.28515625" style="340" customWidth="1"/>
    <col min="26" max="26" width="8.7109375" style="202" bestFit="1" customWidth="1"/>
    <col min="27" max="27" width="12" style="340" customWidth="1"/>
    <col min="28" max="28" width="6" style="340" bestFit="1" customWidth="1"/>
    <col min="29" max="29" width="19" style="340" bestFit="1" customWidth="1"/>
    <col min="30" max="30" width="10.28515625" style="340" customWidth="1"/>
    <col min="31" max="31" width="14.28515625" style="340" customWidth="1"/>
    <col min="32" max="32" width="8.7109375" style="202" bestFit="1" customWidth="1"/>
    <col min="33" max="33" width="12" style="340" customWidth="1"/>
    <col min="34" max="34" width="6" style="340" bestFit="1" customWidth="1"/>
    <col min="35" max="35" width="19" style="340" bestFit="1" customWidth="1"/>
    <col min="36" max="36" width="8.140625" style="340" bestFit="1" customWidth="1"/>
    <col min="37" max="37" width="14.28515625" style="340" customWidth="1"/>
    <col min="38" max="38" width="8.7109375" style="202" bestFit="1" customWidth="1"/>
    <col min="39" max="39" width="12" style="340" customWidth="1"/>
    <col min="40" max="40" width="6" style="340" bestFit="1" customWidth="1"/>
    <col min="41" max="41" width="19" style="340" bestFit="1" customWidth="1"/>
    <col min="42" max="42" width="10.42578125" style="340" customWidth="1"/>
    <col min="43" max="43" width="15.28515625" style="340" customWidth="1"/>
    <col min="44" max="44" width="8.7109375" style="202" bestFit="1" customWidth="1"/>
    <col min="45" max="45" width="12" style="340" customWidth="1"/>
    <col min="46" max="46" width="6" style="340" bestFit="1" customWidth="1"/>
    <col min="47" max="47" width="19" style="340" bestFit="1" customWidth="1"/>
    <col min="48" max="48" width="10.5703125" style="340" customWidth="1"/>
    <col min="49" max="49" width="16" style="340" customWidth="1"/>
    <col min="50" max="50" width="9.140625" style="202" bestFit="1" customWidth="1"/>
    <col min="51" max="51" width="10.28515625" style="340" bestFit="1" customWidth="1"/>
    <col min="52" max="52" width="6.5703125" style="340" bestFit="1" customWidth="1"/>
    <col min="53" max="53" width="16" style="340" customWidth="1"/>
    <col min="54" max="54" width="9.140625" style="202" bestFit="1" customWidth="1"/>
    <col min="55" max="55" width="12" style="340" customWidth="1"/>
    <col min="56" max="56" width="6" style="340" bestFit="1" customWidth="1"/>
    <col min="57" max="57" width="19" style="340" bestFit="1" customWidth="1"/>
    <col min="58" max="58" width="9.140625" style="340" customWidth="1"/>
    <col min="59" max="59" width="16" style="340" customWidth="1"/>
    <col min="60" max="60" width="9.140625" style="202" bestFit="1" customWidth="1"/>
    <col min="61" max="61" width="10.5703125" style="217" bestFit="1" customWidth="1"/>
    <col min="62" max="62" width="6" style="217" bestFit="1" customWidth="1"/>
    <col min="63" max="63" width="19" style="217" bestFit="1" customWidth="1"/>
    <col min="64" max="64" width="9.140625" style="217" customWidth="1"/>
    <col min="65" max="65" width="16" style="340" customWidth="1"/>
    <col min="66" max="66" width="9.140625" style="202" bestFit="1" customWidth="1"/>
    <col min="67" max="67" width="10.5703125" style="217" bestFit="1" customWidth="1"/>
    <col min="68" max="68" width="6" style="217" bestFit="1" customWidth="1"/>
    <col min="69" max="69" width="19" style="217" bestFit="1" customWidth="1"/>
    <col min="70" max="70" width="9.140625" style="217" customWidth="1"/>
    <col min="71" max="71" width="16" style="340" customWidth="1"/>
    <col min="72" max="72" width="8.140625" style="259" bestFit="1" customWidth="1"/>
    <col min="73" max="73" width="10.5703125" style="217" bestFit="1" customWidth="1"/>
    <col min="74" max="74" width="6" style="217" bestFit="1" customWidth="1"/>
    <col min="75" max="75" width="19" style="217" bestFit="1" customWidth="1"/>
    <col min="76" max="76" width="9.140625" style="217" customWidth="1"/>
    <col min="77" max="77" width="17.42578125" style="340" customWidth="1"/>
    <col min="78" max="78" width="9" style="202" bestFit="1" customWidth="1"/>
    <col min="79" max="79" width="10.5703125" style="217" bestFit="1" customWidth="1"/>
    <col min="80" max="80" width="6" style="217" bestFit="1" customWidth="1"/>
    <col min="81" max="81" width="19" style="217" bestFit="1" customWidth="1"/>
    <col min="82" max="82" width="10.5703125" style="217" customWidth="1"/>
    <col min="83" max="83" width="17.42578125" style="340" customWidth="1"/>
    <col min="84" max="84" width="9" style="202" bestFit="1" customWidth="1"/>
    <col min="85" max="85" width="10.5703125" style="217" bestFit="1" customWidth="1"/>
    <col min="86" max="86" width="9.140625" style="217" bestFit="1" customWidth="1"/>
    <col min="87" max="87" width="19" style="217" bestFit="1" customWidth="1"/>
    <col min="88" max="88" width="9" style="217" customWidth="1"/>
    <col min="89" max="89" width="17.42578125" style="340" customWidth="1"/>
    <col min="90" max="90" width="9" style="202" bestFit="1" customWidth="1"/>
    <col min="91" max="91" width="10.5703125" style="217" bestFit="1" customWidth="1"/>
    <col min="92" max="92" width="9.140625" style="217" bestFit="1" customWidth="1"/>
    <col min="93" max="93" width="19" style="217" bestFit="1" customWidth="1"/>
    <col min="94" max="94" width="12" style="217" customWidth="1"/>
    <col min="95" max="95" width="17.42578125" style="340" customWidth="1"/>
    <col min="96" max="96" width="9" style="202" bestFit="1" customWidth="1"/>
    <col min="97" max="97" width="10.5703125" style="217" bestFit="1" customWidth="1"/>
    <col min="98" max="98" width="9.140625" style="217" customWidth="1"/>
    <col min="99" max="99" width="19" style="217" bestFit="1" customWidth="1"/>
    <col min="100" max="100" width="12" style="217" customWidth="1"/>
    <col min="101" max="101" width="17.42578125" style="340" customWidth="1"/>
    <col min="102" max="102" width="9" style="202" bestFit="1" customWidth="1"/>
    <col min="103" max="103" width="12" style="217" customWidth="1"/>
    <col min="104" max="104" width="9.140625" style="217" customWidth="1"/>
    <col min="105" max="105" width="19" style="217" bestFit="1" customWidth="1"/>
    <col min="106" max="106" width="12" style="217" customWidth="1"/>
    <col min="107" max="107" width="17.42578125" style="340" customWidth="1"/>
    <col min="108" max="108" width="9" style="202" bestFit="1" customWidth="1"/>
    <col min="109" max="109" width="18.5703125" style="217" customWidth="1"/>
    <col min="110" max="110" width="9.140625" style="217" customWidth="1"/>
    <col min="111" max="111" width="19" style="217" bestFit="1" customWidth="1"/>
    <col min="112" max="112" width="12" style="274" customWidth="1"/>
    <col min="113" max="113" width="20.85546875" style="340" customWidth="1"/>
    <col min="114" max="114" width="9" style="202" bestFit="1" customWidth="1"/>
    <col min="115" max="115" width="12.5703125" style="217" bestFit="1" customWidth="1"/>
    <col min="116" max="116" width="10.85546875" style="217" customWidth="1"/>
    <col min="117" max="117" width="19" style="217" bestFit="1" customWidth="1"/>
    <col min="118" max="118" width="11.85546875" style="274" customWidth="1"/>
    <col min="119" max="119" width="20.85546875" style="340" customWidth="1"/>
    <col min="120" max="120" width="8" style="202" bestFit="1" customWidth="1"/>
    <col min="121" max="121" width="12.5703125" style="217" bestFit="1" customWidth="1"/>
    <col min="122" max="122" width="9.28515625" style="217" customWidth="1"/>
    <col min="123" max="123" width="17.5703125" style="217" bestFit="1" customWidth="1"/>
    <col min="124" max="124" width="11.85546875" style="274" customWidth="1"/>
    <col min="125" max="125" width="20.85546875" style="340" customWidth="1"/>
    <col min="126" max="126" width="8" style="202" bestFit="1" customWidth="1"/>
    <col min="127" max="127" width="12.5703125" style="340" bestFit="1" customWidth="1"/>
    <col min="128" max="128" width="9.140625" style="340" customWidth="1"/>
    <col min="129" max="129" width="17.5703125" style="340" bestFit="1" customWidth="1"/>
    <col min="130" max="130" width="11.85546875" style="340" customWidth="1"/>
    <col min="131" max="131" width="20.85546875" style="340" customWidth="1"/>
    <col min="132" max="132" width="7.5703125" style="340" bestFit="1" customWidth="1"/>
    <col min="133" max="133" width="12.5703125" style="340" bestFit="1" customWidth="1"/>
    <col min="134" max="134" width="9.140625" style="340" customWidth="1"/>
    <col min="135" max="135" width="17.28515625" style="340" bestFit="1" customWidth="1"/>
    <col min="136" max="136" width="9.140625" style="340" bestFit="1" customWidth="1"/>
    <col min="137" max="137" width="0.7109375" style="340" customWidth="1"/>
    <col min="138" max="138" width="20.85546875" style="340" customWidth="1"/>
    <col min="139" max="139" width="7.5703125" style="340" bestFit="1" customWidth="1"/>
    <col min="140" max="140" width="12.5703125" style="340" bestFit="1" customWidth="1"/>
    <col min="141" max="141" width="9.140625" style="340" customWidth="1"/>
    <col min="142" max="142" width="17.28515625" style="340" bestFit="1" customWidth="1"/>
    <col min="143" max="143" width="10.85546875" style="340" customWidth="1"/>
    <col min="144" max="144" width="20.85546875" style="340" customWidth="1"/>
    <col min="145" max="145" width="7.5703125" style="340" bestFit="1" customWidth="1"/>
    <col min="146" max="146" width="12.5703125" style="340" bestFit="1" customWidth="1"/>
    <col min="147" max="147" width="9.140625" style="340" customWidth="1"/>
    <col min="148" max="148" width="17.28515625" style="340" bestFit="1" customWidth="1"/>
    <col min="149" max="149" width="10.85546875" style="340" customWidth="1"/>
    <col min="150" max="150" width="21.28515625" style="340" customWidth="1"/>
    <col min="151" max="151" width="7.5703125" style="340" bestFit="1" customWidth="1"/>
    <col min="152" max="152" width="12.5703125" style="340" bestFit="1" customWidth="1"/>
    <col min="153" max="153" width="9.140625" style="340" customWidth="1"/>
    <col min="154" max="154" width="17.28515625" style="340" bestFit="1" customWidth="1"/>
    <col min="155" max="155" width="8.7109375" style="340" bestFit="1" customWidth="1"/>
    <col min="156" max="156" width="21.28515625" style="340" customWidth="1"/>
    <col min="157" max="157" width="7.5703125" style="340" bestFit="1" customWidth="1"/>
    <col min="158" max="158" width="12.5703125" style="340" bestFit="1" customWidth="1"/>
    <col min="159" max="159" width="9.140625" style="340" customWidth="1"/>
    <col min="160" max="160" width="17.28515625" style="340" bestFit="1" customWidth="1"/>
    <col min="161" max="161" width="9.28515625" style="340" customWidth="1"/>
    <col min="162" max="162" width="21.28515625" style="340" customWidth="1"/>
    <col min="163" max="163" width="7.5703125" style="340" bestFit="1" customWidth="1"/>
    <col min="164" max="164" width="12.5703125" style="340" bestFit="1" customWidth="1"/>
    <col min="165" max="165" width="9.140625" style="340" bestFit="1" customWidth="1"/>
    <col min="166" max="166" width="17.28515625" style="340" bestFit="1" customWidth="1"/>
    <col min="167" max="167" width="9.28515625" style="340" bestFit="1" customWidth="1"/>
    <col min="168" max="168" width="21.28515625" style="340" customWidth="1"/>
    <col min="169" max="169" width="8.140625" style="340" bestFit="1" customWidth="1"/>
    <col min="170" max="170" width="17.42578125" style="340" bestFit="1" customWidth="1"/>
    <col min="171" max="171" width="9.140625" style="340" bestFit="1" customWidth="1"/>
    <col min="172" max="172" width="17.5703125" style="340" customWidth="1"/>
    <col min="173" max="173" width="10.28515625" style="340" customWidth="1"/>
    <col min="174" max="174" width="21.28515625" style="340" customWidth="1"/>
    <col min="175" max="175" width="8.140625" style="340" bestFit="1" customWidth="1"/>
    <col min="176" max="176" width="14.5703125" style="340" customWidth="1"/>
    <col min="177" max="177" width="10.5703125" style="340" customWidth="1"/>
    <col min="178" max="178" width="17" style="340" customWidth="1"/>
    <col min="179" max="179" width="9.140625" style="340" bestFit="1" customWidth="1"/>
    <col min="180" max="180" width="21.28515625" style="340" customWidth="1"/>
    <col min="181" max="181" width="7.5703125" style="340" bestFit="1" customWidth="1"/>
    <col min="182" max="182" width="13.7109375" style="340" bestFit="1" customWidth="1"/>
    <col min="183" max="183" width="9.140625" style="340" bestFit="1" customWidth="1"/>
    <col min="184" max="184" width="17" style="340" customWidth="1"/>
    <col min="185" max="185" width="14.85546875" style="340" bestFit="1" customWidth="1"/>
    <col min="186" max="186" width="21.28515625" style="340" customWidth="1"/>
    <col min="187" max="187" width="7.5703125" style="340" bestFit="1" customWidth="1"/>
    <col min="188" max="188" width="13.7109375" style="340" bestFit="1" customWidth="1"/>
    <col min="189" max="189" width="9.140625" style="340" bestFit="1" customWidth="1"/>
    <col min="190" max="190" width="17" style="340" customWidth="1"/>
    <col min="191" max="191" width="10.85546875" style="340" customWidth="1"/>
    <col min="192" max="192" width="19.42578125" style="340" customWidth="1"/>
    <col min="193" max="193" width="7.5703125" style="340" bestFit="1" customWidth="1"/>
    <col min="194" max="194" width="11.85546875" style="340" customWidth="1"/>
    <col min="195" max="195" width="9.140625" style="340" bestFit="1" customWidth="1"/>
    <col min="196" max="196" width="18.140625" style="340" customWidth="1"/>
    <col min="197" max="197" width="10.85546875" style="340" customWidth="1"/>
    <col min="198" max="198" width="19.42578125" style="340" customWidth="1"/>
    <col min="199" max="199" width="7.5703125" style="340" bestFit="1" customWidth="1"/>
    <col min="200" max="200" width="11.85546875" style="340" customWidth="1"/>
    <col min="201" max="201" width="9.140625" style="340" customWidth="1"/>
    <col min="202" max="202" width="18.140625" style="340" customWidth="1"/>
    <col min="203" max="203" width="10.85546875" style="340" customWidth="1"/>
    <col min="204" max="204" width="19.42578125" style="340" customWidth="1"/>
    <col min="205" max="205" width="7.5703125" style="340" bestFit="1" customWidth="1"/>
    <col min="206" max="206" width="11.85546875" style="340" customWidth="1"/>
    <col min="207" max="207" width="9.140625" style="340" customWidth="1"/>
    <col min="208" max="208" width="18.140625" style="340" customWidth="1"/>
    <col min="209" max="209" width="10.85546875" style="340" customWidth="1"/>
    <col min="210" max="210" width="16" style="340" customWidth="1"/>
    <col min="211" max="211" width="8.140625" style="340" bestFit="1" customWidth="1"/>
    <col min="212" max="212" width="11.85546875" style="340" customWidth="1"/>
    <col min="213" max="213" width="9.140625" style="340" customWidth="1"/>
    <col min="214" max="214" width="15.85546875" style="340" customWidth="1"/>
    <col min="215" max="215" width="9.5703125" style="340" customWidth="1"/>
    <col min="216" max="216" width="16" style="340" customWidth="1"/>
    <col min="217" max="217" width="8.140625" style="340" bestFit="1" customWidth="1"/>
    <col min="218" max="218" width="15.42578125" style="340" customWidth="1"/>
    <col min="219" max="219" width="9.140625" style="340" customWidth="1"/>
    <col min="220" max="220" width="15.85546875" style="340" customWidth="1"/>
    <col min="221" max="221" width="9.5703125" style="340" customWidth="1"/>
    <col min="222" max="222" width="15.85546875" style="340" customWidth="1"/>
    <col min="223" max="223" width="8.140625" style="340" bestFit="1" customWidth="1"/>
    <col min="224" max="224" width="15.5703125" style="340" bestFit="1" customWidth="1"/>
    <col min="225" max="225" width="9.140625" style="340" bestFit="1" customWidth="1"/>
    <col min="226" max="226" width="15.85546875" style="340" customWidth="1"/>
    <col min="227" max="227" width="9.5703125" style="340" customWidth="1"/>
    <col min="228" max="228" width="15.85546875" style="340" customWidth="1"/>
    <col min="229" max="229" width="9.5703125" style="340" customWidth="1"/>
    <col min="230" max="230" width="15.5703125" style="340" bestFit="1" customWidth="1"/>
    <col min="231" max="231" width="10.140625" style="340" bestFit="1" customWidth="1"/>
    <col min="232" max="232" width="15.85546875" style="340" customWidth="1"/>
    <col min="233" max="233" width="10.42578125" style="340" customWidth="1"/>
    <col min="234" max="234" width="16.7109375" style="340" customWidth="1"/>
    <col min="235" max="235" width="10.85546875" style="340" customWidth="1"/>
    <col min="236" max="236" width="15.5703125" style="340" bestFit="1" customWidth="1"/>
    <col min="237" max="237" width="9.140625" style="340" bestFit="1" customWidth="1"/>
    <col min="238" max="238" width="21.5703125" style="340" customWidth="1"/>
    <col min="239" max="239" width="11.5703125" style="340" bestFit="1" customWidth="1"/>
    <col min="240" max="240" width="18.85546875" style="340" customWidth="1"/>
    <col min="241" max="241" width="8.140625" style="340" bestFit="1" customWidth="1"/>
    <col min="242" max="242" width="14.5703125" style="340" customWidth="1"/>
    <col min="243" max="243" width="9.140625" style="340" bestFit="1" customWidth="1"/>
    <col min="244" max="244" width="15.85546875" style="340" customWidth="1"/>
    <col min="245" max="245" width="13.140625" style="340" customWidth="1"/>
    <col min="246" max="246" width="19" style="340" customWidth="1"/>
    <col min="247" max="247" width="9.140625" style="340" bestFit="1" customWidth="1"/>
    <col min="248" max="248" width="14.5703125" style="340" customWidth="1"/>
    <col min="249" max="249" width="9.140625" style="340" bestFit="1" customWidth="1"/>
    <col min="250" max="250" width="15.85546875" style="340" customWidth="1"/>
    <col min="251" max="251" width="11.85546875" style="340" bestFit="1" customWidth="1"/>
    <col min="252" max="252" width="18.28515625" style="340" customWidth="1"/>
    <col min="253" max="253" width="10.140625" style="340" bestFit="1" customWidth="1"/>
    <col min="254" max="254" width="14.5703125" style="340" customWidth="1"/>
    <col min="255" max="255" width="10.7109375" style="340" customWidth="1"/>
    <col min="256" max="256" width="15.85546875" style="340" customWidth="1"/>
    <col min="257" max="257" width="8.7109375" style="340" customWidth="1"/>
    <col min="258" max="258" width="18.28515625" style="340" customWidth="1"/>
    <col min="259" max="259" width="9.7109375" style="340" bestFit="1" customWidth="1"/>
    <col min="260" max="260" width="14.5703125" style="340" customWidth="1"/>
    <col min="261" max="261" width="9.7109375" style="340" bestFit="1" customWidth="1"/>
    <col min="262" max="262" width="15.85546875" style="340" customWidth="1"/>
    <col min="263" max="263" width="10.85546875" style="340" bestFit="1" customWidth="1"/>
    <col min="264" max="264" width="18" style="340" customWidth="1"/>
    <col min="265" max="265" width="10.85546875" style="340" customWidth="1"/>
    <col min="266" max="266" width="14.5703125" style="340" customWidth="1"/>
    <col min="267" max="267" width="11.7109375" style="340" customWidth="1"/>
    <col min="268" max="268" width="16.85546875" style="340" customWidth="1"/>
    <col min="269" max="269" width="11.85546875" style="340" bestFit="1" customWidth="1"/>
    <col min="270" max="270" width="17.7109375" style="340" customWidth="1"/>
    <col min="271" max="271" width="9" style="340" customWidth="1"/>
    <col min="272" max="272" width="14.5703125" style="340" customWidth="1"/>
    <col min="273" max="273" width="11.42578125" style="340" customWidth="1"/>
    <col min="274" max="274" width="16.85546875" style="340" customWidth="1"/>
    <col min="275" max="275" width="11.85546875" style="340" bestFit="1" customWidth="1"/>
    <col min="276" max="276" width="17.7109375" style="340" customWidth="1"/>
    <col min="277" max="277" width="9.42578125" style="340" customWidth="1"/>
    <col min="278" max="278" width="17.42578125" style="340" customWidth="1"/>
    <col min="279" max="279" width="10.140625" style="340" bestFit="1" customWidth="1"/>
    <col min="280" max="280" width="16.85546875" style="340" customWidth="1"/>
    <col min="281" max="281" width="11.85546875" style="340" bestFit="1" customWidth="1"/>
    <col min="282" max="282" width="17.7109375" style="340" customWidth="1"/>
    <col min="283" max="283" width="9.140625" style="340" bestFit="1" customWidth="1"/>
    <col min="284" max="284" width="17.42578125" style="340" customWidth="1"/>
    <col min="285" max="285" width="9.140625" style="340" bestFit="1" customWidth="1"/>
    <col min="286" max="286" width="16.85546875" style="340" customWidth="1"/>
    <col min="287" max="287" width="10.28515625" style="340" customWidth="1"/>
    <col min="288" max="288" width="17.7109375" style="340" customWidth="1"/>
    <col min="289" max="289" width="8.140625" style="340" customWidth="1"/>
    <col min="290" max="290" width="15.85546875" style="340" customWidth="1"/>
    <col min="291" max="291" width="10.140625" style="340" customWidth="1"/>
    <col min="292" max="292" width="16.85546875" style="340" customWidth="1"/>
    <col min="293" max="293" width="11.85546875" style="340" customWidth="1"/>
    <col min="294" max="294" width="18.7109375" style="340" customWidth="1"/>
    <col min="295" max="295" width="8" style="340" customWidth="1"/>
    <col min="296" max="296" width="19.140625" style="340" customWidth="1"/>
    <col min="297" max="297" width="10.140625" style="340" bestFit="1" customWidth="1"/>
    <col min="298" max="298" width="16.85546875" style="340" customWidth="1"/>
    <col min="299" max="299" width="14.5703125" style="340" bestFit="1" customWidth="1"/>
    <col min="300" max="300" width="19" style="340" bestFit="1" customWidth="1"/>
    <col min="301" max="301" width="10.140625" style="340" customWidth="1"/>
    <col min="302" max="302" width="19.140625" style="340" customWidth="1"/>
    <col min="303" max="303" width="9.7109375" style="340" customWidth="1"/>
    <col min="304" max="304" width="16.85546875" style="340" customWidth="1"/>
    <col min="305" max="305" width="12" style="340" customWidth="1"/>
    <col min="306" max="306" width="18.85546875" style="340" customWidth="1"/>
    <col min="307" max="307" width="10.85546875" style="340" customWidth="1"/>
    <col min="308" max="308" width="19.140625" style="340" customWidth="1"/>
    <col min="309" max="309" width="10.5703125" style="340" customWidth="1"/>
    <col min="310" max="310" width="16.85546875" style="340" customWidth="1"/>
    <col min="311" max="311" width="10" style="340" bestFit="1" customWidth="1"/>
    <col min="312" max="312" width="18.85546875" style="340" customWidth="1"/>
    <col min="313" max="313" width="10.5703125" style="340" customWidth="1"/>
    <col min="314" max="314" width="19.140625" style="622" customWidth="1"/>
    <col min="315" max="315" width="11.7109375" style="622" customWidth="1"/>
    <col min="316" max="316" width="16.85546875" style="622" customWidth="1"/>
    <col min="317" max="317" width="12" style="622" customWidth="1"/>
    <col min="318" max="318" width="18.85546875" style="622" customWidth="1"/>
    <col min="319" max="319" width="11.5703125" style="622" customWidth="1"/>
    <col min="320" max="320" width="19.85546875" style="656" customWidth="1"/>
    <col min="321" max="321" width="11.42578125" style="656" customWidth="1"/>
    <col min="322" max="322" width="18.28515625" style="656" customWidth="1"/>
    <col min="323" max="323" width="12" style="656" customWidth="1"/>
    <col min="324" max="324" width="20.7109375" style="656" customWidth="1"/>
    <col min="325" max="325" width="10.5703125" style="656" customWidth="1"/>
    <col min="326" max="326" width="19.85546875" style="688" customWidth="1"/>
    <col min="327" max="327" width="11.42578125" style="688" customWidth="1"/>
    <col min="328" max="328" width="21.85546875" style="688" customWidth="1"/>
    <col min="329" max="329" width="11.28515625" style="688" customWidth="1"/>
    <col min="330" max="330" width="18.85546875" style="688" customWidth="1"/>
    <col min="331" max="331" width="10.5703125" style="688" customWidth="1"/>
    <col min="332" max="332" width="7.28515625" style="465" bestFit="1" customWidth="1"/>
    <col min="333" max="16384" width="14.5703125" style="340"/>
  </cols>
  <sheetData>
    <row r="1" spans="1:333">
      <c r="A1" s="738" t="s">
        <v>1209</v>
      </c>
      <c r="B1" s="738"/>
      <c r="C1" s="716" t="s">
        <v>292</v>
      </c>
      <c r="D1" s="716"/>
      <c r="E1" s="714" t="s">
        <v>1010</v>
      </c>
      <c r="F1" s="714"/>
      <c r="G1" s="738" t="s">
        <v>1210</v>
      </c>
      <c r="H1" s="738"/>
      <c r="I1" s="716" t="s">
        <v>292</v>
      </c>
      <c r="J1" s="716"/>
      <c r="K1" s="714" t="s">
        <v>1011</v>
      </c>
      <c r="L1" s="714"/>
      <c r="M1" s="738" t="s">
        <v>1211</v>
      </c>
      <c r="N1" s="738"/>
      <c r="O1" s="716" t="s">
        <v>292</v>
      </c>
      <c r="P1" s="716"/>
      <c r="Q1" s="714" t="s">
        <v>1057</v>
      </c>
      <c r="R1" s="714"/>
      <c r="S1" s="738" t="s">
        <v>1212</v>
      </c>
      <c r="T1" s="738"/>
      <c r="U1" s="716" t="s">
        <v>292</v>
      </c>
      <c r="V1" s="716"/>
      <c r="W1" s="714" t="s">
        <v>627</v>
      </c>
      <c r="X1" s="714"/>
      <c r="Y1" s="738" t="s">
        <v>1213</v>
      </c>
      <c r="Z1" s="738"/>
      <c r="AA1" s="716" t="s">
        <v>292</v>
      </c>
      <c r="AB1" s="716"/>
      <c r="AC1" s="714" t="s">
        <v>1084</v>
      </c>
      <c r="AD1" s="714"/>
      <c r="AE1" s="738" t="s">
        <v>1214</v>
      </c>
      <c r="AF1" s="738"/>
      <c r="AG1" s="716" t="s">
        <v>292</v>
      </c>
      <c r="AH1" s="716"/>
      <c r="AI1" s="714" t="s">
        <v>1134</v>
      </c>
      <c r="AJ1" s="714"/>
      <c r="AK1" s="738" t="s">
        <v>1217</v>
      </c>
      <c r="AL1" s="738"/>
      <c r="AM1" s="716" t="s">
        <v>1132</v>
      </c>
      <c r="AN1" s="716"/>
      <c r="AO1" s="714" t="s">
        <v>1133</v>
      </c>
      <c r="AP1" s="714"/>
      <c r="AQ1" s="738" t="s">
        <v>1218</v>
      </c>
      <c r="AR1" s="738"/>
      <c r="AS1" s="716" t="s">
        <v>1132</v>
      </c>
      <c r="AT1" s="716"/>
      <c r="AU1" s="714" t="s">
        <v>1178</v>
      </c>
      <c r="AV1" s="714"/>
      <c r="AW1" s="738" t="s">
        <v>1215</v>
      </c>
      <c r="AX1" s="738"/>
      <c r="AY1" s="714" t="s">
        <v>1241</v>
      </c>
      <c r="AZ1" s="714"/>
      <c r="BA1" s="738" t="s">
        <v>1215</v>
      </c>
      <c r="BB1" s="738"/>
      <c r="BC1" s="716" t="s">
        <v>816</v>
      </c>
      <c r="BD1" s="716"/>
      <c r="BE1" s="714" t="s">
        <v>1208</v>
      </c>
      <c r="BF1" s="714"/>
      <c r="BG1" s="738" t="s">
        <v>1216</v>
      </c>
      <c r="BH1" s="738"/>
      <c r="BI1" s="716" t="s">
        <v>816</v>
      </c>
      <c r="BJ1" s="716"/>
      <c r="BK1" s="714" t="s">
        <v>1208</v>
      </c>
      <c r="BL1" s="714"/>
      <c r="BM1" s="738" t="s">
        <v>1226</v>
      </c>
      <c r="BN1" s="738"/>
      <c r="BO1" s="716" t="s">
        <v>816</v>
      </c>
      <c r="BP1" s="716"/>
      <c r="BQ1" s="714" t="s">
        <v>1244</v>
      </c>
      <c r="BR1" s="714"/>
      <c r="BS1" s="738" t="s">
        <v>1243</v>
      </c>
      <c r="BT1" s="738"/>
      <c r="BU1" s="716" t="s">
        <v>816</v>
      </c>
      <c r="BV1" s="716"/>
      <c r="BW1" s="714" t="s">
        <v>1248</v>
      </c>
      <c r="BX1" s="714"/>
      <c r="BY1" s="738" t="s">
        <v>1270</v>
      </c>
      <c r="BZ1" s="738"/>
      <c r="CA1" s="716" t="s">
        <v>816</v>
      </c>
      <c r="CB1" s="716"/>
      <c r="CC1" s="714" t="s">
        <v>1244</v>
      </c>
      <c r="CD1" s="714"/>
      <c r="CE1" s="738" t="s">
        <v>1291</v>
      </c>
      <c r="CF1" s="738"/>
      <c r="CG1" s="716" t="s">
        <v>816</v>
      </c>
      <c r="CH1" s="716"/>
      <c r="CI1" s="714" t="s">
        <v>1248</v>
      </c>
      <c r="CJ1" s="714"/>
      <c r="CK1" s="738" t="s">
        <v>1307</v>
      </c>
      <c r="CL1" s="738"/>
      <c r="CM1" s="716" t="s">
        <v>816</v>
      </c>
      <c r="CN1" s="716"/>
      <c r="CO1" s="714" t="s">
        <v>1244</v>
      </c>
      <c r="CP1" s="714"/>
      <c r="CQ1" s="738" t="s">
        <v>1335</v>
      </c>
      <c r="CR1" s="738"/>
      <c r="CS1" s="740" t="s">
        <v>816</v>
      </c>
      <c r="CT1" s="740"/>
      <c r="CU1" s="714" t="s">
        <v>1391</v>
      </c>
      <c r="CV1" s="714"/>
      <c r="CW1" s="738" t="s">
        <v>1374</v>
      </c>
      <c r="CX1" s="738"/>
      <c r="CY1" s="740" t="s">
        <v>816</v>
      </c>
      <c r="CZ1" s="740"/>
      <c r="DA1" s="714" t="s">
        <v>1597</v>
      </c>
      <c r="DB1" s="714"/>
      <c r="DC1" s="738" t="s">
        <v>1394</v>
      </c>
      <c r="DD1" s="738"/>
      <c r="DE1" s="740" t="s">
        <v>816</v>
      </c>
      <c r="DF1" s="740"/>
      <c r="DG1" s="714" t="s">
        <v>1491</v>
      </c>
      <c r="DH1" s="714"/>
      <c r="DI1" s="738" t="s">
        <v>1594</v>
      </c>
      <c r="DJ1" s="738"/>
      <c r="DK1" s="740" t="s">
        <v>816</v>
      </c>
      <c r="DL1" s="740"/>
      <c r="DM1" s="714" t="s">
        <v>1391</v>
      </c>
      <c r="DN1" s="714"/>
      <c r="DO1" s="738" t="s">
        <v>1595</v>
      </c>
      <c r="DP1" s="738"/>
      <c r="DQ1" s="740" t="s">
        <v>816</v>
      </c>
      <c r="DR1" s="740"/>
      <c r="DS1" s="714" t="s">
        <v>1590</v>
      </c>
      <c r="DT1" s="714"/>
      <c r="DU1" s="738" t="s">
        <v>1596</v>
      </c>
      <c r="DV1" s="738"/>
      <c r="DW1" s="740" t="s">
        <v>816</v>
      </c>
      <c r="DX1" s="740"/>
      <c r="DY1" s="714" t="s">
        <v>1616</v>
      </c>
      <c r="DZ1" s="714"/>
      <c r="EA1" s="739" t="s">
        <v>1611</v>
      </c>
      <c r="EB1" s="739"/>
      <c r="EC1" s="740" t="s">
        <v>816</v>
      </c>
      <c r="ED1" s="740"/>
      <c r="EE1" s="714" t="s">
        <v>1590</v>
      </c>
      <c r="EF1" s="714"/>
      <c r="EG1" s="458"/>
      <c r="EH1" s="739" t="s">
        <v>1641</v>
      </c>
      <c r="EI1" s="739"/>
      <c r="EJ1" s="740" t="s">
        <v>816</v>
      </c>
      <c r="EK1" s="740"/>
      <c r="EL1" s="714" t="s">
        <v>1674</v>
      </c>
      <c r="EM1" s="714"/>
      <c r="EN1" s="739" t="s">
        <v>1666</v>
      </c>
      <c r="EO1" s="739"/>
      <c r="EP1" s="740" t="s">
        <v>816</v>
      </c>
      <c r="EQ1" s="740"/>
      <c r="ER1" s="714" t="s">
        <v>1714</v>
      </c>
      <c r="ES1" s="714"/>
      <c r="ET1" s="739" t="s">
        <v>1707</v>
      </c>
      <c r="EU1" s="739"/>
      <c r="EV1" s="740" t="s">
        <v>816</v>
      </c>
      <c r="EW1" s="740"/>
      <c r="EX1" s="714" t="s">
        <v>1616</v>
      </c>
      <c r="EY1" s="714"/>
      <c r="EZ1" s="739" t="s">
        <v>1742</v>
      </c>
      <c r="FA1" s="739"/>
      <c r="FB1" s="740" t="s">
        <v>816</v>
      </c>
      <c r="FC1" s="740"/>
      <c r="FD1" s="714" t="s">
        <v>1597</v>
      </c>
      <c r="FE1" s="714"/>
      <c r="FF1" s="739" t="s">
        <v>1781</v>
      </c>
      <c r="FG1" s="739"/>
      <c r="FH1" s="740" t="s">
        <v>816</v>
      </c>
      <c r="FI1" s="740"/>
      <c r="FJ1" s="714" t="s">
        <v>1391</v>
      </c>
      <c r="FK1" s="714"/>
      <c r="FL1" s="739" t="s">
        <v>1816</v>
      </c>
      <c r="FM1" s="739"/>
      <c r="FN1" s="740" t="s">
        <v>816</v>
      </c>
      <c r="FO1" s="740"/>
      <c r="FP1" s="714" t="s">
        <v>1863</v>
      </c>
      <c r="FQ1" s="714"/>
      <c r="FR1" s="739" t="s">
        <v>1852</v>
      </c>
      <c r="FS1" s="739"/>
      <c r="FT1" s="740" t="s">
        <v>816</v>
      </c>
      <c r="FU1" s="740"/>
      <c r="FV1" s="714" t="s">
        <v>1863</v>
      </c>
      <c r="FW1" s="714"/>
      <c r="FX1" s="739" t="s">
        <v>1966</v>
      </c>
      <c r="FY1" s="739"/>
      <c r="FZ1" s="740" t="s">
        <v>816</v>
      </c>
      <c r="GA1" s="740"/>
      <c r="GB1" s="714" t="s">
        <v>1616</v>
      </c>
      <c r="GC1" s="714"/>
      <c r="GD1" s="739" t="s">
        <v>1967</v>
      </c>
      <c r="GE1" s="739"/>
      <c r="GF1" s="740" t="s">
        <v>816</v>
      </c>
      <c r="GG1" s="740"/>
      <c r="GH1" s="714" t="s">
        <v>1590</v>
      </c>
      <c r="GI1" s="714"/>
      <c r="GJ1" s="739" t="s">
        <v>1976</v>
      </c>
      <c r="GK1" s="739"/>
      <c r="GL1" s="740" t="s">
        <v>816</v>
      </c>
      <c r="GM1" s="740"/>
      <c r="GN1" s="714" t="s">
        <v>1590</v>
      </c>
      <c r="GO1" s="714"/>
      <c r="GP1" s="739" t="s">
        <v>2018</v>
      </c>
      <c r="GQ1" s="739"/>
      <c r="GR1" s="740" t="s">
        <v>816</v>
      </c>
      <c r="GS1" s="740"/>
      <c r="GT1" s="714" t="s">
        <v>1674</v>
      </c>
      <c r="GU1" s="714"/>
      <c r="GV1" s="739" t="s">
        <v>2047</v>
      </c>
      <c r="GW1" s="739"/>
      <c r="GX1" s="740" t="s">
        <v>816</v>
      </c>
      <c r="GY1" s="740"/>
      <c r="GZ1" s="714" t="s">
        <v>2086</v>
      </c>
      <c r="HA1" s="714"/>
      <c r="HB1" s="739" t="s">
        <v>2106</v>
      </c>
      <c r="HC1" s="739"/>
      <c r="HD1" s="740" t="s">
        <v>816</v>
      </c>
      <c r="HE1" s="740"/>
      <c r="HF1" s="714" t="s">
        <v>1714</v>
      </c>
      <c r="HG1" s="714"/>
      <c r="HH1" s="739" t="s">
        <v>2119</v>
      </c>
      <c r="HI1" s="739"/>
      <c r="HJ1" s="740" t="s">
        <v>816</v>
      </c>
      <c r="HK1" s="740"/>
      <c r="HL1" s="714" t="s">
        <v>1391</v>
      </c>
      <c r="HM1" s="714"/>
      <c r="HN1" s="739" t="s">
        <v>2165</v>
      </c>
      <c r="HO1" s="739"/>
      <c r="HP1" s="740" t="s">
        <v>816</v>
      </c>
      <c r="HQ1" s="740"/>
      <c r="HR1" s="714" t="s">
        <v>1391</v>
      </c>
      <c r="HS1" s="714"/>
      <c r="HT1" s="739" t="s">
        <v>2200</v>
      </c>
      <c r="HU1" s="739"/>
      <c r="HV1" s="740" t="s">
        <v>816</v>
      </c>
      <c r="HW1" s="740"/>
      <c r="HX1" s="714" t="s">
        <v>1616</v>
      </c>
      <c r="HY1" s="714"/>
      <c r="HZ1" s="739" t="s">
        <v>2245</v>
      </c>
      <c r="IA1" s="739"/>
      <c r="IB1" s="740" t="s">
        <v>816</v>
      </c>
      <c r="IC1" s="740"/>
      <c r="ID1" s="714" t="s">
        <v>1714</v>
      </c>
      <c r="IE1" s="714"/>
      <c r="IF1" s="739" t="s">
        <v>2310</v>
      </c>
      <c r="IG1" s="739"/>
      <c r="IH1" s="740" t="s">
        <v>816</v>
      </c>
      <c r="II1" s="740"/>
      <c r="IJ1" s="714" t="s">
        <v>1590</v>
      </c>
      <c r="IK1" s="714"/>
      <c r="IL1" s="739" t="s">
        <v>2379</v>
      </c>
      <c r="IM1" s="739"/>
      <c r="IN1" s="740" t="s">
        <v>816</v>
      </c>
      <c r="IO1" s="740"/>
      <c r="IP1" s="714" t="s">
        <v>1616</v>
      </c>
      <c r="IQ1" s="714"/>
      <c r="IR1" s="739" t="s">
        <v>2557</v>
      </c>
      <c r="IS1" s="739"/>
      <c r="IT1" s="740" t="s">
        <v>816</v>
      </c>
      <c r="IU1" s="740"/>
      <c r="IV1" s="714" t="s">
        <v>1747</v>
      </c>
      <c r="IW1" s="714"/>
      <c r="IX1" s="739" t="s">
        <v>2556</v>
      </c>
      <c r="IY1" s="739"/>
      <c r="IZ1" s="740" t="s">
        <v>816</v>
      </c>
      <c r="JA1" s="740"/>
      <c r="JB1" s="714" t="s">
        <v>1863</v>
      </c>
      <c r="JC1" s="714"/>
      <c r="JD1" s="739" t="s">
        <v>2597</v>
      </c>
      <c r="JE1" s="739"/>
      <c r="JF1" s="740" t="s">
        <v>816</v>
      </c>
      <c r="JG1" s="740"/>
      <c r="JH1" s="714" t="s">
        <v>1747</v>
      </c>
      <c r="JI1" s="714"/>
      <c r="JJ1" s="739" t="s">
        <v>2640</v>
      </c>
      <c r="JK1" s="739"/>
      <c r="JL1" s="460" t="s">
        <v>816</v>
      </c>
      <c r="JM1" s="460"/>
      <c r="JN1" s="458" t="s">
        <v>1747</v>
      </c>
      <c r="JO1" s="458"/>
      <c r="JP1" s="459" t="s">
        <v>2692</v>
      </c>
      <c r="JQ1" s="459"/>
      <c r="JR1" s="460" t="s">
        <v>816</v>
      </c>
      <c r="JS1" s="460"/>
      <c r="JT1" s="458" t="s">
        <v>1674</v>
      </c>
      <c r="JU1" s="458"/>
      <c r="JV1" s="459" t="s">
        <v>2737</v>
      </c>
      <c r="JW1" s="459"/>
      <c r="JX1" s="460" t="s">
        <v>816</v>
      </c>
      <c r="JY1" s="460"/>
      <c r="JZ1" s="458" t="s">
        <v>3014</v>
      </c>
      <c r="KA1" s="458"/>
      <c r="KB1" s="459" t="s">
        <v>2838</v>
      </c>
      <c r="KC1" s="459"/>
      <c r="KD1" s="460" t="s">
        <v>816</v>
      </c>
      <c r="KE1" s="460"/>
      <c r="KF1" s="458" t="s">
        <v>1391</v>
      </c>
      <c r="KG1" s="458"/>
      <c r="KH1" s="459" t="s">
        <v>2885</v>
      </c>
      <c r="KI1" s="459"/>
      <c r="KJ1" s="460" t="s">
        <v>816</v>
      </c>
      <c r="KK1" s="460"/>
      <c r="KL1" s="458" t="s">
        <v>1590</v>
      </c>
      <c r="KM1" s="458"/>
      <c r="KN1" s="459" t="s">
        <v>3000</v>
      </c>
      <c r="KO1" s="459"/>
      <c r="KP1" s="460" t="s">
        <v>816</v>
      </c>
      <c r="KQ1" s="460"/>
      <c r="KR1" s="458" t="s">
        <v>1590</v>
      </c>
      <c r="KS1" s="458"/>
      <c r="KT1" s="459" t="s">
        <v>3068</v>
      </c>
      <c r="KU1" s="459"/>
      <c r="KV1" s="460" t="s">
        <v>816</v>
      </c>
      <c r="KW1" s="460"/>
      <c r="KX1" s="616" t="s">
        <v>1590</v>
      </c>
      <c r="KY1" s="458"/>
      <c r="KZ1" s="459" t="s">
        <v>3127</v>
      </c>
      <c r="LA1" s="459"/>
      <c r="LB1" s="618" t="s">
        <v>816</v>
      </c>
      <c r="LC1" s="618"/>
      <c r="LD1" s="616" t="s">
        <v>1747</v>
      </c>
      <c r="LE1" s="616"/>
      <c r="LF1" s="621" t="s">
        <v>3192</v>
      </c>
      <c r="LG1" s="621"/>
      <c r="LH1" s="655" t="s">
        <v>816</v>
      </c>
      <c r="LI1" s="655"/>
      <c r="LJ1" s="652" t="s">
        <v>1747</v>
      </c>
      <c r="LK1" s="652"/>
      <c r="LL1" s="654" t="s">
        <v>3240</v>
      </c>
      <c r="LM1" s="654"/>
      <c r="LN1" s="687" t="s">
        <v>816</v>
      </c>
      <c r="LO1" s="687"/>
      <c r="LP1" s="684" t="s">
        <v>1747</v>
      </c>
      <c r="LQ1" s="684"/>
      <c r="LR1" s="686" t="s">
        <v>3241</v>
      </c>
      <c r="LS1" s="686"/>
    </row>
    <row r="2" spans="1:333">
      <c r="A2" s="285" t="s">
        <v>161</v>
      </c>
      <c r="B2" s="464">
        <f>SUM(B5:B23)</f>
        <v>22455.002</v>
      </c>
      <c r="E2" s="171" t="s">
        <v>296</v>
      </c>
      <c r="F2" s="174">
        <f>D2+B2-H2</f>
        <v>12767</v>
      </c>
      <c r="G2" s="285" t="s">
        <v>161</v>
      </c>
      <c r="H2" s="464">
        <f>SUM(H5:H23)</f>
        <v>9688.0020000000004</v>
      </c>
      <c r="I2" s="340" t="s">
        <v>1009</v>
      </c>
      <c r="J2" s="340">
        <f>J5</f>
        <v>12933</v>
      </c>
      <c r="K2" s="171" t="s">
        <v>296</v>
      </c>
      <c r="L2" s="240">
        <f>J2+H2-N2</f>
        <v>3782.0010000000002</v>
      </c>
      <c r="M2" s="285" t="s">
        <v>161</v>
      </c>
      <c r="N2" s="464">
        <f>SUM(N3:N21)</f>
        <v>18839.001</v>
      </c>
      <c r="O2" s="340" t="s">
        <v>1009</v>
      </c>
      <c r="P2" s="340">
        <f>SUM(P5:P19)</f>
        <v>1486</v>
      </c>
      <c r="Q2" s="171" t="s">
        <v>296</v>
      </c>
      <c r="R2" s="240">
        <f>P2+N2-T2</f>
        <v>7491</v>
      </c>
      <c r="S2" s="285" t="s">
        <v>161</v>
      </c>
      <c r="T2" s="464">
        <f>SUM(T3:T21)</f>
        <v>12834.001</v>
      </c>
      <c r="U2" s="340" t="s">
        <v>1009</v>
      </c>
      <c r="V2" s="340">
        <f>SUM(V5:V19)</f>
        <v>13831</v>
      </c>
      <c r="W2" s="171" t="s">
        <v>296</v>
      </c>
      <c r="X2" s="240">
        <f>V2+T2-Z2</f>
        <v>5763.6589999999997</v>
      </c>
      <c r="Y2" s="285" t="s">
        <v>161</v>
      </c>
      <c r="Z2" s="464">
        <f>SUM(Z3:Z22)</f>
        <v>20901.342000000001</v>
      </c>
      <c r="AA2" s="340" t="s">
        <v>1009</v>
      </c>
      <c r="AB2" s="340">
        <f>SUM(AB5:AB19)</f>
        <v>13819.29</v>
      </c>
      <c r="AC2" s="171" t="s">
        <v>296</v>
      </c>
      <c r="AD2" s="240">
        <f>AB2+Z2-AF2</f>
        <v>3988.9609999999993</v>
      </c>
      <c r="AE2" s="285" t="s">
        <v>161</v>
      </c>
      <c r="AF2" s="464">
        <f>SUM(AF3:AF23)</f>
        <v>30731.670999999998</v>
      </c>
      <c r="AG2" s="340" t="s">
        <v>1009</v>
      </c>
      <c r="AH2" s="340">
        <f>SUM(AH5:AH17)</f>
        <v>13747</v>
      </c>
      <c r="AI2" s="171" t="s">
        <v>296</v>
      </c>
      <c r="AJ2" s="240">
        <f>AH2+AF2-AL2</f>
        <v>1545.6700000000055</v>
      </c>
      <c r="AK2" s="285" t="s">
        <v>161</v>
      </c>
      <c r="AL2" s="464">
        <f>SUM(AL3:AL23)</f>
        <v>42933.000999999997</v>
      </c>
      <c r="AM2" s="340" t="s">
        <v>1009</v>
      </c>
      <c r="AN2" s="340">
        <f>SUM(AN5:AN21)</f>
        <v>19929.09</v>
      </c>
      <c r="AO2" s="171" t="s">
        <v>296</v>
      </c>
      <c r="AP2" s="240">
        <f>AN2+AL2-AR2</f>
        <v>15355.050999999999</v>
      </c>
      <c r="AQ2" s="285" t="s">
        <v>161</v>
      </c>
      <c r="AR2" s="464">
        <f>SUM(AR3:AR23)</f>
        <v>47507.040000000001</v>
      </c>
      <c r="AS2" s="340" t="s">
        <v>1009</v>
      </c>
      <c r="AT2" s="340">
        <f>SUM(AT5:AT18)</f>
        <v>15836.49</v>
      </c>
      <c r="AU2" s="171" t="s">
        <v>296</v>
      </c>
      <c r="AV2" s="240">
        <f>AT2+AR2-AX2</f>
        <v>6705.9489999999932</v>
      </c>
      <c r="AW2" s="285" t="s">
        <v>161</v>
      </c>
      <c r="AX2" s="464">
        <f>SUM(AX3:AX23)</f>
        <v>56637.581000000006</v>
      </c>
      <c r="AY2" s="171" t="s">
        <v>1242</v>
      </c>
      <c r="AZ2" s="259">
        <f>AX2-BB2</f>
        <v>30000</v>
      </c>
      <c r="BA2" s="285" t="s">
        <v>161</v>
      </c>
      <c r="BB2" s="464">
        <f>SUM(BB3:BB23)</f>
        <v>26637.581000000006</v>
      </c>
      <c r="BC2" s="340" t="s">
        <v>295</v>
      </c>
      <c r="BD2" s="340">
        <f>SUM(BD5:BD20)</f>
        <v>13776.8</v>
      </c>
      <c r="BE2" s="171" t="s">
        <v>296</v>
      </c>
      <c r="BF2" s="240">
        <f>BD2+BB2-BH2</f>
        <v>3946.3210000000108</v>
      </c>
      <c r="BG2" s="285" t="s">
        <v>161</v>
      </c>
      <c r="BH2" s="464">
        <f>SUM(BH3:BH23)</f>
        <v>36468.06</v>
      </c>
      <c r="BI2" s="217" t="s">
        <v>295</v>
      </c>
      <c r="BJ2" s="217">
        <f>SUM(BJ5:BJ19)</f>
        <v>13774.51</v>
      </c>
      <c r="BK2" s="251" t="s">
        <v>296</v>
      </c>
      <c r="BL2" s="252">
        <f>BJ2+BH2-BN2</f>
        <v>3886.3999999999869</v>
      </c>
      <c r="BM2" s="285" t="s">
        <v>161</v>
      </c>
      <c r="BN2" s="464">
        <f>SUM(BN3:BN23)</f>
        <v>46356.170000000013</v>
      </c>
      <c r="BO2" s="217" t="s">
        <v>295</v>
      </c>
      <c r="BP2" s="217">
        <f>SUM(BP5:BP21)</f>
        <v>13783.86</v>
      </c>
      <c r="BQ2" s="251" t="s">
        <v>296</v>
      </c>
      <c r="BR2" s="252">
        <f>BP2+BN2-BT2</f>
        <v>4541.1800000000076</v>
      </c>
      <c r="BS2" s="285" t="s">
        <v>161</v>
      </c>
      <c r="BT2" s="260">
        <f>SUM(BT3:BT23)</f>
        <v>55598.850000000006</v>
      </c>
      <c r="BU2" s="217" t="s">
        <v>295</v>
      </c>
      <c r="BV2" s="217">
        <f>SUM(BV5:BV21)</f>
        <v>13745.42</v>
      </c>
      <c r="BW2" s="251" t="s">
        <v>296</v>
      </c>
      <c r="BX2" s="252">
        <f>BV2+BT2-BZ2</f>
        <v>4667.6990000000078</v>
      </c>
      <c r="BY2" s="285" t="s">
        <v>161</v>
      </c>
      <c r="BZ2" s="260">
        <f>SUM(BZ3:BZ23)</f>
        <v>64676.570999999996</v>
      </c>
      <c r="CA2" s="217" t="s">
        <v>295</v>
      </c>
      <c r="CB2" s="217">
        <f>SUM(CB5:CB21)</f>
        <v>14087.22</v>
      </c>
      <c r="CC2" s="251" t="s">
        <v>296</v>
      </c>
      <c r="CD2" s="252">
        <f>CB2+BZ2-CF2</f>
        <v>4796.3099999999977</v>
      </c>
      <c r="CE2" s="285" t="s">
        <v>161</v>
      </c>
      <c r="CF2" s="260">
        <f>SUM(CF3:CF23)</f>
        <v>73967.481</v>
      </c>
      <c r="CG2" s="217" t="s">
        <v>295</v>
      </c>
      <c r="CH2" s="217">
        <f>SUM(CH4:CH19)</f>
        <v>13822.76</v>
      </c>
      <c r="CI2" s="251" t="s">
        <v>296</v>
      </c>
      <c r="CJ2" s="252">
        <f>CH2+CF2-CL2</f>
        <v>6338.7909999999829</v>
      </c>
      <c r="CK2" s="285" t="s">
        <v>161</v>
      </c>
      <c r="CL2" s="260">
        <f>SUM(CL3:CL23)</f>
        <v>81451.450000000012</v>
      </c>
      <c r="CM2" s="217" t="s">
        <v>295</v>
      </c>
      <c r="CN2" s="217">
        <f>SUM(CN4:CN19)</f>
        <v>13794.119999999999</v>
      </c>
      <c r="CO2" s="251" t="s">
        <v>296</v>
      </c>
      <c r="CP2" s="252">
        <f>CN2+CL2-CR2</f>
        <v>3995.7600000000093</v>
      </c>
      <c r="CQ2" s="285" t="s">
        <v>161</v>
      </c>
      <c r="CR2" s="260">
        <f>SUM(CR3:CR23)</f>
        <v>91249.81</v>
      </c>
      <c r="CS2" s="217" t="s">
        <v>295</v>
      </c>
      <c r="CT2" s="252">
        <f>SUM(CT4:CT20)</f>
        <v>13942.35</v>
      </c>
      <c r="CU2" s="251" t="s">
        <v>296</v>
      </c>
      <c r="CV2" s="252">
        <f>CT2+CR2-CX2</f>
        <v>5106.9500000000116</v>
      </c>
      <c r="CW2" s="285" t="s">
        <v>161</v>
      </c>
      <c r="CX2" s="260">
        <f>SUM(CX3:CX27)</f>
        <v>100085.20999999999</v>
      </c>
      <c r="CY2" s="217" t="s">
        <v>295</v>
      </c>
      <c r="CZ2" s="252">
        <f>SUM(CZ4:CZ18)</f>
        <v>13786.04</v>
      </c>
      <c r="DA2" s="272" t="s">
        <v>296</v>
      </c>
      <c r="DB2" s="252">
        <f>CZ2+CX2-DD2</f>
        <v>6534.8800000000047</v>
      </c>
      <c r="DC2" s="285" t="s">
        <v>161</v>
      </c>
      <c r="DD2" s="260">
        <f>SUM(DD3:DD28)</f>
        <v>107336.37</v>
      </c>
      <c r="DE2" s="217" t="s">
        <v>295</v>
      </c>
      <c r="DF2" s="252">
        <f>SUM(DF4:DF37)</f>
        <v>52018.07</v>
      </c>
      <c r="DG2" s="272" t="s">
        <v>296</v>
      </c>
      <c r="DH2" s="252">
        <f>DF2+DD2-DJ2</f>
        <v>13857.098999999987</v>
      </c>
      <c r="DI2" s="285" t="s">
        <v>161</v>
      </c>
      <c r="DJ2" s="260">
        <f>SUM(DJ3:DJ44)</f>
        <v>145497.34100000001</v>
      </c>
      <c r="DK2" s="217" t="s">
        <v>295</v>
      </c>
      <c r="DL2" s="252">
        <f>SUM(DL4:DL32)</f>
        <v>25874</v>
      </c>
      <c r="DM2" s="272" t="s">
        <v>296</v>
      </c>
      <c r="DN2" s="252">
        <f>DL2+DJ2-DP2</f>
        <v>21543</v>
      </c>
      <c r="DO2" s="285" t="s">
        <v>161</v>
      </c>
      <c r="DP2" s="260">
        <f>SUM(DP3:DP32)</f>
        <v>149828.34100000001</v>
      </c>
      <c r="DQ2" s="217" t="s">
        <v>295</v>
      </c>
      <c r="DR2" s="252">
        <f>SUM(DR4:DR32)</f>
        <v>14337.81</v>
      </c>
      <c r="DS2" s="292" t="s">
        <v>296</v>
      </c>
      <c r="DT2" s="263">
        <f>DR2+DP2-DV2</f>
        <v>49619.180000000022</v>
      </c>
      <c r="DU2" s="285" t="s">
        <v>161</v>
      </c>
      <c r="DV2" s="260">
        <f>SUM(DV3:DV33)</f>
        <v>114546.97099999999</v>
      </c>
      <c r="DW2" s="340" t="s">
        <v>295</v>
      </c>
      <c r="DX2" s="240">
        <f>SUM(DX4:DX32)</f>
        <v>14150.08</v>
      </c>
      <c r="DY2" s="203" t="s">
        <v>296</v>
      </c>
      <c r="DZ2" s="263">
        <f>DX2+DV2-EB2</f>
        <v>4917.0500000000029</v>
      </c>
      <c r="EA2" s="340" t="s">
        <v>161</v>
      </c>
      <c r="EB2" s="259">
        <f>SUM(EB3:EB31)</f>
        <v>123780.00099999999</v>
      </c>
      <c r="EC2" s="340" t="s">
        <v>295</v>
      </c>
      <c r="ED2" s="240">
        <f>SUM(ED4:ED30)</f>
        <v>14112.46</v>
      </c>
      <c r="EE2" s="203" t="s">
        <v>296</v>
      </c>
      <c r="EF2" s="263">
        <f>ED2+EB2-EI2</f>
        <v>5256.4699999999721</v>
      </c>
      <c r="EG2" s="263"/>
      <c r="EH2" s="340" t="s">
        <v>161</v>
      </c>
      <c r="EI2" s="259">
        <f>SUM(EI3:EI28)</f>
        <v>132635.99100000001</v>
      </c>
      <c r="EJ2" s="340" t="s">
        <v>295</v>
      </c>
      <c r="EK2" s="240">
        <f>SUM(EK4:EK31)</f>
        <v>14260.179999999998</v>
      </c>
      <c r="EL2" s="203" t="s">
        <v>296</v>
      </c>
      <c r="EM2" s="263">
        <f>EK2+EI2-EO2</f>
        <v>5230.2700000000186</v>
      </c>
      <c r="EN2" s="340" t="s">
        <v>161</v>
      </c>
      <c r="EO2" s="259">
        <f>SUM(EO3:EO29)</f>
        <v>141665.90099999998</v>
      </c>
      <c r="EP2" s="340" t="s">
        <v>295</v>
      </c>
      <c r="EQ2" s="240">
        <f>SUM(EQ4:EQ32)</f>
        <v>14291.91</v>
      </c>
      <c r="ER2" s="203" t="s">
        <v>296</v>
      </c>
      <c r="ES2" s="263">
        <f>EQ2+EO2-EU2</f>
        <v>7270.4599999999919</v>
      </c>
      <c r="ET2" s="340" t="s">
        <v>161</v>
      </c>
      <c r="EU2" s="259">
        <f>SUM(EU3:EU33)</f>
        <v>148687.351</v>
      </c>
      <c r="EV2" s="340" t="s">
        <v>295</v>
      </c>
      <c r="EW2" s="240">
        <f>SUM(EW4:EW32)</f>
        <v>14340.16</v>
      </c>
      <c r="EX2" s="203" t="s">
        <v>296</v>
      </c>
      <c r="EY2" s="263">
        <f>EW2+EU2-FA2</f>
        <v>5474.5109999999986</v>
      </c>
      <c r="EZ2" s="340" t="s">
        <v>161</v>
      </c>
      <c r="FA2" s="259">
        <f>SUM(FA3:FA35)</f>
        <v>157553</v>
      </c>
      <c r="FB2" s="340" t="s">
        <v>295</v>
      </c>
      <c r="FC2" s="240">
        <f>SUM(FC4:FC35)</f>
        <v>16077.420999999998</v>
      </c>
      <c r="FD2" s="203" t="s">
        <v>296</v>
      </c>
      <c r="FE2" s="263">
        <f>FC2+FA2-FG2</f>
        <v>5303.0210000000079</v>
      </c>
      <c r="FF2" s="340" t="s">
        <v>161</v>
      </c>
      <c r="FG2" s="311">
        <f>SUM(FG3:FG41)</f>
        <v>168327.4</v>
      </c>
      <c r="FH2" s="340" t="s">
        <v>295</v>
      </c>
      <c r="FI2" s="240">
        <f>SUM(FI4:FI32)</f>
        <v>14233.909999999996</v>
      </c>
      <c r="FJ2" s="203" t="s">
        <v>296</v>
      </c>
      <c r="FK2" s="263">
        <f>FI2+FG2-FM2</f>
        <v>5095.3099999999977</v>
      </c>
      <c r="FL2" s="340" t="s">
        <v>161</v>
      </c>
      <c r="FM2" s="311">
        <f>SUM(FM3:FM45)</f>
        <v>177466</v>
      </c>
      <c r="FN2" s="340" t="s">
        <v>295</v>
      </c>
      <c r="FO2" s="240">
        <f>SUM(FO4:FO37)</f>
        <v>40737.85</v>
      </c>
      <c r="FP2" s="203" t="s">
        <v>296</v>
      </c>
      <c r="FQ2" s="263">
        <f>FO2+FM2-FS2</f>
        <v>17561.820000000007</v>
      </c>
      <c r="FR2" s="340" t="s">
        <v>161</v>
      </c>
      <c r="FS2" s="311">
        <f>SUM(FS3:FS35)</f>
        <v>200642.03</v>
      </c>
      <c r="FT2" s="340" t="s">
        <v>295</v>
      </c>
      <c r="FU2" s="240">
        <f>SUM(FU4:FU31)</f>
        <v>17790.670999999998</v>
      </c>
      <c r="FV2" s="203" t="s">
        <v>296</v>
      </c>
      <c r="FW2" s="263">
        <f>FU2+FS2-FY3</f>
        <v>76722.171000000002</v>
      </c>
      <c r="FX2" s="340" t="s">
        <v>1946</v>
      </c>
      <c r="FY2" s="259">
        <f>FY3+FW14</f>
        <v>201710.53</v>
      </c>
      <c r="FZ2" s="197"/>
      <c r="GD2" s="340" t="s">
        <v>1946</v>
      </c>
      <c r="GE2" s="259">
        <f>GE3+(FY2-FY3+GC15)</f>
        <v>232108.07</v>
      </c>
      <c r="GF2" s="197"/>
      <c r="GL2" s="197"/>
      <c r="GP2" s="340" t="s">
        <v>2149</v>
      </c>
      <c r="GQ2" s="259">
        <f>GQ3-SUM(GQ38:GQ40)</f>
        <v>4523.6810000000114</v>
      </c>
      <c r="GR2" s="197"/>
      <c r="GV2" s="340" t="s">
        <v>2149</v>
      </c>
      <c r="GW2" s="259">
        <f>GW3-SUM(GQ39:GQ40)</f>
        <v>16070.489999999998</v>
      </c>
      <c r="GX2" s="340" t="s">
        <v>295</v>
      </c>
      <c r="GY2" s="240">
        <f>SUM(GY4:GY21)</f>
        <v>13970.54</v>
      </c>
      <c r="GZ2" s="203" t="s">
        <v>296</v>
      </c>
      <c r="HA2" s="263">
        <f>GY2+GW3-HC3</f>
        <v>10745.969999999994</v>
      </c>
      <c r="HB2" s="340" t="s">
        <v>2149</v>
      </c>
      <c r="HC2" s="259">
        <f>HC3-SUM(GQ39:GQ40)</f>
        <v>19295.060000000005</v>
      </c>
      <c r="HD2" s="197"/>
      <c r="HF2" s="203" t="s">
        <v>296</v>
      </c>
      <c r="HG2" s="263">
        <f>HE3+HC3-HI3</f>
        <v>27435.939999999995</v>
      </c>
      <c r="HH2" s="340" t="s">
        <v>2149</v>
      </c>
      <c r="HI2" s="259">
        <f>HI3-(GQ39-HG38-HG37)</f>
        <v>27194.290000000005</v>
      </c>
      <c r="HJ2" s="197"/>
      <c r="HL2" s="203" t="s">
        <v>296</v>
      </c>
      <c r="HM2" s="260">
        <f>HK3+HI3-HO3</f>
        <v>27357.541000000012</v>
      </c>
      <c r="HN2" s="340" t="s">
        <v>2149</v>
      </c>
      <c r="HO2" s="259">
        <f>HO3-(GQ39-HG38-HG37-HM36)</f>
        <v>34567.509999999995</v>
      </c>
      <c r="HP2" s="340" t="s">
        <v>295</v>
      </c>
      <c r="HQ2" s="240">
        <f>SUM(HQ3:HQ12)</f>
        <v>14028.39</v>
      </c>
      <c r="HR2" s="203" t="s">
        <v>296</v>
      </c>
      <c r="HS2" s="260">
        <f>HQ2+HO3-HU3</f>
        <v>8266.7099999999919</v>
      </c>
      <c r="HT2" s="340" t="s">
        <v>2149</v>
      </c>
      <c r="HU2" s="259">
        <f>HU3-(GQ39-HG38-HG37-HM36)</f>
        <v>40329.19</v>
      </c>
      <c r="HV2" s="197"/>
      <c r="HX2" s="203" t="s">
        <v>296</v>
      </c>
      <c r="HY2" s="260">
        <f>HW3+HU3-IA3</f>
        <v>198929.12000000011</v>
      </c>
      <c r="HZ2" s="340" t="s">
        <v>2149</v>
      </c>
      <c r="IA2" s="259">
        <f>IA3-($GQ$39-$HG$38-$HG$37-$HM$36)</f>
        <v>535434.1</v>
      </c>
      <c r="IB2" s="340" t="s">
        <v>295</v>
      </c>
      <c r="IC2" s="320">
        <f>SUM(IC3:IC22)</f>
        <v>16754.070999999996</v>
      </c>
      <c r="ID2" s="203" t="s">
        <v>296</v>
      </c>
      <c r="IE2" s="260">
        <f>IC2+IA3-IG2</f>
        <v>59936.531000000134</v>
      </c>
      <c r="IF2" s="340" t="s">
        <v>1888</v>
      </c>
      <c r="IG2" s="259">
        <f>SUM(IG3:IG33)</f>
        <v>496124.18999999989</v>
      </c>
      <c r="IH2" s="340" t="s">
        <v>295</v>
      </c>
      <c r="II2" s="320">
        <f>SUM(II3:II30)</f>
        <v>15115.660000000002</v>
      </c>
      <c r="IJ2" s="203" t="s">
        <v>296</v>
      </c>
      <c r="IK2" s="260">
        <f>II2+IG2-IM2</f>
        <v>13100.419999999925</v>
      </c>
      <c r="IL2" s="340" t="s">
        <v>1888</v>
      </c>
      <c r="IM2" s="259">
        <f>SUM(IM3:IM29)</f>
        <v>498139.42999999993</v>
      </c>
      <c r="IN2" s="340" t="s">
        <v>295</v>
      </c>
      <c r="IO2" s="320">
        <f>SUM(IO3:IO26)</f>
        <v>14255.219999999998</v>
      </c>
      <c r="IP2" s="203" t="s">
        <v>296</v>
      </c>
      <c r="IQ2" s="260">
        <f>IO2+IM2-IS2</f>
        <v>11408.649999999907</v>
      </c>
      <c r="IR2" s="340" t="s">
        <v>1888</v>
      </c>
      <c r="IS2" s="259">
        <f>SUM(IS3:IS31)</f>
        <v>500986</v>
      </c>
      <c r="IT2" s="340" t="s">
        <v>295</v>
      </c>
      <c r="IU2" s="320">
        <f>SUM(IU3:IU19)</f>
        <v>42025.250000000007</v>
      </c>
      <c r="IV2" s="203" t="s">
        <v>296</v>
      </c>
      <c r="IW2" s="260">
        <f>IU2+IS2-IY2</f>
        <v>11439.986999999965</v>
      </c>
      <c r="IX2" s="340" t="s">
        <v>1888</v>
      </c>
      <c r="IY2" s="259">
        <f>SUM(IY5:IY25)</f>
        <v>531571.26300000004</v>
      </c>
      <c r="IZ2" s="340" t="s">
        <v>295</v>
      </c>
      <c r="JA2" s="320">
        <f>SUM(JA4:JA24)</f>
        <v>29637.580999999998</v>
      </c>
      <c r="JB2" s="203" t="s">
        <v>296</v>
      </c>
      <c r="JC2" s="260">
        <f>JA2+IY2-JE2</f>
        <v>11138.844000000041</v>
      </c>
      <c r="JD2" s="340" t="s">
        <v>1888</v>
      </c>
      <c r="JE2" s="259">
        <f>SUM(JE5:JE27)</f>
        <v>550070</v>
      </c>
      <c r="JF2" s="340" t="s">
        <v>295</v>
      </c>
      <c r="JG2" s="320">
        <f>SUM(JG4:JG26)</f>
        <v>16908.759999999998</v>
      </c>
      <c r="JH2" s="203" t="s">
        <v>296</v>
      </c>
      <c r="JI2" s="260">
        <f>JG2+JE2-JK2</f>
        <v>166094.66000000003</v>
      </c>
      <c r="JJ2" s="340" t="s">
        <v>1888</v>
      </c>
      <c r="JK2" s="259">
        <f>SUM(JK5:JK30)</f>
        <v>400884.1</v>
      </c>
      <c r="JL2" s="340" t="s">
        <v>295</v>
      </c>
      <c r="JM2" s="320">
        <f>SUM(JM4:JM25)</f>
        <v>16944.660999999996</v>
      </c>
      <c r="JN2" s="203" t="s">
        <v>296</v>
      </c>
      <c r="JO2" s="260">
        <f>JM2+JK2-JQ2</f>
        <v>126904.96100000001</v>
      </c>
      <c r="JP2" s="340" t="s">
        <v>1888</v>
      </c>
      <c r="JQ2" s="311">
        <f>SUM(JQ3:JQ34)</f>
        <v>290923.8</v>
      </c>
      <c r="JR2" s="340" t="s">
        <v>295</v>
      </c>
      <c r="JS2" s="320">
        <f>SUM(JS4:JS23)</f>
        <v>24019.189999999995</v>
      </c>
      <c r="JT2" s="203" t="s">
        <v>296</v>
      </c>
      <c r="JU2" s="260">
        <f>JS2+JQ2-JW2</f>
        <v>13510.390000000014</v>
      </c>
      <c r="JV2" s="340" t="s">
        <v>1888</v>
      </c>
      <c r="JW2" s="311">
        <f>SUM(JW3:JW27)</f>
        <v>301432.59999999998</v>
      </c>
      <c r="JX2" s="340" t="s">
        <v>295</v>
      </c>
      <c r="JY2" s="320">
        <f>SUM(JY4:JY24)</f>
        <v>33121.270000000004</v>
      </c>
      <c r="JZ2" s="203" t="s">
        <v>296</v>
      </c>
      <c r="KA2" s="260">
        <f>JY2+JW2-KC2</f>
        <v>20399.229999999981</v>
      </c>
      <c r="KB2" s="340" t="s">
        <v>1888</v>
      </c>
      <c r="KC2" s="311">
        <f>SUM(KC3:KC27)</f>
        <v>314154.64</v>
      </c>
      <c r="KD2" s="340" t="s">
        <v>295</v>
      </c>
      <c r="KE2" s="320">
        <f>SUM(KE4:KE23)</f>
        <v>231591.91500000001</v>
      </c>
      <c r="KF2" s="203" t="s">
        <v>296</v>
      </c>
      <c r="KG2" s="260">
        <f>KE2+KC2-KI4</f>
        <v>207950.11500000005</v>
      </c>
      <c r="KH2" s="340" t="s">
        <v>2987</v>
      </c>
      <c r="KI2" s="259">
        <f>KI4+KI3-SUM(KI5:KI6)</f>
        <v>80796.44</v>
      </c>
      <c r="KJ2" s="340" t="s">
        <v>3018</v>
      </c>
      <c r="KK2" s="320">
        <f>SUM(KK4:KK25)</f>
        <v>15018.650000000001</v>
      </c>
      <c r="KL2" s="203" t="s">
        <v>296</v>
      </c>
      <c r="KM2" s="260">
        <f>KK2+KI4-KO4</f>
        <v>61259.45000000007</v>
      </c>
      <c r="KN2" s="340" t="s">
        <v>2987</v>
      </c>
      <c r="KO2" s="449">
        <f>SUM(KO3:KO4)-KO9</f>
        <v>44555.639999999956</v>
      </c>
      <c r="KP2" s="340" t="s">
        <v>3018</v>
      </c>
      <c r="KQ2" s="320">
        <f>SUM(KQ4:KQ24)</f>
        <v>32279.33</v>
      </c>
      <c r="KR2" s="203" t="s">
        <v>296</v>
      </c>
      <c r="KS2" s="260">
        <f>KQ2+KO4-KU3</f>
        <v>9848.929999999993</v>
      </c>
      <c r="KT2" s="340" t="s">
        <v>3006</v>
      </c>
      <c r="KU2" s="259">
        <v>-50000</v>
      </c>
      <c r="KV2" s="340" t="s">
        <v>3018</v>
      </c>
      <c r="KW2" s="320">
        <f>SUM(KW4:KW36)</f>
        <v>22093.94</v>
      </c>
      <c r="KX2" s="203" t="s">
        <v>296</v>
      </c>
      <c r="KY2" s="260">
        <f>KW2+KU3-LA2</f>
        <v>10341.489999999932</v>
      </c>
      <c r="KZ2" s="340" t="s">
        <v>3030</v>
      </c>
      <c r="LA2" s="311">
        <f>SUM(LA7:LA33)</f>
        <v>325738.49000000005</v>
      </c>
      <c r="LB2" s="622" t="s">
        <v>3018</v>
      </c>
      <c r="LC2" s="320">
        <f>SUM(LC4:LC29)</f>
        <v>18590.250999999997</v>
      </c>
      <c r="LD2" s="203" t="s">
        <v>296</v>
      </c>
      <c r="LE2" s="260">
        <f>LC2+LA2-LG2</f>
        <v>28572.121000000043</v>
      </c>
      <c r="LF2" s="622" t="s">
        <v>3030</v>
      </c>
      <c r="LG2" s="311">
        <f>SUM(LG6:LG32)</f>
        <v>315756.62</v>
      </c>
      <c r="LH2" s="656" t="s">
        <v>3018</v>
      </c>
      <c r="LI2" s="320">
        <f>SUM(LI4:LI28)</f>
        <v>49081.441000000006</v>
      </c>
      <c r="LJ2" s="203" t="s">
        <v>296</v>
      </c>
      <c r="LK2" s="260">
        <f>LI2+LG2-LM2</f>
        <v>8817.1510000000126</v>
      </c>
      <c r="LL2" s="656" t="s">
        <v>3030</v>
      </c>
      <c r="LM2" s="311">
        <f>SUM(LM6:LM35)</f>
        <v>356020.91</v>
      </c>
      <c r="LN2" s="688" t="s">
        <v>3018</v>
      </c>
      <c r="LO2" s="320">
        <f>SUM(LO4:LO26)</f>
        <v>34.000999999999998</v>
      </c>
      <c r="LP2" s="203" t="s">
        <v>296</v>
      </c>
      <c r="LQ2" s="260">
        <f>LO2+LM2-LS2</f>
        <v>5000.0009999999893</v>
      </c>
      <c r="LR2" s="688" t="s">
        <v>3030</v>
      </c>
      <c r="LS2" s="311">
        <f>SUM(LS6:LS38)</f>
        <v>351054.91</v>
      </c>
    </row>
    <row r="3" spans="1:333">
      <c r="A3" s="761" t="s">
        <v>991</v>
      </c>
      <c r="B3" s="761"/>
      <c r="E3" s="170" t="s">
        <v>233</v>
      </c>
      <c r="F3" s="174">
        <f>F2-F4</f>
        <v>17</v>
      </c>
      <c r="G3" s="761" t="s">
        <v>991</v>
      </c>
      <c r="H3" s="761"/>
      <c r="K3" s="170" t="s">
        <v>233</v>
      </c>
      <c r="L3" s="240">
        <f>L2-L4</f>
        <v>43.980999999999767</v>
      </c>
      <c r="M3" s="466" t="s">
        <v>994</v>
      </c>
      <c r="N3" s="467"/>
      <c r="Q3" s="171" t="s">
        <v>1179</v>
      </c>
      <c r="R3" s="240">
        <f>R2-R7</f>
        <v>1290.8099999999995</v>
      </c>
      <c r="S3" s="466" t="s">
        <v>994</v>
      </c>
      <c r="T3" s="467"/>
      <c r="W3" s="171" t="s">
        <v>1179</v>
      </c>
      <c r="X3" s="240">
        <f>X2-X7</f>
        <v>3163.5489999999995</v>
      </c>
      <c r="Y3" s="466" t="s">
        <v>994</v>
      </c>
      <c r="Z3" s="467"/>
      <c r="AC3" s="171" t="s">
        <v>1179</v>
      </c>
      <c r="AD3" s="240">
        <f>AD2-AD6</f>
        <v>1487.7609999999995</v>
      </c>
      <c r="AE3" s="466" t="s">
        <v>994</v>
      </c>
      <c r="AF3" s="467"/>
      <c r="AI3" s="171" t="s">
        <v>1179</v>
      </c>
      <c r="AJ3" s="240">
        <f>AJ2-AJ6</f>
        <v>1545.6700000000055</v>
      </c>
      <c r="AK3" s="466" t="s">
        <v>994</v>
      </c>
      <c r="AL3" s="467"/>
      <c r="AO3" s="171" t="s">
        <v>1179</v>
      </c>
      <c r="AP3" s="240">
        <f>AP2-AP6</f>
        <v>7455.0509999999995</v>
      </c>
      <c r="AQ3" s="466" t="s">
        <v>994</v>
      </c>
      <c r="AR3" s="467"/>
      <c r="AU3" s="170" t="s">
        <v>1179</v>
      </c>
      <c r="AV3" s="240">
        <f>AV2-AV6</f>
        <v>2205.8789999999935</v>
      </c>
      <c r="AW3" s="466" t="s">
        <v>994</v>
      </c>
      <c r="AX3" s="467"/>
      <c r="AY3" s="170"/>
      <c r="AZ3" s="240"/>
      <c r="BA3" s="466" t="s">
        <v>994</v>
      </c>
      <c r="BB3" s="467"/>
      <c r="BE3" s="170" t="s">
        <v>1179</v>
      </c>
      <c r="BF3" s="240">
        <f>BF2-BF6</f>
        <v>3846.3210000000108</v>
      </c>
      <c r="BG3" s="466" t="s">
        <v>994</v>
      </c>
      <c r="BH3" s="467"/>
      <c r="BK3" s="253" t="s">
        <v>1179</v>
      </c>
      <c r="BL3" s="252">
        <f>BL2-BL6</f>
        <v>1986.3499999999869</v>
      </c>
      <c r="BM3" s="466" t="s">
        <v>994</v>
      </c>
      <c r="BN3" s="467"/>
      <c r="BQ3" s="253" t="s">
        <v>1179</v>
      </c>
      <c r="BR3" s="252">
        <f>BR2-BR6</f>
        <v>2641.1200000000076</v>
      </c>
      <c r="BS3" s="466" t="s">
        <v>994</v>
      </c>
      <c r="BT3" s="377"/>
      <c r="BW3" s="253" t="s">
        <v>1179</v>
      </c>
      <c r="BX3" s="252">
        <f>BX2-BX6</f>
        <v>2767.6290000000081</v>
      </c>
      <c r="BY3" s="466" t="s">
        <v>994</v>
      </c>
      <c r="BZ3" s="467"/>
      <c r="CC3" s="253" t="s">
        <v>1179</v>
      </c>
      <c r="CD3" s="252">
        <f>CD2-CD6</f>
        <v>2896.2299999999977</v>
      </c>
      <c r="CE3" s="466" t="s">
        <v>994</v>
      </c>
      <c r="CF3" s="467"/>
      <c r="CI3" s="253" t="s">
        <v>1179</v>
      </c>
      <c r="CJ3" s="252">
        <f>CJ2-CJ6</f>
        <v>3338.7009999999827</v>
      </c>
      <c r="CK3" s="466" t="s">
        <v>994</v>
      </c>
      <c r="CL3" s="467"/>
      <c r="CO3" s="253" t="s">
        <v>1179</v>
      </c>
      <c r="CP3" s="252">
        <f>CP2-CP6</f>
        <v>2095.6600000000094</v>
      </c>
      <c r="CQ3" s="466" t="s">
        <v>994</v>
      </c>
      <c r="CR3" s="467"/>
      <c r="CU3" s="253" t="s">
        <v>1179</v>
      </c>
      <c r="CV3" s="252">
        <f>CV2-CV6</f>
        <v>3172.9400000000114</v>
      </c>
      <c r="CW3" s="466" t="s">
        <v>994</v>
      </c>
      <c r="CX3" s="467"/>
      <c r="DA3" s="217" t="s">
        <v>1179</v>
      </c>
      <c r="DB3" s="252">
        <f>DB2-DB6</f>
        <v>4604.6600000000053</v>
      </c>
      <c r="DC3" s="466" t="s">
        <v>994</v>
      </c>
      <c r="DD3" s="467"/>
      <c r="DG3" s="217" t="s">
        <v>1179</v>
      </c>
      <c r="DH3" s="274">
        <f>DH2-DH6</f>
        <v>6875.0489999999863</v>
      </c>
      <c r="DI3" s="466" t="s">
        <v>994</v>
      </c>
      <c r="DJ3" s="467"/>
      <c r="DM3" s="217" t="s">
        <v>1179</v>
      </c>
      <c r="DN3" s="274">
        <f>DN2-DN6</f>
        <v>4726.7400000000016</v>
      </c>
      <c r="DO3" s="466" t="s">
        <v>1505</v>
      </c>
      <c r="DP3" s="467">
        <v>1597</v>
      </c>
      <c r="DS3" s="204" t="s">
        <v>1179</v>
      </c>
      <c r="DT3" s="263">
        <f>DT2-DT7</f>
        <v>12719.120000000024</v>
      </c>
      <c r="DU3" s="466" t="s">
        <v>1527</v>
      </c>
      <c r="DV3" s="467">
        <v>784</v>
      </c>
      <c r="DY3" s="340" t="s">
        <v>1179</v>
      </c>
      <c r="DZ3" s="263">
        <f>DZ2-DZ6</f>
        <v>2984.0000000000027</v>
      </c>
      <c r="EA3" s="466" t="s">
        <v>1527</v>
      </c>
      <c r="EB3" s="218">
        <v>1433</v>
      </c>
      <c r="EE3" s="340" t="s">
        <v>1179</v>
      </c>
      <c r="EF3" s="263">
        <f>EF2-EF6</f>
        <v>2794.4399999999723</v>
      </c>
      <c r="EG3" s="263"/>
      <c r="EH3" s="285" t="s">
        <v>1630</v>
      </c>
      <c r="EI3" s="285">
        <v>-360</v>
      </c>
      <c r="EL3" s="340" t="s">
        <v>1179</v>
      </c>
      <c r="EM3" s="263">
        <f>EM2-EM6</f>
        <v>3430.2000000000189</v>
      </c>
      <c r="EN3" s="285" t="s">
        <v>1630</v>
      </c>
      <c r="EO3" s="285">
        <v>-1059</v>
      </c>
      <c r="ER3" s="340" t="s">
        <v>1724</v>
      </c>
      <c r="ES3" s="263">
        <f>ES2-ES6</f>
        <v>5040.3799999999919</v>
      </c>
      <c r="ET3" s="285" t="s">
        <v>1630</v>
      </c>
      <c r="EU3" s="285">
        <v>-2168</v>
      </c>
      <c r="EX3" s="340" t="s">
        <v>1988</v>
      </c>
      <c r="EY3" s="263">
        <f>EY2-EY6</f>
        <v>3574.4209999999985</v>
      </c>
      <c r="EZ3" s="285" t="s">
        <v>1630</v>
      </c>
      <c r="FA3" s="285">
        <v>-1778</v>
      </c>
      <c r="FD3" s="340" t="s">
        <v>1988</v>
      </c>
      <c r="FE3" s="263">
        <f>FE2-FE6</f>
        <v>3502.921000000008</v>
      </c>
      <c r="FF3" s="285" t="s">
        <v>1630</v>
      </c>
      <c r="FG3" s="285">
        <v>-1252</v>
      </c>
      <c r="FJ3" s="340" t="s">
        <v>1988</v>
      </c>
      <c r="FK3" s="263">
        <f>FK2-FK6</f>
        <v>3295.199999999998</v>
      </c>
      <c r="FL3" s="340" t="s">
        <v>1805</v>
      </c>
      <c r="FM3" s="259">
        <v>160000</v>
      </c>
      <c r="FP3" s="340" t="s">
        <v>1988</v>
      </c>
      <c r="FQ3" s="263">
        <f>FQ2-FQ7-FQ6</f>
        <v>4761.7000000000071</v>
      </c>
      <c r="FR3" s="340" t="s">
        <v>1805</v>
      </c>
      <c r="FS3" s="259">
        <v>198000</v>
      </c>
      <c r="FV3" s="340" t="s">
        <v>1988</v>
      </c>
      <c r="FW3" s="263">
        <f>FW2-FW7-FW6</f>
        <v>5622.1610000000019</v>
      </c>
      <c r="FX3" s="340" t="s">
        <v>1888</v>
      </c>
      <c r="FY3" s="311">
        <f>SUM(FY4:FY33)</f>
        <v>141710.53</v>
      </c>
      <c r="FZ3" s="340" t="s">
        <v>295</v>
      </c>
      <c r="GA3" s="240">
        <f>SUM(GA6:GA27)</f>
        <v>35944.74</v>
      </c>
      <c r="GB3" s="203" t="s">
        <v>296</v>
      </c>
      <c r="GC3" s="263">
        <f>GA3+FY3-GE3</f>
        <v>69024.739999999991</v>
      </c>
      <c r="GD3" s="340" t="s">
        <v>1888</v>
      </c>
      <c r="GE3" s="311">
        <f>SUM(GE4:GE33)</f>
        <v>108630.53</v>
      </c>
      <c r="GF3" s="340" t="s">
        <v>295</v>
      </c>
      <c r="GG3" s="240">
        <f>SUM(GG6:GG25)</f>
        <v>25255.31</v>
      </c>
      <c r="GH3" s="203" t="s">
        <v>296</v>
      </c>
      <c r="GI3" s="263">
        <f>GG3+GE3-GK3</f>
        <v>9655.138999999981</v>
      </c>
      <c r="GJ3" s="340" t="s">
        <v>1888</v>
      </c>
      <c r="GK3" s="311">
        <f>SUM(GK4:GK37)</f>
        <v>124230.70100000002</v>
      </c>
      <c r="GL3" s="340" t="s">
        <v>295</v>
      </c>
      <c r="GM3" s="240">
        <f>SUM(GM5:GM22)</f>
        <v>16267.070000000002</v>
      </c>
      <c r="GN3" s="203" t="s">
        <v>296</v>
      </c>
      <c r="GO3" s="263">
        <f>GM3+GK3-GQ3</f>
        <v>5724.0899999999965</v>
      </c>
      <c r="GP3" s="340" t="s">
        <v>2146</v>
      </c>
      <c r="GQ3" s="311">
        <f>SUM(GQ4:GQ34)</f>
        <v>134773.68100000001</v>
      </c>
      <c r="GR3" s="340" t="s">
        <v>295</v>
      </c>
      <c r="GS3" s="240">
        <f>SUM(GS5:GS26)</f>
        <v>18281.170000000002</v>
      </c>
      <c r="GT3" s="203" t="s">
        <v>296</v>
      </c>
      <c r="GU3" s="263">
        <f>GS3+GQ3-GW3</f>
        <v>90984.361000000034</v>
      </c>
      <c r="GV3" s="340" t="s">
        <v>2146</v>
      </c>
      <c r="GW3" s="311">
        <f>SUM(GW4:GW32)</f>
        <v>62070.49</v>
      </c>
      <c r="GZ3" s="340" t="s">
        <v>1988</v>
      </c>
      <c r="HA3" s="263">
        <f>HA2-HA7-HA6</f>
        <v>6840.9766666666601</v>
      </c>
      <c r="HB3" s="340" t="s">
        <v>2146</v>
      </c>
      <c r="HC3" s="311">
        <f>SUM(HC4:HC37)</f>
        <v>65295.060000000005</v>
      </c>
      <c r="HD3" s="340" t="s">
        <v>295</v>
      </c>
      <c r="HE3" s="240">
        <f>SUM(HE5:HE25)</f>
        <v>13967.72</v>
      </c>
      <c r="HF3" s="340" t="s">
        <v>2326</v>
      </c>
      <c r="HG3" s="240">
        <f>HG2-HG8-HG7</f>
        <v>22350.936666666661</v>
      </c>
      <c r="HH3" s="340" t="s">
        <v>2146</v>
      </c>
      <c r="HI3" s="311">
        <f>SUM(HI4:HI33)</f>
        <v>51826.840000000004</v>
      </c>
      <c r="HJ3" s="340" t="s">
        <v>295</v>
      </c>
      <c r="HK3" s="240">
        <f>SUM(HK4:HK13)</f>
        <v>13970.761</v>
      </c>
      <c r="HL3" s="340" t="s">
        <v>2326</v>
      </c>
      <c r="HM3" s="259">
        <f>HM2-HK25-HK24</f>
        <v>23006.927666666677</v>
      </c>
      <c r="HN3" s="340" t="s">
        <v>2166</v>
      </c>
      <c r="HO3" s="311">
        <f>SUM(HO4:HO29)</f>
        <v>38440.06</v>
      </c>
      <c r="HP3" s="340" t="s">
        <v>633</v>
      </c>
      <c r="HQ3" s="340">
        <v>15123.78</v>
      </c>
      <c r="HR3" s="340" t="s">
        <v>1988</v>
      </c>
      <c r="HS3" s="260">
        <f>HS2-HQ28-HQ27-HS38</f>
        <v>3995.2866666666582</v>
      </c>
      <c r="HT3" s="340" t="s">
        <v>2146</v>
      </c>
      <c r="HU3" s="311">
        <f>SUM(HU4:HU32)</f>
        <v>44201.740000000005</v>
      </c>
      <c r="HV3" s="340" t="s">
        <v>295</v>
      </c>
      <c r="HW3" s="240">
        <f>SUM(HW4:HW20)</f>
        <v>694034.03000000014</v>
      </c>
      <c r="HX3" s="340" t="s">
        <v>2322</v>
      </c>
      <c r="HY3" s="260"/>
      <c r="HZ3" s="340" t="s">
        <v>2289</v>
      </c>
      <c r="IA3" s="311">
        <f>SUM(IA6:IA39)</f>
        <v>539306.65</v>
      </c>
      <c r="IB3" s="340" t="s">
        <v>633</v>
      </c>
      <c r="IC3" s="320">
        <v>15104.63</v>
      </c>
      <c r="ID3" s="203" t="s">
        <v>2326</v>
      </c>
      <c r="IE3" s="260">
        <f>IE2-IC26-IC27</f>
        <v>6802.6743333334671</v>
      </c>
      <c r="IF3" s="340" t="s">
        <v>2290</v>
      </c>
      <c r="IG3" s="259">
        <f>$IA$6</f>
        <v>0</v>
      </c>
      <c r="IH3" s="340" t="s">
        <v>633</v>
      </c>
      <c r="II3" s="320">
        <v>15104.63</v>
      </c>
      <c r="IJ3" s="340" t="s">
        <v>1724</v>
      </c>
      <c r="IK3" s="260">
        <f>IK2-II44-II42</f>
        <v>9220.5533333332605</v>
      </c>
      <c r="IL3" s="340" t="s">
        <v>2290</v>
      </c>
      <c r="IM3" s="259">
        <f>$IA$6</f>
        <v>0</v>
      </c>
      <c r="IN3" s="340" t="s">
        <v>633</v>
      </c>
      <c r="IO3" s="468">
        <v>15104.63</v>
      </c>
      <c r="IP3" s="340" t="s">
        <v>2340</v>
      </c>
      <c r="IQ3" s="260">
        <f>IQ2-IO34-IO33</f>
        <v>5631.8933333332407</v>
      </c>
      <c r="IR3" s="340" t="s">
        <v>2290</v>
      </c>
      <c r="IS3" s="259">
        <f>$IA$6</f>
        <v>0</v>
      </c>
      <c r="IT3" s="340" t="s">
        <v>633</v>
      </c>
      <c r="IU3" s="468">
        <v>43151.3</v>
      </c>
      <c r="IV3" s="340" t="s">
        <v>2340</v>
      </c>
      <c r="IW3" s="260">
        <f>IW2-IU24-IU23</f>
        <v>5412.000333333297</v>
      </c>
      <c r="IY3" s="311"/>
      <c r="JA3" s="320"/>
      <c r="JB3" s="340" t="s">
        <v>2340</v>
      </c>
      <c r="JC3" s="260">
        <f>JC2-JA30-JA29</f>
        <v>5095.8330000000415</v>
      </c>
      <c r="JE3" s="311"/>
      <c r="JG3" s="320"/>
      <c r="JH3" s="340" t="s">
        <v>2340</v>
      </c>
      <c r="JI3" s="260">
        <f>JI2-JG29-JG28</f>
        <v>5318.7558739726428</v>
      </c>
      <c r="JK3" s="311"/>
      <c r="JM3" s="320"/>
      <c r="JN3" s="340" t="s">
        <v>2340</v>
      </c>
      <c r="JO3" s="260">
        <f>JO2-JM28-JM27</f>
        <v>7527.189000000023</v>
      </c>
      <c r="JP3" s="340" t="s">
        <v>2710</v>
      </c>
      <c r="JQ3" s="202">
        <f>$IA$6</f>
        <v>0</v>
      </c>
      <c r="JS3" s="320"/>
      <c r="JT3" s="340" t="s">
        <v>2340</v>
      </c>
      <c r="JU3" s="260">
        <f>JU2-JS26-JS25</f>
        <v>4220.0940000000155</v>
      </c>
      <c r="JV3" s="340" t="s">
        <v>2290</v>
      </c>
      <c r="JW3" s="202">
        <f>$IA$6</f>
        <v>0</v>
      </c>
      <c r="JY3" s="320"/>
      <c r="JZ3" s="340" t="s">
        <v>2340</v>
      </c>
      <c r="KA3" s="260">
        <f>KA2-JY41-JY40</f>
        <v>6486.8099999999822</v>
      </c>
      <c r="KB3" s="340" t="s">
        <v>2846</v>
      </c>
      <c r="KC3" s="259">
        <v>-71000</v>
      </c>
      <c r="KE3" s="320"/>
      <c r="KF3" s="340" t="s">
        <v>2340</v>
      </c>
      <c r="KG3" s="260">
        <f>KG2-KE30-KE29</f>
        <v>3005.0550000000767</v>
      </c>
      <c r="KH3" s="340" t="s">
        <v>2901</v>
      </c>
      <c r="KI3" s="259">
        <v>-100000</v>
      </c>
      <c r="KK3" s="320"/>
      <c r="KL3" s="340" t="s">
        <v>2340</v>
      </c>
      <c r="KM3" s="260">
        <f>KM2-KK37-KK36</f>
        <v>5780.6940000000668</v>
      </c>
      <c r="KN3" s="340" t="s">
        <v>3006</v>
      </c>
      <c r="KO3" s="259">
        <v>-50000</v>
      </c>
      <c r="KQ3" s="320"/>
      <c r="KR3" s="340" t="s">
        <v>2340</v>
      </c>
      <c r="KS3" s="260">
        <f>KS2-KQ37-KQ36</f>
        <v>4725.5299999999925</v>
      </c>
      <c r="KT3" s="340" t="s">
        <v>3030</v>
      </c>
      <c r="KU3" s="311">
        <f>SUM(KU10:KU34)</f>
        <v>313986.03999999998</v>
      </c>
      <c r="KW3" s="320"/>
      <c r="KX3" s="340" t="s">
        <v>2340</v>
      </c>
      <c r="KY3" s="260">
        <f>KY2-KW44-KW43</f>
        <v>7194.6499999999332</v>
      </c>
      <c r="KZ3" s="450">
        <v>7000</v>
      </c>
      <c r="LA3" s="451">
        <v>45342</v>
      </c>
      <c r="LC3" s="320"/>
      <c r="LD3" s="622" t="s">
        <v>2340</v>
      </c>
      <c r="LE3" s="260">
        <f>LE2-LC37-LC36</f>
        <v>7193.1110000000426</v>
      </c>
      <c r="LF3" s="450">
        <v>7000</v>
      </c>
      <c r="LG3" s="451">
        <v>45342</v>
      </c>
      <c r="LI3" s="320"/>
      <c r="LJ3" s="656" t="s">
        <v>2340</v>
      </c>
      <c r="LK3" s="260">
        <f>LK2-LI32-LI31</f>
        <v>5762.8010000000122</v>
      </c>
      <c r="LL3" s="450">
        <v>7000</v>
      </c>
      <c r="LM3" s="451">
        <v>45342</v>
      </c>
      <c r="LO3" s="320"/>
      <c r="LP3" s="688" t="s">
        <v>2340</v>
      </c>
      <c r="LQ3" s="260">
        <f>LQ2-LO30-LO29</f>
        <v>-4.9000000010892109E-2</v>
      </c>
      <c r="LR3" s="450">
        <v>7000</v>
      </c>
      <c r="LS3" s="451">
        <v>45342</v>
      </c>
    </row>
    <row r="4" spans="1:333" ht="12.75" customHeight="1" thickBot="1">
      <c r="A4" s="761"/>
      <c r="B4" s="761"/>
      <c r="E4" s="170" t="s">
        <v>352</v>
      </c>
      <c r="F4" s="174">
        <f>SUM(F14:F57)</f>
        <v>12750</v>
      </c>
      <c r="G4" s="761"/>
      <c r="H4" s="761"/>
      <c r="K4" s="170" t="s">
        <v>352</v>
      </c>
      <c r="L4" s="240">
        <f>SUM(L14:L44)</f>
        <v>3738.0200000000004</v>
      </c>
      <c r="M4" s="466" t="s">
        <v>432</v>
      </c>
      <c r="N4" s="467">
        <v>966</v>
      </c>
      <c r="Q4" s="170" t="s">
        <v>233</v>
      </c>
      <c r="R4" s="240">
        <f>R2-R5</f>
        <v>0.55999999999949068</v>
      </c>
      <c r="S4" s="466" t="s">
        <v>432</v>
      </c>
      <c r="T4" s="467">
        <v>1716</v>
      </c>
      <c r="W4" s="170" t="s">
        <v>233</v>
      </c>
      <c r="X4" s="240">
        <f>X2-X5</f>
        <v>44.627999999998792</v>
      </c>
      <c r="Y4" s="466" t="s">
        <v>432</v>
      </c>
      <c r="Z4" s="467">
        <v>832.07</v>
      </c>
      <c r="AC4" s="170" t="s">
        <v>233</v>
      </c>
      <c r="AD4" s="240">
        <f>AD2-AD5</f>
        <v>124.4099999999994</v>
      </c>
      <c r="AE4" s="466" t="s">
        <v>432</v>
      </c>
      <c r="AF4" s="467">
        <v>1274</v>
      </c>
      <c r="AI4" s="170" t="s">
        <v>233</v>
      </c>
      <c r="AJ4" s="240">
        <f>AJ2-AJ5</f>
        <v>17.67000000000553</v>
      </c>
      <c r="AK4" s="466" t="s">
        <v>432</v>
      </c>
      <c r="AL4" s="467">
        <v>1460</v>
      </c>
      <c r="AO4" s="170" t="s">
        <v>1203</v>
      </c>
      <c r="AP4" s="240">
        <f>AP2-AP5</f>
        <v>5.3509999999987485</v>
      </c>
      <c r="AQ4" s="466" t="s">
        <v>432</v>
      </c>
      <c r="AR4" s="467">
        <v>1096</v>
      </c>
      <c r="AU4" s="170" t="s">
        <v>1203</v>
      </c>
      <c r="AV4" s="240">
        <f>AV2-AV5</f>
        <v>48.818999999994048</v>
      </c>
      <c r="AW4" s="466" t="s">
        <v>432</v>
      </c>
      <c r="AX4" s="467">
        <v>1425</v>
      </c>
      <c r="AY4" s="170"/>
      <c r="AZ4" s="240"/>
      <c r="BA4" s="466" t="s">
        <v>432</v>
      </c>
      <c r="BB4" s="467">
        <f>AX4</f>
        <v>1425</v>
      </c>
      <c r="BE4" s="170" t="s">
        <v>1203</v>
      </c>
      <c r="BF4" s="240">
        <f>BF2-BF5</f>
        <v>18.941000000011172</v>
      </c>
      <c r="BG4" s="466" t="s">
        <v>432</v>
      </c>
      <c r="BH4" s="467">
        <v>916</v>
      </c>
      <c r="BK4" s="253" t="s">
        <v>1203</v>
      </c>
      <c r="BL4" s="252">
        <f>BL2-BL5</f>
        <v>9.8299999999867396</v>
      </c>
      <c r="BM4" s="466" t="s">
        <v>432</v>
      </c>
      <c r="BN4" s="467">
        <v>1684</v>
      </c>
      <c r="BQ4" s="253" t="s">
        <v>1203</v>
      </c>
      <c r="BR4" s="252">
        <f>BR2-BR5</f>
        <v>7.5800000000072032</v>
      </c>
      <c r="BS4" s="466" t="s">
        <v>432</v>
      </c>
      <c r="BT4" s="377">
        <v>1251</v>
      </c>
      <c r="BW4" s="253" t="s">
        <v>1203</v>
      </c>
      <c r="BX4" s="252">
        <f>BX2-BX5</f>
        <v>2.0890000000072177</v>
      </c>
      <c r="BY4" s="466" t="s">
        <v>432</v>
      </c>
      <c r="BZ4" s="467">
        <v>1449</v>
      </c>
      <c r="CC4" s="253" t="s">
        <v>1203</v>
      </c>
      <c r="CD4" s="252">
        <f>CD2-CD5</f>
        <v>0.79899999999724969</v>
      </c>
      <c r="CE4" s="466" t="s">
        <v>432</v>
      </c>
      <c r="CF4" s="467">
        <v>883</v>
      </c>
      <c r="CG4" s="217" t="s">
        <v>633</v>
      </c>
      <c r="CH4" s="252">
        <v>13645.36</v>
      </c>
      <c r="CI4" s="253" t="s">
        <v>1203</v>
      </c>
      <c r="CJ4" s="252">
        <f>CJ2-CJ5</f>
        <v>15.929999999982101</v>
      </c>
      <c r="CK4" s="466" t="s">
        <v>432</v>
      </c>
      <c r="CL4" s="467">
        <v>1216</v>
      </c>
      <c r="CM4" s="217" t="s">
        <v>633</v>
      </c>
      <c r="CN4" s="252">
        <v>13645.36</v>
      </c>
      <c r="CO4" s="253" t="s">
        <v>1203</v>
      </c>
      <c r="CP4" s="252">
        <f>CP2-CP5</f>
        <v>6.3390000000094915</v>
      </c>
      <c r="CQ4" s="466" t="s">
        <v>432</v>
      </c>
      <c r="CR4" s="467">
        <v>1275</v>
      </c>
      <c r="CS4" s="217" t="s">
        <v>633</v>
      </c>
      <c r="CT4" s="252">
        <v>13638.04</v>
      </c>
      <c r="CU4" s="253" t="s">
        <v>1203</v>
      </c>
      <c r="CV4" s="252">
        <f>CV2-CV5</f>
        <v>76.548000000010688</v>
      </c>
      <c r="CW4" s="466" t="s">
        <v>432</v>
      </c>
      <c r="CX4" s="467">
        <v>1086</v>
      </c>
      <c r="CY4" s="217" t="s">
        <v>633</v>
      </c>
      <c r="CZ4" s="252">
        <v>13638.04</v>
      </c>
      <c r="DA4" s="217" t="s">
        <v>1203</v>
      </c>
      <c r="DB4" s="252">
        <f>DB2-DB5</f>
        <v>31.730000000003201</v>
      </c>
      <c r="DC4" s="466" t="s">
        <v>432</v>
      </c>
      <c r="DD4" s="467">
        <v>937</v>
      </c>
      <c r="DE4" s="217" t="s">
        <v>633</v>
      </c>
      <c r="DF4" s="252">
        <v>13638.04</v>
      </c>
      <c r="DG4" s="217" t="s">
        <v>1203</v>
      </c>
      <c r="DH4" s="274">
        <f>DH2-DH5</f>
        <v>97.948999999987791</v>
      </c>
      <c r="DI4" s="466" t="s">
        <v>432</v>
      </c>
      <c r="DJ4" s="467">
        <v>716</v>
      </c>
      <c r="DK4" s="217" t="s">
        <v>633</v>
      </c>
      <c r="DL4" s="252">
        <v>25684</v>
      </c>
      <c r="DM4" s="217" t="s">
        <v>1203</v>
      </c>
      <c r="DN4" s="274">
        <f>DN2-DN5</f>
        <v>10.819999999999709</v>
      </c>
      <c r="DO4" s="466" t="s">
        <v>1506</v>
      </c>
      <c r="DP4" s="467">
        <v>11789</v>
      </c>
      <c r="DQ4" s="217" t="s">
        <v>633</v>
      </c>
      <c r="DR4" s="252">
        <v>14054.71</v>
      </c>
      <c r="DS4" s="204" t="s">
        <v>1626</v>
      </c>
      <c r="DT4" s="326">
        <f>DT3-DT24</f>
        <v>2378.5700000000252</v>
      </c>
      <c r="DU4" s="466" t="s">
        <v>1506</v>
      </c>
      <c r="DV4" s="467">
        <v>2251</v>
      </c>
      <c r="DW4" s="340" t="s">
        <v>633</v>
      </c>
      <c r="DX4" s="240">
        <v>14054.71</v>
      </c>
      <c r="DY4" s="340" t="s">
        <v>1203</v>
      </c>
      <c r="DZ4" s="263">
        <f>DZ2-DZ5</f>
        <v>2.1700000000028012</v>
      </c>
      <c r="EA4" s="466" t="s">
        <v>1506</v>
      </c>
      <c r="EB4" s="218">
        <v>9686</v>
      </c>
      <c r="EC4" s="340" t="s">
        <v>633</v>
      </c>
      <c r="ED4" s="240">
        <v>14054.71</v>
      </c>
      <c r="EE4" s="340" t="s">
        <v>1203</v>
      </c>
      <c r="EF4" s="263">
        <f>EF2-EF5</f>
        <v>5.1399999999721331</v>
      </c>
      <c r="EG4" s="263"/>
      <c r="EH4" s="285" t="s">
        <v>1631</v>
      </c>
      <c r="EI4" s="285">
        <v>1E-3</v>
      </c>
      <c r="EJ4" s="340" t="s">
        <v>633</v>
      </c>
      <c r="EK4" s="240">
        <v>14054.71</v>
      </c>
      <c r="EL4" s="340" t="s">
        <v>1203</v>
      </c>
      <c r="EM4" s="263">
        <f>EM2-EM5</f>
        <v>2.1700000000200816</v>
      </c>
      <c r="EN4" s="285" t="s">
        <v>1631</v>
      </c>
      <c r="EO4" s="285">
        <v>1E-3</v>
      </c>
      <c r="EP4" s="340" t="s">
        <v>633</v>
      </c>
      <c r="EQ4" s="240">
        <v>14054.71</v>
      </c>
      <c r="ER4" s="340" t="s">
        <v>1203</v>
      </c>
      <c r="ES4" s="263">
        <f>ES2-ES5</f>
        <v>3.9099999999925785</v>
      </c>
      <c r="ET4" s="285" t="s">
        <v>1631</v>
      </c>
      <c r="EU4" s="285">
        <v>1E-3</v>
      </c>
      <c r="EV4" s="340" t="s">
        <v>633</v>
      </c>
      <c r="EW4" s="240">
        <v>14054.71</v>
      </c>
      <c r="EX4" s="340" t="s">
        <v>1203</v>
      </c>
      <c r="EY4" s="263">
        <f>EY2-EY5</f>
        <v>-1.1690000000007785</v>
      </c>
      <c r="EZ4" s="285" t="s">
        <v>1631</v>
      </c>
      <c r="FA4" s="469">
        <v>9</v>
      </c>
      <c r="FB4" s="340" t="s">
        <v>633</v>
      </c>
      <c r="FC4" s="240">
        <v>14054.71</v>
      </c>
      <c r="FD4" s="340" t="s">
        <v>1203</v>
      </c>
      <c r="FE4" s="263">
        <f>FE2-FE5</f>
        <v>6.0000000000090949</v>
      </c>
      <c r="FF4" s="285" t="s">
        <v>1631</v>
      </c>
      <c r="FG4" s="469">
        <v>7</v>
      </c>
      <c r="FH4" s="340" t="s">
        <v>633</v>
      </c>
      <c r="FI4" s="240">
        <v>14040</v>
      </c>
      <c r="FJ4" s="340" t="s">
        <v>1203</v>
      </c>
      <c r="FK4" s="263">
        <f>FK2-FK5</f>
        <v>8.3399999999983265</v>
      </c>
      <c r="FL4" s="285" t="s">
        <v>1630</v>
      </c>
      <c r="FM4" s="340">
        <v>-1400</v>
      </c>
      <c r="FN4" s="340" t="s">
        <v>633</v>
      </c>
      <c r="FO4" s="240">
        <v>14040.45</v>
      </c>
      <c r="FP4" s="340" t="s">
        <v>1203</v>
      </c>
      <c r="FQ4" s="263">
        <f>FQ2-FQ5</f>
        <v>6.0500000000138243</v>
      </c>
      <c r="FR4" s="285" t="s">
        <v>1630</v>
      </c>
      <c r="FS4" s="340">
        <v>-3496</v>
      </c>
      <c r="FT4" s="340" t="s">
        <v>633</v>
      </c>
      <c r="FU4" s="240">
        <v>14040.45</v>
      </c>
      <c r="FV4" s="340" t="s">
        <v>1203</v>
      </c>
      <c r="FW4" s="263">
        <f>FW2-FW5</f>
        <v>-4.2489999999961583</v>
      </c>
      <c r="FX4" s="340" t="s">
        <v>1879</v>
      </c>
      <c r="FY4" s="259">
        <v>180000</v>
      </c>
      <c r="GB4" s="340" t="s">
        <v>1988</v>
      </c>
      <c r="GC4" s="263">
        <f>GC3-GC8-GC7</f>
        <v>2747.1799999999898</v>
      </c>
      <c r="GD4" s="340" t="s">
        <v>1879</v>
      </c>
      <c r="GE4" s="259">
        <v>145000</v>
      </c>
      <c r="GH4" s="340" t="s">
        <v>1988</v>
      </c>
      <c r="GI4" s="263">
        <f>GI3-GI8-GI7</f>
        <v>5855.1089999999813</v>
      </c>
      <c r="GJ4" s="340" t="s">
        <v>1879</v>
      </c>
      <c r="GK4" s="259">
        <v>164000</v>
      </c>
      <c r="GN4" s="340" t="s">
        <v>1988</v>
      </c>
      <c r="GO4" s="263">
        <f>GO3-GO8-GO7</f>
        <v>4720.0899999999965</v>
      </c>
      <c r="GP4" s="340" t="s">
        <v>1879</v>
      </c>
      <c r="GQ4" s="259">
        <v>176000</v>
      </c>
      <c r="GT4" s="340" t="s">
        <v>1988</v>
      </c>
      <c r="GU4" s="263">
        <f>GU3-GU8-GU7</f>
        <v>2094.1210000000328</v>
      </c>
      <c r="GV4" s="340" t="s">
        <v>1879</v>
      </c>
      <c r="GW4" s="259">
        <v>105000</v>
      </c>
      <c r="GX4" s="340" t="s">
        <v>633</v>
      </c>
      <c r="GY4" s="340">
        <v>15123.78</v>
      </c>
      <c r="GZ4" s="340" t="s">
        <v>1203</v>
      </c>
      <c r="HA4" s="263">
        <f>HA2-HA5</f>
        <v>0.60799999999289867</v>
      </c>
      <c r="HB4" s="340" t="s">
        <v>1879</v>
      </c>
      <c r="HC4" s="259">
        <v>103000</v>
      </c>
      <c r="HF4" s="340" t="s">
        <v>2327</v>
      </c>
      <c r="HG4" s="263">
        <f>HG3-SUM(HG37:HG38)</f>
        <v>1983.4866666666603</v>
      </c>
      <c r="HH4" s="340" t="s">
        <v>1879</v>
      </c>
      <c r="HI4" s="259">
        <v>85000</v>
      </c>
      <c r="HJ4" s="340" t="s">
        <v>633</v>
      </c>
      <c r="HK4" s="340">
        <v>15123.78</v>
      </c>
      <c r="HL4" s="340" t="s">
        <v>2327</v>
      </c>
      <c r="HM4" s="260">
        <f>HM3-HM36</f>
        <v>2246.9276666666774</v>
      </c>
      <c r="HN4" s="340" t="s">
        <v>1879</v>
      </c>
      <c r="HO4" s="259">
        <v>78000</v>
      </c>
      <c r="HP4" s="340" t="s">
        <v>2189</v>
      </c>
      <c r="HQ4" s="340">
        <v>-1437.02</v>
      </c>
      <c r="HR4" s="340" t="s">
        <v>1203</v>
      </c>
      <c r="HS4" s="263">
        <f>HS2-HS5</f>
        <v>-0.41000000000894943</v>
      </c>
      <c r="HT4" s="340" t="s">
        <v>423</v>
      </c>
      <c r="HU4" s="259">
        <v>4000</v>
      </c>
      <c r="HV4" s="340" t="s">
        <v>633</v>
      </c>
      <c r="HW4" s="240">
        <v>15123.78</v>
      </c>
      <c r="HX4" s="340" t="s">
        <v>2326</v>
      </c>
      <c r="HY4" s="259">
        <f>HY2-HW25-HW24</f>
        <v>11602.456666666816</v>
      </c>
      <c r="HZ4" s="340" t="s">
        <v>2291</v>
      </c>
      <c r="IA4" s="311"/>
      <c r="IB4" s="340" t="s">
        <v>2294</v>
      </c>
      <c r="IC4" s="320">
        <v>-1437.02</v>
      </c>
      <c r="ID4" s="340" t="s">
        <v>2339</v>
      </c>
      <c r="IE4" s="260">
        <f>IE3-IE59</f>
        <v>3490.8843333334671</v>
      </c>
      <c r="IF4" s="285" t="s">
        <v>1630</v>
      </c>
      <c r="IG4" s="340">
        <v>-192</v>
      </c>
      <c r="IH4" s="340" t="s">
        <v>2364</v>
      </c>
      <c r="II4" s="320">
        <v>-1437.02</v>
      </c>
      <c r="IJ4" s="340" t="s">
        <v>2385</v>
      </c>
      <c r="IK4" s="260">
        <f>IK3-II45</f>
        <v>5752.8033333332605</v>
      </c>
      <c r="IL4" s="285" t="s">
        <v>2228</v>
      </c>
      <c r="IM4" s="318">
        <v>-75000</v>
      </c>
      <c r="IN4" s="340" t="s">
        <v>2364</v>
      </c>
      <c r="IO4" s="320">
        <v>-1437.02</v>
      </c>
      <c r="IP4" s="340" t="s">
        <v>1203</v>
      </c>
      <c r="IQ4" s="263">
        <f>IQ2-IQ5</f>
        <v>2.9699999999083957</v>
      </c>
      <c r="IR4" s="285" t="s">
        <v>2228</v>
      </c>
      <c r="IS4" s="318">
        <v>-75000</v>
      </c>
      <c r="IT4" s="340" t="s">
        <v>2559</v>
      </c>
      <c r="IU4" s="468">
        <v>-1437.02</v>
      </c>
      <c r="IV4" s="340" t="s">
        <v>2385</v>
      </c>
      <c r="IW4" s="260">
        <f>IW3-IU25</f>
        <v>2897.9403333332971</v>
      </c>
      <c r="IY4" s="311"/>
      <c r="IZ4" s="340" t="s">
        <v>633</v>
      </c>
      <c r="JA4" s="468">
        <v>30921.3</v>
      </c>
      <c r="JB4" s="340" t="s">
        <v>2385</v>
      </c>
      <c r="JC4" s="260">
        <f>JC3-JA31</f>
        <v>3741.5130000000418</v>
      </c>
      <c r="JE4" s="311"/>
      <c r="JF4" s="340" t="s">
        <v>3022</v>
      </c>
      <c r="JG4" s="468">
        <v>17271.3</v>
      </c>
      <c r="JH4" s="340" t="s">
        <v>1203</v>
      </c>
      <c r="JI4" s="263">
        <f>JI2-JI5</f>
        <v>-0.59412602733937092</v>
      </c>
      <c r="JK4" s="259"/>
      <c r="JL4" s="340" t="s">
        <v>3022</v>
      </c>
      <c r="JM4" s="468">
        <v>17271.3</v>
      </c>
      <c r="JN4" s="340" t="s">
        <v>1203</v>
      </c>
      <c r="JO4" s="263">
        <f>JO2-JO5</f>
        <v>-0.21999999998661224</v>
      </c>
      <c r="JP4" s="340" t="s">
        <v>2664</v>
      </c>
      <c r="JQ4" s="259">
        <f>-71000-140000</f>
        <v>-211000</v>
      </c>
      <c r="JR4" s="340" t="s">
        <v>3022</v>
      </c>
      <c r="JS4" s="468">
        <v>17271.3</v>
      </c>
      <c r="JT4" s="340" t="s">
        <v>1203</v>
      </c>
      <c r="JU4" s="263">
        <f>JU2-JU5</f>
        <v>-8.9999999985593604E-2</v>
      </c>
      <c r="JV4" s="340" t="s">
        <v>2664</v>
      </c>
      <c r="JW4" s="259">
        <f>$JQ$4</f>
        <v>-211000</v>
      </c>
      <c r="JX4" s="340" t="s">
        <v>3023</v>
      </c>
      <c r="JY4" s="468">
        <f>17271.3*2</f>
        <v>34542.6</v>
      </c>
      <c r="JZ4" s="340" t="s">
        <v>1203</v>
      </c>
      <c r="KA4" s="263">
        <f>KA2-KA5</f>
        <v>0.44856871762385708</v>
      </c>
      <c r="KB4" s="340" t="s">
        <v>2847</v>
      </c>
      <c r="KC4" s="259">
        <f>-140000</f>
        <v>-140000</v>
      </c>
      <c r="KD4" s="340" t="s">
        <v>3022</v>
      </c>
      <c r="KE4" s="468">
        <v>17271.3</v>
      </c>
      <c r="KF4" s="340" t="s">
        <v>1203</v>
      </c>
      <c r="KG4" s="263">
        <f>KG2-KG5</f>
        <v>-0.17599999997764826</v>
      </c>
      <c r="KH4" s="340" t="s">
        <v>3013</v>
      </c>
      <c r="KI4" s="311">
        <f>SUM(KI5:KI36)</f>
        <v>337796.44</v>
      </c>
      <c r="KJ4" s="340" t="s">
        <v>3022</v>
      </c>
      <c r="KK4" s="468">
        <v>17211.3</v>
      </c>
      <c r="KL4" s="340" t="s">
        <v>1203</v>
      </c>
      <c r="KM4" s="455">
        <f>KM2-KM5</f>
        <v>0.45000000006257324</v>
      </c>
      <c r="KN4" s="340" t="s">
        <v>3015</v>
      </c>
      <c r="KO4" s="311">
        <f>SUM(KO9:KO38)</f>
        <v>291555.63999999996</v>
      </c>
      <c r="KP4" s="340" t="s">
        <v>3022</v>
      </c>
      <c r="KQ4" s="468">
        <v>17451.73</v>
      </c>
      <c r="KR4" s="340" t="s">
        <v>1203</v>
      </c>
      <c r="KS4" s="263">
        <f>KS2-KS5</f>
        <v>0.6099999999969441</v>
      </c>
      <c r="KT4" s="450">
        <v>7000</v>
      </c>
      <c r="KU4" s="451">
        <v>45342</v>
      </c>
      <c r="KV4" s="340" t="s">
        <v>3022</v>
      </c>
      <c r="KW4" s="468">
        <v>17211.73</v>
      </c>
      <c r="KX4" s="340" t="s">
        <v>1203</v>
      </c>
      <c r="KY4" s="455">
        <f>KY2-KY5</f>
        <v>2.9999999935171218E-2</v>
      </c>
      <c r="KZ4" s="452">
        <v>150000</v>
      </c>
      <c r="LA4" s="453">
        <v>45356</v>
      </c>
      <c r="LB4" s="622" t="s">
        <v>3022</v>
      </c>
      <c r="LC4" s="468">
        <v>17211.73</v>
      </c>
      <c r="LD4" s="622" t="s">
        <v>1203</v>
      </c>
      <c r="LE4" s="455">
        <f>LE2-LE5</f>
        <v>0.27100000004793401</v>
      </c>
      <c r="LF4" s="600" t="s">
        <v>3095</v>
      </c>
      <c r="LG4" s="453" t="s">
        <v>3094</v>
      </c>
      <c r="LH4" s="656" t="s">
        <v>3022</v>
      </c>
      <c r="LI4" s="468">
        <v>46381.73</v>
      </c>
      <c r="LJ4" s="656" t="s">
        <v>1203</v>
      </c>
      <c r="LK4" s="455">
        <f>LK2-LK5</f>
        <v>-8.8999999987208867E-2</v>
      </c>
      <c r="LL4" s="600" t="s">
        <v>3095</v>
      </c>
      <c r="LM4" s="453" t="s">
        <v>3094</v>
      </c>
      <c r="LN4" s="688" t="s">
        <v>3022</v>
      </c>
      <c r="LO4" s="468"/>
      <c r="LP4" s="688" t="s">
        <v>1203</v>
      </c>
      <c r="LQ4" s="455">
        <f>LQ2-LQ5</f>
        <v>-4.9000000010892109E-2</v>
      </c>
      <c r="LR4" s="600" t="s">
        <v>3095</v>
      </c>
      <c r="LS4" s="453" t="s">
        <v>3094</v>
      </c>
    </row>
    <row r="5" spans="1:333">
      <c r="A5" s="466" t="s">
        <v>994</v>
      </c>
      <c r="B5" s="467"/>
      <c r="E5" s="170"/>
      <c r="F5" s="170"/>
      <c r="G5" s="466" t="s">
        <v>994</v>
      </c>
      <c r="H5" s="467"/>
      <c r="I5" s="340" t="s">
        <v>1047</v>
      </c>
      <c r="J5" s="340">
        <v>12933</v>
      </c>
      <c r="K5" s="170"/>
      <c r="M5" s="466" t="s">
        <v>443</v>
      </c>
      <c r="N5" s="467">
        <v>15505</v>
      </c>
      <c r="O5" s="340" t="s">
        <v>3022</v>
      </c>
      <c r="P5" s="340">
        <v>0</v>
      </c>
      <c r="Q5" s="170" t="s">
        <v>352</v>
      </c>
      <c r="R5" s="240">
        <f>SUM(R14:R41)</f>
        <v>7490.4400000000005</v>
      </c>
      <c r="S5" s="466" t="s">
        <v>443</v>
      </c>
      <c r="T5" s="467">
        <v>4922</v>
      </c>
      <c r="U5" s="340" t="s">
        <v>3022</v>
      </c>
      <c r="V5" s="340">
        <v>13664</v>
      </c>
      <c r="W5" s="170" t="s">
        <v>352</v>
      </c>
      <c r="X5" s="240">
        <f>SUM(X13:X46)</f>
        <v>5719.0310000000009</v>
      </c>
      <c r="Y5" s="466" t="s">
        <v>443</v>
      </c>
      <c r="Z5" s="467">
        <v>3694.13</v>
      </c>
      <c r="AA5" s="340" t="s">
        <v>3022</v>
      </c>
      <c r="AB5" s="340">
        <v>13664.29</v>
      </c>
      <c r="AC5" s="170" t="s">
        <v>352</v>
      </c>
      <c r="AD5" s="240">
        <f>SUM(AD12:AD33)</f>
        <v>3864.5509999999999</v>
      </c>
      <c r="AE5" s="466" t="s">
        <v>443</v>
      </c>
      <c r="AF5" s="467">
        <v>17678</v>
      </c>
      <c r="AG5" s="340" t="s">
        <v>3022</v>
      </c>
      <c r="AH5" s="340">
        <v>13642</v>
      </c>
      <c r="AI5" s="170" t="s">
        <v>352</v>
      </c>
      <c r="AJ5" s="240">
        <f>SUM(AJ12:AJ35)</f>
        <v>1528</v>
      </c>
      <c r="AK5" s="466" t="s">
        <v>443</v>
      </c>
      <c r="AL5" s="467">
        <v>4218</v>
      </c>
      <c r="AM5" s="340" t="s">
        <v>1106</v>
      </c>
      <c r="AN5" s="340">
        <v>17376</v>
      </c>
      <c r="AO5" s="170" t="s">
        <v>352</v>
      </c>
      <c r="AP5" s="240">
        <f>SUM(AP12:AP56)</f>
        <v>15349.7</v>
      </c>
      <c r="AQ5" s="466" t="s">
        <v>443</v>
      </c>
      <c r="AR5" s="467">
        <v>4900.57</v>
      </c>
      <c r="AS5" s="340" t="s">
        <v>1106</v>
      </c>
      <c r="AT5" s="340">
        <v>15242</v>
      </c>
      <c r="AU5" s="170" t="s">
        <v>352</v>
      </c>
      <c r="AV5" s="240">
        <f>SUM(AV11:AV50)</f>
        <v>6657.1299999999992</v>
      </c>
      <c r="AW5" s="466" t="s">
        <v>443</v>
      </c>
      <c r="AX5" s="467">
        <v>10293</v>
      </c>
      <c r="AY5" s="170"/>
      <c r="AZ5" s="240"/>
      <c r="BA5" s="466" t="s">
        <v>443</v>
      </c>
      <c r="BB5" s="467">
        <f t="shared" ref="BB5:BB22" si="0">AX5</f>
        <v>10293</v>
      </c>
      <c r="BC5" s="340" t="s">
        <v>633</v>
      </c>
      <c r="BD5" s="340">
        <v>13642</v>
      </c>
      <c r="BE5" s="170" t="s">
        <v>352</v>
      </c>
      <c r="BF5" s="240">
        <f>SUM(BF11:BF43)</f>
        <v>3927.3799999999997</v>
      </c>
      <c r="BG5" s="466" t="s">
        <v>443</v>
      </c>
      <c r="BH5" s="467">
        <v>17276</v>
      </c>
      <c r="BI5" s="217" t="s">
        <v>633</v>
      </c>
      <c r="BJ5" s="217">
        <v>13642</v>
      </c>
      <c r="BK5" s="253" t="s">
        <v>352</v>
      </c>
      <c r="BL5" s="252">
        <f>SUM(BL11:BL37)</f>
        <v>3876.57</v>
      </c>
      <c r="BM5" s="466" t="s">
        <v>443</v>
      </c>
      <c r="BN5" s="467">
        <v>4941</v>
      </c>
      <c r="BO5" s="217" t="s">
        <v>633</v>
      </c>
      <c r="BP5" s="217">
        <v>13642.36</v>
      </c>
      <c r="BQ5" s="253" t="s">
        <v>352</v>
      </c>
      <c r="BR5" s="252">
        <f>SUM(BR11:BR38)</f>
        <v>4533.6000000000004</v>
      </c>
      <c r="BS5" s="466" t="s">
        <v>443</v>
      </c>
      <c r="BT5" s="377">
        <v>4481</v>
      </c>
      <c r="BU5" s="217" t="s">
        <v>633</v>
      </c>
      <c r="BV5" s="217">
        <v>13642.36</v>
      </c>
      <c r="BW5" s="253" t="s">
        <v>352</v>
      </c>
      <c r="BX5" s="252">
        <f>SUM(BX11:BX45)</f>
        <v>4665.6100000000006</v>
      </c>
      <c r="BY5" s="466" t="s">
        <v>443</v>
      </c>
      <c r="BZ5" s="467">
        <v>1093</v>
      </c>
      <c r="CA5" s="217" t="s">
        <v>633</v>
      </c>
      <c r="CB5" s="217">
        <v>13642</v>
      </c>
      <c r="CC5" s="253" t="s">
        <v>352</v>
      </c>
      <c r="CD5" s="252">
        <f>SUM(CD11:CD44)</f>
        <v>4795.5110000000004</v>
      </c>
      <c r="CE5" s="466" t="s">
        <v>443</v>
      </c>
      <c r="CF5" s="467">
        <v>3628</v>
      </c>
      <c r="CH5" s="204"/>
      <c r="CI5" s="253" t="s">
        <v>352</v>
      </c>
      <c r="CJ5" s="252">
        <f>SUM(CJ11:CJ46)</f>
        <v>6322.8610000000008</v>
      </c>
      <c r="CK5" s="466" t="s">
        <v>443</v>
      </c>
      <c r="CL5" s="467">
        <v>2249</v>
      </c>
      <c r="CN5" s="204"/>
      <c r="CO5" s="253" t="s">
        <v>352</v>
      </c>
      <c r="CP5" s="252">
        <f>SUM(CP11:CP44)</f>
        <v>3989.4209999999998</v>
      </c>
      <c r="CQ5" s="466" t="s">
        <v>443</v>
      </c>
      <c r="CR5" s="467">
        <v>1723</v>
      </c>
      <c r="CT5" s="204"/>
      <c r="CU5" s="253" t="s">
        <v>352</v>
      </c>
      <c r="CV5" s="252">
        <f>SUM(CV11:CV45)</f>
        <v>5030.402000000001</v>
      </c>
      <c r="CW5" s="466" t="s">
        <v>443</v>
      </c>
      <c r="CX5" s="467">
        <v>4843</v>
      </c>
      <c r="CZ5" s="204"/>
      <c r="DA5" s="217" t="s">
        <v>352</v>
      </c>
      <c r="DB5" s="252">
        <f>SUM(DB11:DB45)</f>
        <v>6503.1500000000015</v>
      </c>
      <c r="DC5" s="466" t="s">
        <v>443</v>
      </c>
      <c r="DD5" s="467">
        <v>2708</v>
      </c>
      <c r="DE5" s="217" t="s">
        <v>633</v>
      </c>
      <c r="DF5" s="263">
        <v>36454.71</v>
      </c>
      <c r="DG5" s="217" t="s">
        <v>352</v>
      </c>
      <c r="DH5" s="274">
        <f>SUM(DH12:DH65)</f>
        <v>13759.15</v>
      </c>
      <c r="DI5" s="466" t="s">
        <v>443</v>
      </c>
      <c r="DJ5" s="467">
        <v>7372</v>
      </c>
      <c r="DL5" s="263"/>
      <c r="DM5" s="217" t="s">
        <v>352</v>
      </c>
      <c r="DN5" s="278">
        <f>SUM(DN12:DN61)</f>
        <v>21532.18</v>
      </c>
      <c r="DO5" s="466" t="s">
        <v>1507</v>
      </c>
      <c r="DP5" s="467" t="s">
        <v>642</v>
      </c>
      <c r="DR5" s="263"/>
      <c r="DS5" s="204" t="s">
        <v>1203</v>
      </c>
      <c r="DT5" s="261">
        <f>DT2-DT6</f>
        <v>31.529000000031374</v>
      </c>
      <c r="DU5" s="466" t="s">
        <v>1269</v>
      </c>
      <c r="DV5" s="467">
        <v>-10</v>
      </c>
      <c r="DX5" s="240"/>
      <c r="DY5" s="340" t="s">
        <v>352</v>
      </c>
      <c r="DZ5" s="293">
        <f>SUM(DZ11:DZ48)</f>
        <v>4914.88</v>
      </c>
      <c r="EA5" s="340" t="s">
        <v>1131</v>
      </c>
      <c r="EB5" s="340">
        <v>441</v>
      </c>
      <c r="EE5" s="340" t="s">
        <v>352</v>
      </c>
      <c r="EF5" s="293">
        <f>SUM(EF11:EF38)</f>
        <v>5251.33</v>
      </c>
      <c r="EG5" s="293"/>
      <c r="EH5" s="319" t="s">
        <v>1527</v>
      </c>
      <c r="EI5" s="285">
        <v>967</v>
      </c>
      <c r="EL5" s="340" t="s">
        <v>352</v>
      </c>
      <c r="EM5" s="293">
        <f>SUM(EM11:EM51)</f>
        <v>5228.0999999999985</v>
      </c>
      <c r="EN5" s="319" t="s">
        <v>1527</v>
      </c>
      <c r="EO5" s="285">
        <v>891</v>
      </c>
      <c r="ER5" s="340" t="s">
        <v>352</v>
      </c>
      <c r="ES5" s="293">
        <f>SUM(ES11:ES49)</f>
        <v>7266.5499999999993</v>
      </c>
      <c r="ET5" s="319" t="s">
        <v>1527</v>
      </c>
      <c r="EU5" s="285">
        <v>556</v>
      </c>
      <c r="EX5" s="340" t="s">
        <v>352</v>
      </c>
      <c r="EY5" s="293">
        <f>SUM(EY11:EY51)</f>
        <v>5475.6799999999994</v>
      </c>
      <c r="EZ5" s="319" t="s">
        <v>1527</v>
      </c>
      <c r="FA5" s="340">
        <v>1233</v>
      </c>
      <c r="FD5" s="340" t="s">
        <v>352</v>
      </c>
      <c r="FE5" s="263">
        <f>SUM(FE11:FE46)</f>
        <v>5297.0209999999988</v>
      </c>
      <c r="FF5" s="319" t="s">
        <v>1527</v>
      </c>
      <c r="FG5" s="340">
        <v>1591</v>
      </c>
      <c r="FH5" s="340" t="s">
        <v>1817</v>
      </c>
      <c r="FJ5" s="340" t="s">
        <v>352</v>
      </c>
      <c r="FK5" s="263">
        <f>SUM(FK11:FK46)</f>
        <v>5086.9699999999993</v>
      </c>
      <c r="FL5" s="285" t="s">
        <v>1631</v>
      </c>
      <c r="FM5" s="469">
        <v>97</v>
      </c>
      <c r="FN5" s="340" t="s">
        <v>1838</v>
      </c>
      <c r="FO5" s="240"/>
      <c r="FP5" s="340" t="s">
        <v>352</v>
      </c>
      <c r="FQ5" s="263">
        <f>SUM(FQ12:FQ58)</f>
        <v>17555.769999999993</v>
      </c>
      <c r="FR5" s="285" t="s">
        <v>1631</v>
      </c>
      <c r="FS5" s="469">
        <v>97.53</v>
      </c>
      <c r="FT5" s="340" t="s">
        <v>1895</v>
      </c>
      <c r="FU5" s="240">
        <v>558</v>
      </c>
      <c r="FV5" s="340" t="s">
        <v>352</v>
      </c>
      <c r="FW5" s="263">
        <f>SUM(FW12:FW49)</f>
        <v>76726.42</v>
      </c>
      <c r="FX5" s="340" t="s">
        <v>1896</v>
      </c>
      <c r="FY5" s="259">
        <v>-12000</v>
      </c>
      <c r="FZ5" s="340" t="s">
        <v>1963</v>
      </c>
      <c r="GB5" s="340" t="s">
        <v>1203</v>
      </c>
      <c r="GC5" s="263">
        <f>GC3-GC6</f>
        <v>1.2699999999895226</v>
      </c>
      <c r="GD5" s="340" t="s">
        <v>1896</v>
      </c>
      <c r="GE5" s="259">
        <v>-11000</v>
      </c>
      <c r="GF5" s="340" t="s">
        <v>1950</v>
      </c>
      <c r="GH5" s="340" t="s">
        <v>1203</v>
      </c>
      <c r="GI5" s="263">
        <f>GI3-GI6</f>
        <v>-1.8210000000181026</v>
      </c>
      <c r="GJ5" s="340" t="s">
        <v>1945</v>
      </c>
      <c r="GK5" s="259">
        <v>-10000</v>
      </c>
      <c r="GL5" s="340" t="s">
        <v>633</v>
      </c>
      <c r="GM5" s="340">
        <v>15123.78</v>
      </c>
      <c r="GN5" s="340" t="s">
        <v>1203</v>
      </c>
      <c r="GO5" s="263">
        <f>GO3-GO6</f>
        <v>-4.7600000000029468</v>
      </c>
      <c r="GP5" s="340" t="s">
        <v>1945</v>
      </c>
      <c r="GQ5" s="259">
        <v>-9000</v>
      </c>
      <c r="GR5" s="340" t="s">
        <v>633</v>
      </c>
      <c r="GS5" s="340">
        <v>15123.78</v>
      </c>
      <c r="GT5" s="340" t="s">
        <v>1203</v>
      </c>
      <c r="GU5" s="263">
        <f>GU3-GU6</f>
        <v>-0.27899999996589031</v>
      </c>
      <c r="GV5" s="340" t="s">
        <v>1945</v>
      </c>
      <c r="GW5" s="259">
        <v>-9000</v>
      </c>
      <c r="GX5" s="340" t="s">
        <v>2183</v>
      </c>
      <c r="GY5" s="340">
        <v>-1437.02</v>
      </c>
      <c r="GZ5" s="340" t="s">
        <v>352</v>
      </c>
      <c r="HA5" s="263">
        <f>SUM(HA12:HA51)</f>
        <v>10745.362000000001</v>
      </c>
      <c r="HB5" s="340" t="s">
        <v>1945</v>
      </c>
      <c r="HC5" s="259">
        <v>-6000</v>
      </c>
      <c r="HD5" s="340" t="s">
        <v>633</v>
      </c>
      <c r="HE5" s="340">
        <v>15123.78</v>
      </c>
      <c r="HF5" s="340" t="s">
        <v>1203</v>
      </c>
      <c r="HG5" s="263">
        <f>HG2-HG6</f>
        <v>-2.2200000000048021</v>
      </c>
      <c r="HH5" s="340" t="s">
        <v>1945</v>
      </c>
      <c r="HI5" s="259">
        <v>-6000</v>
      </c>
      <c r="HJ5" s="340" t="s">
        <v>2183</v>
      </c>
      <c r="HK5" s="340">
        <v>-1437.02</v>
      </c>
      <c r="HL5" s="340" t="s">
        <v>1203</v>
      </c>
      <c r="HM5" s="263">
        <f>HM2-HM6</f>
        <v>-0.18999999998777639</v>
      </c>
      <c r="HN5" s="340" t="s">
        <v>1945</v>
      </c>
      <c r="HO5" s="259">
        <v>-6000</v>
      </c>
      <c r="HP5" s="340" t="s">
        <v>2128</v>
      </c>
      <c r="HQ5" s="340">
        <v>51</v>
      </c>
      <c r="HR5" s="340" t="s">
        <v>352</v>
      </c>
      <c r="HS5" s="260">
        <f>SUM(HS6:HS45)</f>
        <v>8267.1200000000008</v>
      </c>
      <c r="HT5" s="470" t="s">
        <v>1945</v>
      </c>
      <c r="HU5" s="317">
        <f>HO5-HT7</f>
        <v>-13000</v>
      </c>
      <c r="HV5" s="340" t="s">
        <v>2295</v>
      </c>
      <c r="HW5" s="240">
        <v>-1437.02</v>
      </c>
      <c r="HX5" s="340" t="s">
        <v>2323</v>
      </c>
      <c r="HY5" s="260">
        <f>HY4-HY55</f>
        <v>4272.9566666668161</v>
      </c>
      <c r="HZ5" s="340" t="s">
        <v>3071</v>
      </c>
      <c r="IA5" s="311"/>
      <c r="IB5" s="340" t="s">
        <v>1578</v>
      </c>
      <c r="IC5" s="320"/>
      <c r="ID5" s="340" t="s">
        <v>1203</v>
      </c>
      <c r="IE5" s="263">
        <f>IE2-IE6</f>
        <v>-0.92899999987275805</v>
      </c>
      <c r="IF5" s="204" t="s">
        <v>1874</v>
      </c>
      <c r="IG5" s="469">
        <v>14.67</v>
      </c>
      <c r="IH5" s="340" t="s">
        <v>2358</v>
      </c>
      <c r="II5" s="320">
        <v>100</v>
      </c>
      <c r="IJ5" s="340" t="s">
        <v>1203</v>
      </c>
      <c r="IK5" s="263">
        <f>IK2-IK6</f>
        <v>1.0099999999274587</v>
      </c>
      <c r="IL5" s="319" t="s">
        <v>2345</v>
      </c>
      <c r="IM5" s="259">
        <v>0</v>
      </c>
      <c r="IO5" s="320"/>
      <c r="IP5" s="340" t="s">
        <v>352</v>
      </c>
      <c r="IQ5" s="260">
        <f>SUM(IQ6:IQ59)</f>
        <v>11405.679999999998</v>
      </c>
      <c r="IR5" s="319" t="s">
        <v>2345</v>
      </c>
      <c r="IS5" s="259">
        <v>0</v>
      </c>
      <c r="IT5" s="340" t="s">
        <v>2508</v>
      </c>
      <c r="IU5" s="320">
        <f>-11-12-13</f>
        <v>-36</v>
      </c>
      <c r="IV5" s="340" t="s">
        <v>1203</v>
      </c>
      <c r="IW5" s="263">
        <f>IW2-IW6</f>
        <v>0.48699999996097176</v>
      </c>
      <c r="IX5" s="340" t="s">
        <v>2290</v>
      </c>
      <c r="IY5" s="259">
        <f>$IA$6</f>
        <v>0</v>
      </c>
      <c r="IZ5" s="340" t="s">
        <v>2559</v>
      </c>
      <c r="JA5" s="468">
        <v>-71</v>
      </c>
      <c r="JB5" s="340" t="s">
        <v>1203</v>
      </c>
      <c r="JC5" s="263">
        <f>JC2-JC6</f>
        <v>-3.9079999999557913</v>
      </c>
      <c r="JD5" s="340" t="s">
        <v>2290</v>
      </c>
      <c r="JE5" s="259">
        <f>$IA$6</f>
        <v>0</v>
      </c>
      <c r="JF5" s="340" t="s">
        <v>2559</v>
      </c>
      <c r="JG5" s="468">
        <v>-5.95</v>
      </c>
      <c r="JH5" s="340" t="s">
        <v>352</v>
      </c>
      <c r="JI5" s="260">
        <f>SUM(JI6:JI47)</f>
        <v>166095.25412602737</v>
      </c>
      <c r="JJ5" s="340" t="s">
        <v>2290</v>
      </c>
      <c r="JK5" s="202">
        <f>$IA$6</f>
        <v>0</v>
      </c>
      <c r="JL5" s="340" t="s">
        <v>2508</v>
      </c>
      <c r="JM5" s="320">
        <v>-1400</v>
      </c>
      <c r="JN5" s="340" t="s">
        <v>352</v>
      </c>
      <c r="JO5" s="260">
        <f>SUM(JO6:JO51)</f>
        <v>126905.181</v>
      </c>
      <c r="JP5" s="285" t="s">
        <v>2572</v>
      </c>
      <c r="JQ5" s="318">
        <v>-80000</v>
      </c>
      <c r="JR5" s="340" t="s">
        <v>2923</v>
      </c>
      <c r="JS5" s="468">
        <v>-30</v>
      </c>
      <c r="JT5" s="340" t="s">
        <v>352</v>
      </c>
      <c r="JU5" s="260">
        <f>SUM(JU6:JU50)</f>
        <v>13510.48</v>
      </c>
      <c r="JV5" s="285" t="s">
        <v>2572</v>
      </c>
      <c r="JW5" s="318">
        <v>-77000</v>
      </c>
      <c r="JX5" s="340" t="s">
        <v>2924</v>
      </c>
      <c r="JY5" s="468">
        <v>-30</v>
      </c>
      <c r="JZ5" s="340" t="s">
        <v>352</v>
      </c>
      <c r="KA5" s="260">
        <f>SUM(KA6:KA71)</f>
        <v>20398.781431282358</v>
      </c>
      <c r="KB5" s="340" t="s">
        <v>2848</v>
      </c>
      <c r="KC5" s="259">
        <f>-135000</f>
        <v>-135000</v>
      </c>
      <c r="KD5" s="340" t="s">
        <v>2850</v>
      </c>
      <c r="KE5" s="468">
        <v>-107.13</v>
      </c>
      <c r="KF5" s="340" t="s">
        <v>352</v>
      </c>
      <c r="KG5" s="260">
        <f>SUM(KG6:KG48)</f>
        <v>207950.29100000003</v>
      </c>
      <c r="KH5" s="204" t="s">
        <v>2861</v>
      </c>
      <c r="KI5" s="318">
        <v>7000</v>
      </c>
      <c r="KJ5" s="340" t="s">
        <v>2559</v>
      </c>
      <c r="KK5" s="468">
        <v>-132.12</v>
      </c>
      <c r="KL5" s="340" t="s">
        <v>352</v>
      </c>
      <c r="KM5" s="260">
        <f>SUM(KM6:KM51)</f>
        <v>61259.000000000007</v>
      </c>
      <c r="KN5" s="450">
        <v>7000</v>
      </c>
      <c r="KO5" s="451">
        <v>45342</v>
      </c>
      <c r="KP5" s="340" t="s">
        <v>2904</v>
      </c>
      <c r="KQ5" s="320">
        <v>-30</v>
      </c>
      <c r="KR5" s="340" t="s">
        <v>352</v>
      </c>
      <c r="KS5" s="260">
        <f>SUM(KS6:KS52)</f>
        <v>9848.3199999999961</v>
      </c>
      <c r="KT5" s="452">
        <v>150000</v>
      </c>
      <c r="KU5" s="453">
        <v>45356</v>
      </c>
      <c r="KV5" s="593" t="s">
        <v>2559</v>
      </c>
      <c r="KW5" s="468">
        <v>-200</v>
      </c>
      <c r="KX5" s="340" t="s">
        <v>352</v>
      </c>
      <c r="KY5" s="260">
        <f>SUM(KY6:KY62)</f>
        <v>10341.459999999997</v>
      </c>
      <c r="KZ5" s="600" t="s">
        <v>3095</v>
      </c>
      <c r="LA5" s="453" t="s">
        <v>3094</v>
      </c>
      <c r="LB5" s="623" t="s">
        <v>2559</v>
      </c>
      <c r="LC5" s="468">
        <v>-200</v>
      </c>
      <c r="LD5" s="622" t="s">
        <v>352</v>
      </c>
      <c r="LE5" s="260">
        <f>SUM(LE6:LE53)</f>
        <v>28571.849999999995</v>
      </c>
      <c r="LF5" s="452">
        <v>5000</v>
      </c>
      <c r="LG5" s="453">
        <v>45468</v>
      </c>
      <c r="LH5" s="657" t="s">
        <v>2559</v>
      </c>
      <c r="LI5" s="468">
        <v>-200</v>
      </c>
      <c r="LJ5" s="656" t="s">
        <v>352</v>
      </c>
      <c r="LK5" s="260">
        <f>SUM(LK6:LK54)</f>
        <v>8817.24</v>
      </c>
      <c r="LL5" s="452">
        <v>5000</v>
      </c>
      <c r="LM5" s="453">
        <v>45496</v>
      </c>
      <c r="LN5" s="689" t="s">
        <v>2559</v>
      </c>
      <c r="LO5" s="468"/>
      <c r="LP5" s="688" t="s">
        <v>352</v>
      </c>
      <c r="LQ5" s="260">
        <f>SUM(LQ6:LQ50)</f>
        <v>5000.05</v>
      </c>
      <c r="LR5" s="452">
        <v>5000</v>
      </c>
      <c r="LS5" s="453">
        <v>45496</v>
      </c>
    </row>
    <row r="6" spans="1:333">
      <c r="A6" s="466" t="s">
        <v>432</v>
      </c>
      <c r="B6" s="467">
        <v>1309</v>
      </c>
      <c r="E6" s="340" t="s">
        <v>359</v>
      </c>
      <c r="F6" s="340">
        <f>SUM(F7:F14)</f>
        <v>12750</v>
      </c>
      <c r="G6" s="466" t="s">
        <v>432</v>
      </c>
      <c r="H6" s="467">
        <v>1298</v>
      </c>
      <c r="I6" s="340" t="s">
        <v>1008</v>
      </c>
      <c r="J6" s="340">
        <v>0</v>
      </c>
      <c r="K6" s="340" t="s">
        <v>359</v>
      </c>
      <c r="L6" s="340">
        <f>L14</f>
        <v>0</v>
      </c>
      <c r="M6" s="466"/>
      <c r="N6" s="467"/>
      <c r="O6" s="340" t="s">
        <v>1008</v>
      </c>
      <c r="Q6" s="170"/>
      <c r="S6" s="466"/>
      <c r="T6" s="467"/>
      <c r="U6" s="340" t="s">
        <v>1071</v>
      </c>
      <c r="V6" s="340">
        <v>0</v>
      </c>
      <c r="W6" s="170"/>
      <c r="Y6" s="466"/>
      <c r="Z6" s="467"/>
      <c r="AA6" s="340" t="s">
        <v>1074</v>
      </c>
      <c r="AB6" s="340">
        <v>0</v>
      </c>
      <c r="AC6" s="340" t="s">
        <v>359</v>
      </c>
      <c r="AD6" s="340">
        <f>SUM(AD12:AD12)</f>
        <v>2501.1999999999998</v>
      </c>
      <c r="AE6" s="466"/>
      <c r="AF6" s="467"/>
      <c r="AG6" s="340" t="s">
        <v>1074</v>
      </c>
      <c r="AH6" s="340">
        <v>90</v>
      </c>
      <c r="AI6" s="340" t="s">
        <v>359</v>
      </c>
      <c r="AJ6" s="340">
        <f>SUM(AJ12:AJ12)</f>
        <v>0</v>
      </c>
      <c r="AK6" s="466" t="s">
        <v>1097</v>
      </c>
      <c r="AL6" s="467">
        <v>36000</v>
      </c>
      <c r="AM6" s="340" t="s">
        <v>1124</v>
      </c>
      <c r="AN6" s="340">
        <v>28</v>
      </c>
      <c r="AO6" s="340" t="s">
        <v>359</v>
      </c>
      <c r="AP6" s="340">
        <f>SUM(AP12:AP16)</f>
        <v>7900</v>
      </c>
      <c r="AQ6" s="466" t="s">
        <v>1097</v>
      </c>
      <c r="AR6" s="467">
        <v>15000</v>
      </c>
      <c r="AS6" s="340" t="s">
        <v>1151</v>
      </c>
      <c r="AT6" s="340">
        <v>482</v>
      </c>
      <c r="AU6" s="340" t="s">
        <v>359</v>
      </c>
      <c r="AV6" s="340">
        <f>SUM(AV11:AV17)</f>
        <v>4500.07</v>
      </c>
      <c r="AW6" s="466" t="s">
        <v>1097</v>
      </c>
      <c r="AX6" s="467">
        <v>9933</v>
      </c>
      <c r="BA6" s="466" t="s">
        <v>1097</v>
      </c>
      <c r="BB6" s="467">
        <f t="shared" si="0"/>
        <v>9933</v>
      </c>
      <c r="BC6" s="340" t="s">
        <v>1074</v>
      </c>
      <c r="BD6" s="340" t="s">
        <v>686</v>
      </c>
      <c r="BE6" s="340" t="s">
        <v>359</v>
      </c>
      <c r="BF6" s="340">
        <f>SUM(BF12:BF15)</f>
        <v>100</v>
      </c>
      <c r="BG6" s="466" t="s">
        <v>1097</v>
      </c>
      <c r="BH6" s="467">
        <v>15854</v>
      </c>
      <c r="BI6" s="217" t="s">
        <v>1074</v>
      </c>
      <c r="BJ6" s="217" t="s">
        <v>686</v>
      </c>
      <c r="BK6" s="217" t="s">
        <v>359</v>
      </c>
      <c r="BL6" s="217">
        <f>SUM(BL12:BL15)</f>
        <v>1900.05</v>
      </c>
      <c r="BM6" s="466" t="s">
        <v>1097</v>
      </c>
      <c r="BN6" s="467">
        <v>36824</v>
      </c>
      <c r="BO6" s="217" t="s">
        <v>1074</v>
      </c>
      <c r="BP6" s="204" t="s">
        <v>686</v>
      </c>
      <c r="BQ6" s="217" t="s">
        <v>359</v>
      </c>
      <c r="BR6" s="217">
        <f>SUM(BR12:BR15)</f>
        <v>1900.06</v>
      </c>
      <c r="BS6" s="466" t="s">
        <v>1097</v>
      </c>
      <c r="BT6" s="377">
        <v>37000</v>
      </c>
      <c r="BU6" s="217" t="s">
        <v>1074</v>
      </c>
      <c r="BV6" s="204" t="s">
        <v>686</v>
      </c>
      <c r="BW6" s="217" t="s">
        <v>359</v>
      </c>
      <c r="BX6" s="217">
        <f>SUM(BX12:BX15)</f>
        <v>1900.07</v>
      </c>
      <c r="BY6" s="466" t="s">
        <v>1097</v>
      </c>
      <c r="BZ6" s="467">
        <v>34967</v>
      </c>
      <c r="CA6" s="217" t="s">
        <v>1285</v>
      </c>
      <c r="CB6" s="204">
        <v>0</v>
      </c>
      <c r="CC6" s="217" t="s">
        <v>359</v>
      </c>
      <c r="CD6" s="217">
        <f>SUM(CD12:CD15)</f>
        <v>1900.08</v>
      </c>
      <c r="CE6" s="466" t="s">
        <v>1097</v>
      </c>
      <c r="CF6" s="467">
        <v>42940</v>
      </c>
      <c r="CG6" s="204"/>
      <c r="CI6" s="217" t="s">
        <v>359</v>
      </c>
      <c r="CJ6" s="217">
        <f>SUM(CJ12:CJ16)</f>
        <v>3000.09</v>
      </c>
      <c r="CK6" s="466" t="s">
        <v>1097</v>
      </c>
      <c r="CL6" s="467">
        <v>50905</v>
      </c>
      <c r="CM6" s="204"/>
      <c r="CO6" s="217" t="s">
        <v>359</v>
      </c>
      <c r="CP6" s="217">
        <f>SUM(CP12:CP15)</f>
        <v>1900.1</v>
      </c>
      <c r="CQ6" s="466" t="s">
        <v>1097</v>
      </c>
      <c r="CR6" s="467">
        <v>50071</v>
      </c>
      <c r="CS6" s="204"/>
      <c r="CU6" s="217" t="s">
        <v>359</v>
      </c>
      <c r="CV6" s="217">
        <f>SUM(CV12:CV15)</f>
        <v>1934.01</v>
      </c>
      <c r="CW6" s="466" t="s">
        <v>1097</v>
      </c>
      <c r="CX6" s="467">
        <v>54757</v>
      </c>
      <c r="CY6" s="204"/>
      <c r="DA6" s="271" t="s">
        <v>359</v>
      </c>
      <c r="DB6" s="217">
        <f>SUM(DB12:DB15)</f>
        <v>1930.2199999999998</v>
      </c>
      <c r="DC6" s="466" t="s">
        <v>1097</v>
      </c>
      <c r="DD6" s="467">
        <v>39905</v>
      </c>
      <c r="DE6" s="204"/>
      <c r="DG6" s="271" t="s">
        <v>359</v>
      </c>
      <c r="DH6" s="274">
        <f>SUM(DH12:DH22)</f>
        <v>6982.0500000000011</v>
      </c>
      <c r="DI6" s="466" t="s">
        <v>1097</v>
      </c>
      <c r="DJ6" s="467">
        <v>68</v>
      </c>
      <c r="DK6" s="204"/>
      <c r="DM6" s="271" t="s">
        <v>359</v>
      </c>
      <c r="DN6" s="278">
        <f>SUM(DN12:DN18)</f>
        <v>16816.259999999998</v>
      </c>
      <c r="DO6" s="471" t="s">
        <v>1269</v>
      </c>
      <c r="DP6" s="467">
        <v>-10</v>
      </c>
      <c r="DQ6" s="204"/>
      <c r="DS6" s="204" t="s">
        <v>352</v>
      </c>
      <c r="DT6" s="293">
        <f>SUM(DT13:DT54)</f>
        <v>49587.650999999991</v>
      </c>
      <c r="DU6" s="285" t="s">
        <v>1131</v>
      </c>
      <c r="DV6" s="261">
        <v>441</v>
      </c>
      <c r="DY6" s="243" t="s">
        <v>359</v>
      </c>
      <c r="DZ6" s="295">
        <f>SUM(DZ11:DZ12)</f>
        <v>1933.05</v>
      </c>
      <c r="EA6" s="244" t="s">
        <v>1412</v>
      </c>
      <c r="EB6" s="340">
        <v>0</v>
      </c>
      <c r="EC6" s="197" t="s">
        <v>1580</v>
      </c>
      <c r="EE6" s="243" t="s">
        <v>359</v>
      </c>
      <c r="EF6" s="295">
        <f>SUM(EF11:EF12)</f>
        <v>2462.0299999999997</v>
      </c>
      <c r="EG6" s="295"/>
      <c r="EH6" s="319" t="s">
        <v>1506</v>
      </c>
      <c r="EI6" s="285">
        <v>10718</v>
      </c>
      <c r="EJ6" s="340" t="s">
        <v>1653</v>
      </c>
      <c r="EK6" s="340">
        <v>9.99</v>
      </c>
      <c r="EL6" s="243" t="s">
        <v>359</v>
      </c>
      <c r="EM6" s="295">
        <f>SUM(EM11:EM13)</f>
        <v>1800.07</v>
      </c>
      <c r="EN6" s="319" t="s">
        <v>1506</v>
      </c>
      <c r="EO6" s="285">
        <v>9753</v>
      </c>
      <c r="EP6" s="197" t="s">
        <v>1580</v>
      </c>
      <c r="ER6" s="306" t="s">
        <v>1685</v>
      </c>
      <c r="ES6" s="295">
        <f>SUM(ES11:ES12)</f>
        <v>2230.08</v>
      </c>
      <c r="ET6" s="319" t="s">
        <v>1506</v>
      </c>
      <c r="EU6" s="285">
        <v>4177</v>
      </c>
      <c r="EV6" s="197" t="s">
        <v>1580</v>
      </c>
      <c r="EX6" s="306" t="s">
        <v>1685</v>
      </c>
      <c r="EY6" s="295">
        <f>SUM(EY11:EY12)</f>
        <v>1900.09</v>
      </c>
      <c r="EZ6" s="319" t="s">
        <v>1506</v>
      </c>
      <c r="FA6" s="340">
        <v>3507</v>
      </c>
      <c r="FB6" s="197" t="s">
        <v>1580</v>
      </c>
      <c r="FD6" s="306" t="s">
        <v>1685</v>
      </c>
      <c r="FE6" s="263">
        <f>SUM(FE11:FE11)</f>
        <v>1800.1</v>
      </c>
      <c r="FF6" s="319" t="s">
        <v>1506</v>
      </c>
      <c r="FG6" s="340">
        <v>9685</v>
      </c>
      <c r="FJ6" s="306" t="s">
        <v>1685</v>
      </c>
      <c r="FK6" s="263">
        <f>SUM(FK11:FK11)</f>
        <v>1800.11</v>
      </c>
      <c r="FL6" s="319" t="s">
        <v>1527</v>
      </c>
      <c r="FM6" s="340">
        <v>818</v>
      </c>
      <c r="FN6" s="340" t="s">
        <v>1839</v>
      </c>
      <c r="FO6" s="240">
        <v>3740</v>
      </c>
      <c r="FP6" s="306" t="s">
        <v>1928</v>
      </c>
      <c r="FQ6" s="263">
        <f>FQ12</f>
        <v>1800.12</v>
      </c>
      <c r="FR6" s="204" t="s">
        <v>1837</v>
      </c>
      <c r="FS6" s="340">
        <v>3740</v>
      </c>
      <c r="FT6" s="472" t="s">
        <v>1912</v>
      </c>
      <c r="FU6" s="340">
        <v>15</v>
      </c>
      <c r="FV6" s="306" t="s">
        <v>1928</v>
      </c>
      <c r="FW6" s="263">
        <f>FW12</f>
        <v>1800.01</v>
      </c>
      <c r="FX6" s="340" t="s">
        <v>1880</v>
      </c>
      <c r="FY6" s="259">
        <v>-77000</v>
      </c>
      <c r="FZ6" s="340" t="s">
        <v>633</v>
      </c>
      <c r="GA6" s="340">
        <f>16500-1200-176.22</f>
        <v>15123.78</v>
      </c>
      <c r="GB6" s="340" t="s">
        <v>352</v>
      </c>
      <c r="GC6" s="263">
        <f>SUM(GC13:GC51)</f>
        <v>69023.47</v>
      </c>
      <c r="GD6" s="340" t="s">
        <v>1880</v>
      </c>
      <c r="GE6" s="259">
        <v>-78000</v>
      </c>
      <c r="GF6" s="340" t="s">
        <v>633</v>
      </c>
      <c r="GG6" s="340">
        <f>16500-1200-176.22</f>
        <v>15123.78</v>
      </c>
      <c r="GH6" s="340" t="s">
        <v>352</v>
      </c>
      <c r="GI6" s="263">
        <f>SUM(GI13:GI49)</f>
        <v>9656.9599999999991</v>
      </c>
      <c r="GJ6" s="340" t="s">
        <v>1880</v>
      </c>
      <c r="GK6" s="259">
        <v>-80000</v>
      </c>
      <c r="GM6" s="240"/>
      <c r="GN6" s="340" t="s">
        <v>352</v>
      </c>
      <c r="GO6" s="263">
        <f>SUM(GO13:GO58)</f>
        <v>5728.8499999999995</v>
      </c>
      <c r="GP6" s="340" t="s">
        <v>1880</v>
      </c>
      <c r="GQ6" s="259">
        <v>-81000</v>
      </c>
      <c r="GR6" s="340" t="s">
        <v>2183</v>
      </c>
      <c r="GS6" s="340">
        <v>-1437.02</v>
      </c>
      <c r="GT6" s="340" t="s">
        <v>352</v>
      </c>
      <c r="GU6" s="263">
        <f>SUM(GU13:GU56)</f>
        <v>90984.639999999999</v>
      </c>
      <c r="GV6" s="340" t="s">
        <v>1880</v>
      </c>
      <c r="GW6" s="259">
        <v>-82000</v>
      </c>
      <c r="GY6" s="240"/>
      <c r="GZ6" s="306" t="s">
        <v>1928</v>
      </c>
      <c r="HA6" s="263">
        <f>SUM(HA12:HA12)</f>
        <v>1800.06</v>
      </c>
      <c r="HB6" s="340" t="s">
        <v>2101</v>
      </c>
      <c r="HC6" s="259"/>
      <c r="HD6" s="340" t="s">
        <v>2183</v>
      </c>
      <c r="HE6" s="340">
        <v>-1437.02</v>
      </c>
      <c r="HF6" s="340" t="s">
        <v>352</v>
      </c>
      <c r="HG6" s="263">
        <f>SUM(HG13:HG45)</f>
        <v>27438.16</v>
      </c>
      <c r="HH6" s="340" t="s">
        <v>1880</v>
      </c>
      <c r="HI6" s="259">
        <v>-82000</v>
      </c>
      <c r="HJ6" s="340" t="s">
        <v>2128</v>
      </c>
      <c r="HK6" s="340">
        <f>50+15</f>
        <v>65</v>
      </c>
      <c r="HL6" s="340" t="s">
        <v>352</v>
      </c>
      <c r="HM6" s="260">
        <f>SUM(HM7:HM39)</f>
        <v>27357.731</v>
      </c>
      <c r="HN6" s="340" t="s">
        <v>1880</v>
      </c>
      <c r="HO6" s="259">
        <v>-77000</v>
      </c>
      <c r="HP6" s="340" t="s">
        <v>2199</v>
      </c>
      <c r="HQ6" s="340">
        <v>215.57</v>
      </c>
      <c r="HR6" s="305" t="s">
        <v>1002</v>
      </c>
      <c r="HS6" s="340">
        <v>1900.09</v>
      </c>
      <c r="HT6" s="473" t="s">
        <v>2172</v>
      </c>
      <c r="HU6" s="474">
        <f>HO6+HT7</f>
        <v>-70000</v>
      </c>
      <c r="HV6" s="340" t="s">
        <v>2222</v>
      </c>
      <c r="HW6" s="240">
        <v>679999</v>
      </c>
      <c r="HX6" s="340" t="s">
        <v>1203</v>
      </c>
      <c r="HY6" s="263">
        <f>HY2-HY7</f>
        <v>0.61000000010244548</v>
      </c>
      <c r="HZ6" s="340" t="s">
        <v>2290</v>
      </c>
      <c r="IA6" s="202">
        <v>0</v>
      </c>
      <c r="IB6" s="340" t="s">
        <v>2270</v>
      </c>
      <c r="IC6" s="320">
        <v>17.8</v>
      </c>
      <c r="ID6" s="340" t="s">
        <v>352</v>
      </c>
      <c r="IE6" s="260">
        <f>SUM(IE7:IE59)</f>
        <v>59937.460000000006</v>
      </c>
      <c r="IF6" s="285" t="s">
        <v>1631</v>
      </c>
      <c r="IG6" s="341">
        <v>0.08</v>
      </c>
      <c r="IH6" s="340" t="s">
        <v>2378</v>
      </c>
      <c r="II6" s="320">
        <v>150</v>
      </c>
      <c r="IJ6" s="340" t="s">
        <v>352</v>
      </c>
      <c r="IK6" s="260">
        <f>SUM(IK7:IK61)</f>
        <v>13099.409999999998</v>
      </c>
      <c r="IL6" s="340" t="s">
        <v>2362</v>
      </c>
      <c r="IM6" s="259">
        <v>235000</v>
      </c>
      <c r="IO6" s="320"/>
      <c r="IP6" s="305" t="s">
        <v>2395</v>
      </c>
      <c r="IQ6" s="202">
        <v>26</v>
      </c>
      <c r="IR6" s="340" t="s">
        <v>2362</v>
      </c>
      <c r="IS6" s="259">
        <v>305005</v>
      </c>
      <c r="IT6" s="340" t="s">
        <v>2573</v>
      </c>
      <c r="IU6" s="320">
        <v>-30</v>
      </c>
      <c r="IV6" s="340" t="s">
        <v>352</v>
      </c>
      <c r="IW6" s="260">
        <f>SUM(IW7:IW40)</f>
        <v>11439.500000000004</v>
      </c>
      <c r="IX6" s="340" t="s">
        <v>2512</v>
      </c>
      <c r="IY6" s="358">
        <v>0.13300000000000001</v>
      </c>
      <c r="IZ6" s="340" t="s">
        <v>2508</v>
      </c>
      <c r="JA6" s="320">
        <f>-1300</f>
        <v>-1300</v>
      </c>
      <c r="JB6" s="340" t="s">
        <v>352</v>
      </c>
      <c r="JC6" s="260">
        <f>SUM(JC7:JC49)</f>
        <v>11142.751999999997</v>
      </c>
      <c r="JD6" s="340" t="s">
        <v>2664</v>
      </c>
      <c r="JE6" s="259">
        <f>-140000-71000</f>
        <v>-211000</v>
      </c>
      <c r="JF6" s="340" t="s">
        <v>2508</v>
      </c>
      <c r="JG6" s="320">
        <v>-1401</v>
      </c>
      <c r="JH6" s="192" t="s">
        <v>2612</v>
      </c>
      <c r="JI6" s="340">
        <v>2000.06</v>
      </c>
      <c r="JJ6" s="340" t="s">
        <v>2664</v>
      </c>
      <c r="JK6" s="259">
        <v>-71000</v>
      </c>
      <c r="JM6" s="320"/>
      <c r="JN6" s="192" t="s">
        <v>2655</v>
      </c>
      <c r="JO6" s="340">
        <v>1000.07</v>
      </c>
      <c r="JP6" s="204" t="s">
        <v>2807</v>
      </c>
      <c r="JQ6" s="318"/>
      <c r="JR6" s="340" t="s">
        <v>2559</v>
      </c>
      <c r="JS6" s="468" t="s">
        <v>2702</v>
      </c>
      <c r="JT6" s="414" t="s">
        <v>2793</v>
      </c>
      <c r="JU6" s="423">
        <v>2000</v>
      </c>
      <c r="JV6" s="319" t="s">
        <v>2571</v>
      </c>
      <c r="JW6" s="259">
        <v>-4000</v>
      </c>
      <c r="JX6" s="340" t="s">
        <v>2508</v>
      </c>
      <c r="JY6" s="320">
        <v>-1800</v>
      </c>
      <c r="JZ6" s="414" t="s">
        <v>2784</v>
      </c>
      <c r="KA6" s="202">
        <v>1000.08</v>
      </c>
      <c r="KB6" s="285" t="s">
        <v>2572</v>
      </c>
      <c r="KC6" s="318">
        <v>-82000</v>
      </c>
      <c r="KE6" s="320"/>
      <c r="KF6" s="414" t="s">
        <v>1002</v>
      </c>
      <c r="KG6" s="340">
        <v>1900.09</v>
      </c>
      <c r="KH6" s="204" t="s">
        <v>2875</v>
      </c>
      <c r="KI6" s="318">
        <v>150000</v>
      </c>
      <c r="KJ6" s="340" t="s">
        <v>2904</v>
      </c>
      <c r="KK6" s="320">
        <v>-5.01</v>
      </c>
      <c r="KL6" s="445" t="s">
        <v>1002</v>
      </c>
      <c r="KM6" s="444">
        <v>1900.1</v>
      </c>
      <c r="KN6" s="452">
        <v>150000</v>
      </c>
      <c r="KO6" s="453">
        <v>45356</v>
      </c>
      <c r="KQ6" s="320"/>
      <c r="KR6" s="445" t="s">
        <v>3036</v>
      </c>
      <c r="KS6" s="444">
        <v>2000</v>
      </c>
      <c r="KT6" s="452">
        <v>20000</v>
      </c>
      <c r="KU6" s="453">
        <v>45370</v>
      </c>
      <c r="KV6" s="591" t="s">
        <v>3081</v>
      </c>
      <c r="KW6" s="202">
        <v>6.66</v>
      </c>
      <c r="KX6" s="445" t="s">
        <v>3091</v>
      </c>
      <c r="KY6" s="260">
        <v>50</v>
      </c>
      <c r="KZ6" s="452">
        <v>10000</v>
      </c>
      <c r="LA6" s="453">
        <v>45440</v>
      </c>
      <c r="LB6" s="627" t="s">
        <v>3188</v>
      </c>
      <c r="LC6" s="202">
        <v>200</v>
      </c>
      <c r="LD6" s="445" t="s">
        <v>3102</v>
      </c>
      <c r="LE6" s="260" t="s">
        <v>3101</v>
      </c>
      <c r="LF6" s="492" t="s">
        <v>2991</v>
      </c>
      <c r="LG6" s="454">
        <v>272000</v>
      </c>
      <c r="LH6" s="679"/>
      <c r="LI6" s="468"/>
      <c r="LJ6" s="445" t="s">
        <v>3102</v>
      </c>
      <c r="LK6" s="260" t="s">
        <v>3228</v>
      </c>
      <c r="LL6" s="492" t="s">
        <v>2991</v>
      </c>
      <c r="LM6" s="454">
        <v>282000</v>
      </c>
      <c r="LN6" s="689"/>
      <c r="LO6" s="468"/>
      <c r="LP6" s="445" t="s">
        <v>3102</v>
      </c>
      <c r="LQ6" s="260" t="s">
        <v>3228</v>
      </c>
      <c r="LR6" s="492" t="s">
        <v>2991</v>
      </c>
      <c r="LS6" s="454">
        <v>282000</v>
      </c>
    </row>
    <row r="7" spans="1:333" ht="13.5" thickBot="1">
      <c r="A7" s="466" t="s">
        <v>443</v>
      </c>
      <c r="B7" s="467">
        <v>18723</v>
      </c>
      <c r="E7" s="340" t="s">
        <v>1003</v>
      </c>
      <c r="G7" s="466" t="s">
        <v>443</v>
      </c>
      <c r="H7" s="467">
        <v>6223</v>
      </c>
      <c r="K7" s="340" t="s">
        <v>1003</v>
      </c>
      <c r="M7" s="466"/>
      <c r="N7" s="467"/>
      <c r="P7" s="340">
        <v>652</v>
      </c>
      <c r="Q7" s="340" t="s">
        <v>359</v>
      </c>
      <c r="R7" s="340">
        <f>SUM(R14:R16)</f>
        <v>6200.1900000000005</v>
      </c>
      <c r="S7" s="466"/>
      <c r="T7" s="467"/>
      <c r="W7" s="340" t="s">
        <v>359</v>
      </c>
      <c r="X7" s="340">
        <f>SUM(X13:X14)</f>
        <v>2600.11</v>
      </c>
      <c r="Y7" s="466"/>
      <c r="Z7" s="467"/>
      <c r="AC7" s="340" t="s">
        <v>1003</v>
      </c>
      <c r="AD7" s="340">
        <f>SUM(AD18:AD22)</f>
        <v>316.351</v>
      </c>
      <c r="AE7" s="466"/>
      <c r="AF7" s="467"/>
      <c r="AG7" s="340" t="s">
        <v>1099</v>
      </c>
      <c r="AH7" s="340">
        <v>15</v>
      </c>
      <c r="AI7" s="340" t="s">
        <v>1003</v>
      </c>
      <c r="AJ7" s="340">
        <f>SUM(AJ18:AJ22)</f>
        <v>520</v>
      </c>
      <c r="AK7" s="475"/>
      <c r="AL7" s="476"/>
      <c r="AO7" s="340" t="s">
        <v>1003</v>
      </c>
      <c r="AP7" s="340">
        <f>SUM(AP25:AP31)</f>
        <v>527.4</v>
      </c>
      <c r="AQ7" s="475" t="s">
        <v>1111</v>
      </c>
      <c r="AR7" s="476">
        <v>-154</v>
      </c>
      <c r="AU7" s="340" t="s">
        <v>1003</v>
      </c>
      <c r="AV7" s="340">
        <f>SUM(AV25:AV31)</f>
        <v>466.23</v>
      </c>
      <c r="AW7" s="475" t="s">
        <v>1111</v>
      </c>
      <c r="AX7" s="476">
        <v>-152</v>
      </c>
      <c r="BA7" s="475" t="s">
        <v>1111</v>
      </c>
      <c r="BB7" s="467">
        <f t="shared" si="0"/>
        <v>-152</v>
      </c>
      <c r="BE7" s="340" t="s">
        <v>1003</v>
      </c>
      <c r="BF7" s="340">
        <f>SUM(BF23:BF29)</f>
        <v>337.28</v>
      </c>
      <c r="BG7" s="475" t="s">
        <v>1111</v>
      </c>
      <c r="BH7" s="476">
        <v>-5</v>
      </c>
      <c r="BK7" s="217" t="s">
        <v>1003</v>
      </c>
      <c r="BL7" s="217">
        <f>SUM(BL23:BL29)</f>
        <v>216.62</v>
      </c>
      <c r="BM7" s="475" t="s">
        <v>1269</v>
      </c>
      <c r="BN7" s="476">
        <v>-33</v>
      </c>
      <c r="BQ7" s="217" t="s">
        <v>1003</v>
      </c>
      <c r="BR7" s="217">
        <f>SUM(BR23:BR29)</f>
        <v>409.53999999999996</v>
      </c>
      <c r="BS7" s="475" t="s">
        <v>1269</v>
      </c>
      <c r="BT7" s="477">
        <v>-25</v>
      </c>
      <c r="BW7" s="217" t="s">
        <v>1003</v>
      </c>
      <c r="BX7" s="217">
        <f>SUM(BX23:BX29)</f>
        <v>325.44</v>
      </c>
      <c r="BY7" s="475" t="s">
        <v>1269</v>
      </c>
      <c r="BZ7" s="476">
        <v>-22</v>
      </c>
      <c r="CA7" s="204" t="s">
        <v>1276</v>
      </c>
      <c r="CB7" s="217">
        <v>300</v>
      </c>
      <c r="CC7" s="217" t="s">
        <v>1003</v>
      </c>
      <c r="CD7" s="217">
        <f>SUM(CD23:CD29)</f>
        <v>454.33100000000002</v>
      </c>
      <c r="CE7" s="475" t="s">
        <v>1269</v>
      </c>
      <c r="CF7" s="476">
        <v>-12</v>
      </c>
      <c r="CG7" s="217" t="s">
        <v>1053</v>
      </c>
      <c r="CI7" s="217" t="s">
        <v>1003</v>
      </c>
      <c r="CJ7" s="217">
        <f>SUM(CJ22:CJ29)</f>
        <v>567.42099999999994</v>
      </c>
      <c r="CK7" s="475" t="s">
        <v>1269</v>
      </c>
      <c r="CL7" s="476">
        <v>-15</v>
      </c>
      <c r="CM7" s="217" t="s">
        <v>1053</v>
      </c>
      <c r="CO7" s="217" t="s">
        <v>1003</v>
      </c>
      <c r="CP7" s="217">
        <f>SUM(CP21:CP27)</f>
        <v>440.99099999999999</v>
      </c>
      <c r="CQ7" s="475" t="s">
        <v>1269</v>
      </c>
      <c r="CR7" s="476">
        <v>-21</v>
      </c>
      <c r="CS7" s="217" t="s">
        <v>1053</v>
      </c>
      <c r="CU7" s="217" t="s">
        <v>1003</v>
      </c>
      <c r="CV7" s="217">
        <f>SUM(CV19:CV25)</f>
        <v>450.45100000000002</v>
      </c>
      <c r="CW7" s="466" t="s">
        <v>1269</v>
      </c>
      <c r="CX7" s="467">
        <v>-18</v>
      </c>
      <c r="CY7" s="217" t="s">
        <v>1053</v>
      </c>
      <c r="DA7" s="270" t="s">
        <v>1392</v>
      </c>
      <c r="DB7" s="217">
        <f>DB16</f>
        <v>288.75</v>
      </c>
      <c r="DC7" s="466" t="s">
        <v>1390</v>
      </c>
      <c r="DD7" s="467">
        <v>15000</v>
      </c>
      <c r="DE7" s="217" t="s">
        <v>1053</v>
      </c>
      <c r="DG7" s="270" t="s">
        <v>1392</v>
      </c>
      <c r="DH7" s="274">
        <f>SUM(DH23:DH25)</f>
        <v>566.44000000000005</v>
      </c>
      <c r="DI7" s="466" t="s">
        <v>1390</v>
      </c>
      <c r="DJ7" s="476">
        <v>0</v>
      </c>
      <c r="DK7" s="217" t="s">
        <v>1053</v>
      </c>
      <c r="DM7" s="270" t="s">
        <v>1392</v>
      </c>
      <c r="DN7" s="274">
        <f>SUM(DN19:DN20)</f>
        <v>2874.05</v>
      </c>
      <c r="DO7" s="285" t="s">
        <v>1131</v>
      </c>
      <c r="DP7" s="261">
        <v>2140.8000000000002</v>
      </c>
      <c r="DQ7" s="478" t="s">
        <v>1580</v>
      </c>
      <c r="DS7" s="294" t="s">
        <v>359</v>
      </c>
      <c r="DT7" s="293">
        <f>SUM(DT13:DT17)</f>
        <v>36900.06</v>
      </c>
      <c r="DU7" s="479" t="s">
        <v>1412</v>
      </c>
      <c r="DV7" s="261" t="s">
        <v>1542</v>
      </c>
      <c r="DW7" s="197" t="s">
        <v>1580</v>
      </c>
      <c r="DY7" s="296" t="s">
        <v>1392</v>
      </c>
      <c r="DZ7" s="340">
        <f>SUM(DZ13:DZ13)</f>
        <v>0</v>
      </c>
      <c r="EA7" s="218" t="s">
        <v>1148</v>
      </c>
      <c r="EB7" s="218"/>
      <c r="EC7" s="340" t="s">
        <v>1561</v>
      </c>
      <c r="ED7" s="340">
        <v>42</v>
      </c>
      <c r="EE7" s="296" t="s">
        <v>1392</v>
      </c>
      <c r="EF7" s="340">
        <f>SUM(EF13:EF13)</f>
        <v>0</v>
      </c>
      <c r="EH7" s="340" t="s">
        <v>1131</v>
      </c>
      <c r="EI7" s="204">
        <v>441</v>
      </c>
      <c r="EJ7" s="340" t="s">
        <v>1317</v>
      </c>
      <c r="EL7" s="304" t="s">
        <v>1392</v>
      </c>
      <c r="EM7" s="340">
        <f>SUM(EM14:EM14)</f>
        <v>1476</v>
      </c>
      <c r="EN7" s="340" t="s">
        <v>1131</v>
      </c>
      <c r="EO7" s="204">
        <v>441</v>
      </c>
      <c r="EP7" s="340" t="s">
        <v>1561</v>
      </c>
      <c r="EQ7" s="340">
        <v>40</v>
      </c>
      <c r="ER7" s="302" t="s">
        <v>1684</v>
      </c>
      <c r="ES7" s="340">
        <f>SUM(ES16:ES23)</f>
        <v>368.37999999999994</v>
      </c>
      <c r="ET7" s="340" t="s">
        <v>1682</v>
      </c>
      <c r="EU7" s="204">
        <v>441</v>
      </c>
      <c r="EV7" s="340" t="s">
        <v>1561</v>
      </c>
      <c r="EW7" s="340">
        <v>38</v>
      </c>
      <c r="EX7" s="302" t="s">
        <v>1684</v>
      </c>
      <c r="EY7" s="340">
        <f>SUM(EY15:EY22)</f>
        <v>667.03</v>
      </c>
      <c r="EZ7" s="340" t="s">
        <v>1682</v>
      </c>
      <c r="FA7" s="204">
        <v>441</v>
      </c>
      <c r="FB7" s="340" t="s">
        <v>1561</v>
      </c>
      <c r="FC7" s="340">
        <v>45</v>
      </c>
      <c r="FD7" s="302" t="s">
        <v>1684</v>
      </c>
      <c r="FE7" s="340">
        <f>SUM(FE16:FE22)</f>
        <v>397.78999999999996</v>
      </c>
      <c r="FF7" s="340" t="s">
        <v>1682</v>
      </c>
      <c r="FG7" s="204">
        <f>333+1092</f>
        <v>1425</v>
      </c>
      <c r="FH7" s="197" t="s">
        <v>1580</v>
      </c>
      <c r="FJ7" s="302" t="s">
        <v>1684</v>
      </c>
      <c r="FK7" s="340">
        <f>SUM(FK15:FK22)</f>
        <v>474.22999999999996</v>
      </c>
      <c r="FL7" s="319" t="s">
        <v>1506</v>
      </c>
      <c r="FM7" s="340">
        <v>2818</v>
      </c>
      <c r="FN7" s="340" t="s">
        <v>1841</v>
      </c>
      <c r="FO7" s="240">
        <v>20000</v>
      </c>
      <c r="FP7" s="312" t="s">
        <v>1929</v>
      </c>
      <c r="FQ7" s="263">
        <f>SUM(FQ13:FQ14)</f>
        <v>11000</v>
      </c>
      <c r="FR7" s="319" t="s">
        <v>1527</v>
      </c>
      <c r="FS7" s="340">
        <v>1240</v>
      </c>
      <c r="FT7" s="340" t="s">
        <v>1911</v>
      </c>
      <c r="FU7" s="240"/>
      <c r="FV7" s="312" t="s">
        <v>1929</v>
      </c>
      <c r="FW7" s="263">
        <f>SUM(FW13:FW15)</f>
        <v>69300</v>
      </c>
      <c r="FX7" s="285" t="s">
        <v>1630</v>
      </c>
      <c r="FY7" s="340">
        <v>-907</v>
      </c>
      <c r="FZ7" s="340" t="s">
        <v>441</v>
      </c>
      <c r="GA7" s="240">
        <f>25200*0.8</f>
        <v>20160</v>
      </c>
      <c r="GB7" s="306" t="s">
        <v>1928</v>
      </c>
      <c r="GC7" s="263">
        <f>SUM(GC13:GC14)</f>
        <v>2800.02</v>
      </c>
      <c r="GD7" s="285" t="s">
        <v>1630</v>
      </c>
      <c r="GE7" s="340">
        <v>-1216</v>
      </c>
      <c r="GF7" s="340" t="s">
        <v>441</v>
      </c>
      <c r="GG7" s="240">
        <f>10800-4800*0.2</f>
        <v>9840</v>
      </c>
      <c r="GH7" s="306" t="s">
        <v>1928</v>
      </c>
      <c r="GI7" s="263">
        <f>SUM(GI13:GI14)</f>
        <v>3800.0299999999997</v>
      </c>
      <c r="GJ7" s="285" t="s">
        <v>1630</v>
      </c>
      <c r="GK7" s="340">
        <v>-958</v>
      </c>
      <c r="GL7" s="340" t="s">
        <v>1962</v>
      </c>
      <c r="GN7" s="306" t="s">
        <v>1928</v>
      </c>
      <c r="GO7" s="263">
        <f>SUM(GO13:GO13)</f>
        <v>1004</v>
      </c>
      <c r="GP7" s="285" t="s">
        <v>1630</v>
      </c>
      <c r="GQ7" s="340">
        <v>-1572</v>
      </c>
      <c r="GS7" s="240"/>
      <c r="GT7" s="306" t="s">
        <v>1928</v>
      </c>
      <c r="GU7" s="263">
        <f>SUM(GU13:GU15)</f>
        <v>4635.2400000000007</v>
      </c>
      <c r="GV7" s="285" t="s">
        <v>1630</v>
      </c>
      <c r="GW7" s="340">
        <v>-1226</v>
      </c>
      <c r="GZ7" s="312" t="s">
        <v>1929</v>
      </c>
      <c r="HA7" s="263">
        <f>SUM(HA13:HA13)</f>
        <v>2104.9333333333334</v>
      </c>
      <c r="HB7" s="340" t="s">
        <v>1880</v>
      </c>
      <c r="HC7" s="259">
        <v>-82000</v>
      </c>
      <c r="HF7" s="306" t="s">
        <v>1928</v>
      </c>
      <c r="HG7" s="263">
        <f>SUM(HG13:HG13)</f>
        <v>1900.07</v>
      </c>
      <c r="HH7" s="285" t="s">
        <v>1630</v>
      </c>
      <c r="HI7" s="340">
        <v>-1696</v>
      </c>
      <c r="HJ7" s="340" t="s">
        <v>2168</v>
      </c>
      <c r="HK7" s="340">
        <v>30.001000000000001</v>
      </c>
      <c r="HL7" s="305" t="s">
        <v>1002</v>
      </c>
      <c r="HM7" s="340">
        <v>1900.08</v>
      </c>
      <c r="HN7" s="340" t="s">
        <v>2137</v>
      </c>
      <c r="HO7" s="259"/>
      <c r="HQ7" s="240"/>
      <c r="HR7" s="300" t="s">
        <v>1986</v>
      </c>
      <c r="HS7" s="340">
        <v>1059.3</v>
      </c>
      <c r="HT7" s="480">
        <v>7000</v>
      </c>
      <c r="HU7" s="481" t="s">
        <v>2173</v>
      </c>
      <c r="HV7" s="340" t="s">
        <v>2128</v>
      </c>
      <c r="HW7" s="240">
        <v>41</v>
      </c>
      <c r="HX7" s="340" t="s">
        <v>352</v>
      </c>
      <c r="HY7" s="260">
        <f>SUM(HY8:HY55)</f>
        <v>198928.51</v>
      </c>
      <c r="HZ7" s="285" t="s">
        <v>1630</v>
      </c>
      <c r="IA7" s="340">
        <v>-889</v>
      </c>
      <c r="IB7" s="340" t="s">
        <v>1279</v>
      </c>
      <c r="IC7" s="320">
        <v>24.9</v>
      </c>
      <c r="ID7" s="305" t="s">
        <v>1002</v>
      </c>
      <c r="IE7" s="340">
        <v>1900.11</v>
      </c>
      <c r="IF7" s="204" t="s">
        <v>2288</v>
      </c>
      <c r="IG7" s="469">
        <v>-8</v>
      </c>
      <c r="IH7" s="340" t="s">
        <v>2412</v>
      </c>
      <c r="II7" s="320">
        <v>2.27</v>
      </c>
      <c r="IJ7" s="305" t="s">
        <v>2341</v>
      </c>
      <c r="IK7" s="340">
        <v>15</v>
      </c>
      <c r="IL7" s="285" t="s">
        <v>1630</v>
      </c>
      <c r="IM7" s="340">
        <v>-2488</v>
      </c>
      <c r="IN7" s="340" t="s">
        <v>2439</v>
      </c>
      <c r="IO7" s="320"/>
      <c r="IP7" s="305" t="s">
        <v>2430</v>
      </c>
      <c r="IQ7" s="202">
        <v>17</v>
      </c>
      <c r="IR7" s="285" t="s">
        <v>2403</v>
      </c>
      <c r="IS7" s="341">
        <v>0</v>
      </c>
      <c r="IT7" s="340" t="s">
        <v>2501</v>
      </c>
      <c r="IU7" s="320">
        <v>100</v>
      </c>
      <c r="IV7" s="305" t="s">
        <v>2395</v>
      </c>
      <c r="IW7" s="202">
        <v>11</v>
      </c>
      <c r="IX7" s="285" t="s">
        <v>2572</v>
      </c>
      <c r="IY7" s="318">
        <v>-75000</v>
      </c>
      <c r="IZ7" s="340" t="s">
        <v>2573</v>
      </c>
      <c r="JA7" s="320">
        <v>-30</v>
      </c>
      <c r="JB7" s="192" t="s">
        <v>1002</v>
      </c>
      <c r="JC7" s="202">
        <v>1900.03</v>
      </c>
      <c r="JD7" s="285" t="s">
        <v>2572</v>
      </c>
      <c r="JE7" s="318">
        <v>-75000</v>
      </c>
      <c r="JG7" s="320"/>
      <c r="JH7" s="192" t="s">
        <v>1002</v>
      </c>
      <c r="JI7" s="202">
        <v>1900.04</v>
      </c>
      <c r="JJ7" s="285" t="s">
        <v>2572</v>
      </c>
      <c r="JK7" s="318">
        <v>-75000</v>
      </c>
      <c r="JL7" s="340" t="s">
        <v>2439</v>
      </c>
      <c r="JM7" s="320"/>
      <c r="JN7" s="192" t="s">
        <v>1002</v>
      </c>
      <c r="JO7" s="202">
        <v>1900.05</v>
      </c>
      <c r="JP7" s="319" t="s">
        <v>2571</v>
      </c>
      <c r="JQ7" s="259">
        <v>-4000</v>
      </c>
      <c r="JR7" s="340" t="s">
        <v>2730</v>
      </c>
      <c r="JS7" s="468">
        <v>236.43</v>
      </c>
      <c r="JT7" s="414" t="s">
        <v>1002</v>
      </c>
      <c r="JU7" s="340">
        <v>1900.06</v>
      </c>
      <c r="JV7" s="340" t="s">
        <v>2677</v>
      </c>
      <c r="JW7" s="259">
        <v>585077</v>
      </c>
      <c r="JY7" s="320"/>
      <c r="JZ7" s="414" t="s">
        <v>1002</v>
      </c>
      <c r="KA7" s="340">
        <f>1900.07</f>
        <v>1900.07</v>
      </c>
      <c r="KB7" s="319" t="s">
        <v>2571</v>
      </c>
      <c r="KC7" s="259">
        <v>-4000</v>
      </c>
      <c r="KD7" s="340" t="s">
        <v>2860</v>
      </c>
      <c r="KE7" s="482">
        <f>ABS(KC3+KC4)</f>
        <v>211000</v>
      </c>
      <c r="KF7" s="300" t="s">
        <v>2866</v>
      </c>
      <c r="KG7" s="340">
        <v>10.25</v>
      </c>
      <c r="KH7" s="340" t="s">
        <v>2898</v>
      </c>
      <c r="KI7" s="259">
        <v>-70600</v>
      </c>
      <c r="KJ7" s="340" t="s">
        <v>2984</v>
      </c>
      <c r="KK7" s="320">
        <v>-1800</v>
      </c>
      <c r="KL7" s="300" t="s">
        <v>2925</v>
      </c>
      <c r="KM7" s="340">
        <v>1112.4000000000001</v>
      </c>
      <c r="KN7" s="452">
        <v>20000</v>
      </c>
      <c r="KO7" s="453">
        <v>45370</v>
      </c>
      <c r="KP7" s="340" t="s">
        <v>3080</v>
      </c>
      <c r="KQ7" s="331"/>
      <c r="KR7" s="445" t="s">
        <v>1002</v>
      </c>
      <c r="KS7" s="444">
        <v>1900.11</v>
      </c>
      <c r="KT7" s="452">
        <v>20000</v>
      </c>
      <c r="KU7" s="453">
        <v>45384</v>
      </c>
      <c r="KV7" s="591"/>
      <c r="KW7" s="202"/>
      <c r="KX7" s="445" t="s">
        <v>1002</v>
      </c>
      <c r="KY7" s="444">
        <v>1900.12</v>
      </c>
      <c r="KZ7" s="492" t="s">
        <v>2991</v>
      </c>
      <c r="LA7" s="454">
        <v>262000</v>
      </c>
      <c r="LB7" s="627"/>
      <c r="LC7" s="636"/>
      <c r="LD7" s="445" t="s">
        <v>3136</v>
      </c>
      <c r="LE7" s="260">
        <f>1000+2000+5000</f>
        <v>8000</v>
      </c>
      <c r="LF7" s="622" t="s">
        <v>2898</v>
      </c>
      <c r="LG7" s="259">
        <v>-70600</v>
      </c>
      <c r="LH7" s="662" t="s">
        <v>3217</v>
      </c>
      <c r="LI7" s="202" t="s">
        <v>3216</v>
      </c>
      <c r="LJ7" s="445" t="s">
        <v>3276</v>
      </c>
      <c r="LK7" s="444">
        <v>1900.02</v>
      </c>
      <c r="LL7" s="656" t="s">
        <v>2898</v>
      </c>
      <c r="LM7" s="259">
        <v>-70600</v>
      </c>
      <c r="LN7" s="694"/>
      <c r="LO7" s="636"/>
      <c r="LP7" s="445" t="s">
        <v>1002</v>
      </c>
      <c r="LQ7" s="444"/>
      <c r="LR7" s="688" t="s">
        <v>2898</v>
      </c>
      <c r="LS7" s="259">
        <v>-70600</v>
      </c>
    </row>
    <row r="8" spans="1:333" ht="12.75" customHeight="1">
      <c r="A8" s="466"/>
      <c r="B8" s="467"/>
      <c r="E8" s="340" t="s">
        <v>1005</v>
      </c>
      <c r="G8" s="466"/>
      <c r="H8" s="467"/>
      <c r="K8" s="340" t="s">
        <v>1005</v>
      </c>
      <c r="M8" s="285" t="s">
        <v>509</v>
      </c>
      <c r="N8" s="286">
        <v>100.001</v>
      </c>
      <c r="P8" s="340">
        <v>76</v>
      </c>
      <c r="Q8" s="340" t="s">
        <v>1003</v>
      </c>
      <c r="R8" s="340">
        <f>SUM(R30:R34)</f>
        <v>290.25</v>
      </c>
      <c r="S8" s="285" t="s">
        <v>1058</v>
      </c>
      <c r="T8" s="286">
        <v>200.001</v>
      </c>
      <c r="W8" s="340" t="s">
        <v>1003</v>
      </c>
      <c r="X8" s="340">
        <f>SUM(X25:X29)</f>
        <v>396.68999999999994</v>
      </c>
      <c r="Y8" s="285" t="s">
        <v>1058</v>
      </c>
      <c r="Z8" s="286">
        <v>150.001</v>
      </c>
      <c r="AA8" s="340" t="s">
        <v>1075</v>
      </c>
      <c r="AB8" s="340">
        <v>0</v>
      </c>
      <c r="AC8" s="340" t="s">
        <v>1005</v>
      </c>
      <c r="AD8" s="340">
        <f>SUM(AD14:AD17)</f>
        <v>0</v>
      </c>
      <c r="AE8" s="285" t="s">
        <v>1058</v>
      </c>
      <c r="AF8" s="286">
        <v>200.001</v>
      </c>
      <c r="AG8" s="340" t="s">
        <v>1075</v>
      </c>
      <c r="AH8" s="340">
        <v>0</v>
      </c>
      <c r="AI8" s="340" t="s">
        <v>1005</v>
      </c>
      <c r="AJ8" s="340">
        <f>SUM(AJ14:AJ17)</f>
        <v>0</v>
      </c>
      <c r="AK8" s="483" t="s">
        <v>1058</v>
      </c>
      <c r="AL8" s="484">
        <v>250</v>
      </c>
      <c r="AM8" s="340" t="s">
        <v>2027</v>
      </c>
      <c r="AN8" s="340">
        <v>80</v>
      </c>
      <c r="AO8" s="340" t="s">
        <v>1005</v>
      </c>
      <c r="AP8" s="340">
        <f>SUM(AP20:AP24)</f>
        <v>465</v>
      </c>
      <c r="AQ8" s="483" t="s">
        <v>1058</v>
      </c>
      <c r="AR8" s="484">
        <v>100</v>
      </c>
      <c r="AS8" s="340" t="s">
        <v>1053</v>
      </c>
      <c r="AU8" s="340" t="s">
        <v>1005</v>
      </c>
      <c r="AV8" s="340">
        <f>SUM(AV20:AV24)</f>
        <v>522</v>
      </c>
      <c r="AW8" s="483" t="s">
        <v>1058</v>
      </c>
      <c r="AX8" s="484">
        <v>200</v>
      </c>
      <c r="BA8" s="483" t="s">
        <v>1058</v>
      </c>
      <c r="BB8" s="467">
        <f t="shared" si="0"/>
        <v>200</v>
      </c>
      <c r="BC8" s="340" t="s">
        <v>1053</v>
      </c>
      <c r="BE8" s="340" t="s">
        <v>1005</v>
      </c>
      <c r="BF8" s="340">
        <f>SUM(BF18:BF22)</f>
        <v>1641.3799999999999</v>
      </c>
      <c r="BG8" s="483" t="s">
        <v>1058</v>
      </c>
      <c r="BH8" s="484">
        <v>150</v>
      </c>
      <c r="BI8" s="217" t="s">
        <v>1053</v>
      </c>
      <c r="BK8" s="217" t="s">
        <v>1005</v>
      </c>
      <c r="BL8" s="217">
        <f>SUM(BL18:BL22)</f>
        <v>387</v>
      </c>
      <c r="BM8" s="483" t="s">
        <v>1058</v>
      </c>
      <c r="BN8" s="484">
        <v>90</v>
      </c>
      <c r="BO8" s="217" t="s">
        <v>1053</v>
      </c>
      <c r="BQ8" s="217" t="s">
        <v>1005</v>
      </c>
      <c r="BR8" s="217">
        <f>SUM(BR18:BR22)</f>
        <v>452</v>
      </c>
      <c r="BS8" s="483" t="s">
        <v>1058</v>
      </c>
      <c r="BT8" s="485">
        <v>100</v>
      </c>
      <c r="BU8" s="217" t="s">
        <v>1053</v>
      </c>
      <c r="BW8" s="217" t="s">
        <v>1005</v>
      </c>
      <c r="BX8" s="217">
        <f>SUM(BX18:BX22)</f>
        <v>172</v>
      </c>
      <c r="BY8" s="483" t="s">
        <v>1058</v>
      </c>
      <c r="BZ8" s="486">
        <v>60</v>
      </c>
      <c r="CA8" s="217" t="s">
        <v>1053</v>
      </c>
      <c r="CC8" s="217" t="s">
        <v>1005</v>
      </c>
      <c r="CD8" s="217">
        <f>SUM(CD18:CD22)</f>
        <v>215</v>
      </c>
      <c r="CE8" s="483" t="s">
        <v>1058</v>
      </c>
      <c r="CF8" s="486">
        <v>110</v>
      </c>
      <c r="CG8" s="217" t="s">
        <v>1095</v>
      </c>
      <c r="CH8" s="217">
        <v>70</v>
      </c>
      <c r="CI8" s="217" t="s">
        <v>1005</v>
      </c>
      <c r="CJ8" s="217">
        <f>SUM(CJ19:CJ21)</f>
        <v>1488.1</v>
      </c>
      <c r="CK8" s="483" t="s">
        <v>1058</v>
      </c>
      <c r="CL8" s="486">
        <v>100</v>
      </c>
      <c r="CM8" s="217" t="s">
        <v>1095</v>
      </c>
      <c r="CN8" s="217">
        <v>63</v>
      </c>
      <c r="CO8" s="217" t="s">
        <v>1005</v>
      </c>
      <c r="CP8" s="217">
        <f>SUM(CP18:CP20)</f>
        <v>0</v>
      </c>
      <c r="CQ8" s="483" t="s">
        <v>1058</v>
      </c>
      <c r="CR8" s="486">
        <v>80</v>
      </c>
      <c r="CS8" s="217" t="s">
        <v>1370</v>
      </c>
      <c r="CT8" s="217">
        <v>60.96</v>
      </c>
      <c r="CU8" s="217" t="s">
        <v>1005</v>
      </c>
      <c r="CV8" s="217">
        <f>SUM(CV17:CV18)</f>
        <v>615.20000000000005</v>
      </c>
      <c r="CW8" s="285" t="s">
        <v>1131</v>
      </c>
      <c r="CX8" s="261">
        <v>2090.39</v>
      </c>
      <c r="CY8" s="217" t="s">
        <v>1370</v>
      </c>
      <c r="CZ8" s="217">
        <v>62</v>
      </c>
      <c r="DA8" s="267" t="s">
        <v>1005</v>
      </c>
      <c r="DB8" s="217">
        <f>SUM(DB17:DB17)</f>
        <v>1316.1</v>
      </c>
      <c r="DC8" s="466" t="s">
        <v>1269</v>
      </c>
      <c r="DD8" s="467">
        <v>-222</v>
      </c>
      <c r="DE8" s="217" t="s">
        <v>1370</v>
      </c>
      <c r="DF8" s="217">
        <v>67.11</v>
      </c>
      <c r="DG8" s="267" t="s">
        <v>1005</v>
      </c>
      <c r="DH8" s="274">
        <f>SUM(DH26:DH28)</f>
        <v>1232.1299999999999</v>
      </c>
      <c r="DI8" s="471" t="s">
        <v>1269</v>
      </c>
      <c r="DJ8" s="467">
        <v>0</v>
      </c>
      <c r="DK8" s="217" t="s">
        <v>1370</v>
      </c>
      <c r="DL8" s="217">
        <v>63</v>
      </c>
      <c r="DM8" s="267" t="s">
        <v>1581</v>
      </c>
      <c r="DN8" s="274">
        <f>SUM(DN21:DN23)</f>
        <v>189.2</v>
      </c>
      <c r="DO8" s="479" t="s">
        <v>1412</v>
      </c>
      <c r="DP8" s="261">
        <v>15108</v>
      </c>
      <c r="DQ8" s="217" t="s">
        <v>1561</v>
      </c>
      <c r="DR8" s="217">
        <v>64</v>
      </c>
      <c r="DS8" s="270" t="s">
        <v>1392</v>
      </c>
      <c r="DT8" s="274">
        <f>SUM(DT18:DT18)</f>
        <v>382</v>
      </c>
      <c r="DU8" s="218" t="s">
        <v>1148</v>
      </c>
      <c r="DV8" s="467"/>
      <c r="DW8" s="340" t="s">
        <v>1561</v>
      </c>
      <c r="DX8" s="340">
        <v>38</v>
      </c>
      <c r="DY8" s="241" t="s">
        <v>1581</v>
      </c>
      <c r="DZ8" s="340">
        <f>SUM(DZ14:DZ14)</f>
        <v>0</v>
      </c>
      <c r="EA8" s="218" t="s">
        <v>1096</v>
      </c>
      <c r="EB8" s="218">
        <v>-252</v>
      </c>
      <c r="EE8" s="241" t="s">
        <v>1581</v>
      </c>
      <c r="EF8" s="340">
        <f>SUM(EF14:EF14)</f>
        <v>0</v>
      </c>
      <c r="EH8" s="319" t="s">
        <v>1412</v>
      </c>
      <c r="EI8" s="204">
        <v>0</v>
      </c>
      <c r="EJ8" s="204" t="s">
        <v>1654</v>
      </c>
      <c r="EK8" s="340">
        <v>5</v>
      </c>
      <c r="EL8" s="301" t="s">
        <v>1681</v>
      </c>
      <c r="EM8" s="340">
        <f>SUM(EM15:EM15)</f>
        <v>28.119999999999997</v>
      </c>
      <c r="EN8" s="319" t="s">
        <v>1412</v>
      </c>
      <c r="EO8" s="204">
        <v>0</v>
      </c>
      <c r="ER8" s="303" t="s">
        <v>1683</v>
      </c>
      <c r="ES8" s="340">
        <f>SUM(ES24:ES24)</f>
        <v>0</v>
      </c>
      <c r="ET8" s="319" t="s">
        <v>1412</v>
      </c>
      <c r="EU8" s="204">
        <v>0</v>
      </c>
      <c r="EX8" s="303" t="s">
        <v>1683</v>
      </c>
      <c r="EY8" s="340">
        <f>SUM(EY23:EY25)</f>
        <v>59.949999999999996</v>
      </c>
      <c r="EZ8" s="319" t="s">
        <v>1412</v>
      </c>
      <c r="FA8" s="204">
        <v>0</v>
      </c>
      <c r="FD8" s="303" t="s">
        <v>1683</v>
      </c>
      <c r="FE8" s="340">
        <f>SUM(FE23:FE26)</f>
        <v>117.02</v>
      </c>
      <c r="FF8" s="319" t="s">
        <v>1412</v>
      </c>
      <c r="FG8" s="204">
        <v>0</v>
      </c>
      <c r="FH8" s="340" t="s">
        <v>1561</v>
      </c>
      <c r="FI8" s="340">
        <v>40</v>
      </c>
      <c r="FJ8" s="303" t="s">
        <v>1683</v>
      </c>
      <c r="FK8" s="340">
        <f>SUM(FK23:FK28)</f>
        <v>174.32999999999998</v>
      </c>
      <c r="FL8" s="340" t="s">
        <v>1682</v>
      </c>
      <c r="FM8" s="204">
        <f>283+1126</f>
        <v>1409</v>
      </c>
      <c r="FO8" s="240"/>
      <c r="FP8" s="302" t="s">
        <v>1684</v>
      </c>
      <c r="FQ8" s="340">
        <f>SUM(FQ18:FQ25)</f>
        <v>550.22</v>
      </c>
      <c r="FR8" s="319" t="s">
        <v>1506</v>
      </c>
      <c r="FS8" s="340">
        <v>3754</v>
      </c>
      <c r="FT8" s="340" t="s">
        <v>1904</v>
      </c>
      <c r="FU8" s="340">
        <v>148</v>
      </c>
      <c r="FV8" s="302" t="s">
        <v>1684</v>
      </c>
      <c r="FW8" s="340">
        <f>SUM(FW18:FW25)</f>
        <v>363.97</v>
      </c>
      <c r="FX8" s="204" t="s">
        <v>1874</v>
      </c>
      <c r="FY8" s="340">
        <v>-52</v>
      </c>
      <c r="GA8" s="240"/>
      <c r="GB8" s="312" t="s">
        <v>1929</v>
      </c>
      <c r="GC8" s="263">
        <f>SUM(GC15)</f>
        <v>63477.54</v>
      </c>
      <c r="GD8" s="204" t="s">
        <v>1874</v>
      </c>
      <c r="GE8" s="469">
        <v>30</v>
      </c>
      <c r="GF8" s="340" t="s">
        <v>1949</v>
      </c>
      <c r="GG8" s="240">
        <v>30</v>
      </c>
      <c r="GH8" s="312" t="s">
        <v>1929</v>
      </c>
      <c r="GI8" s="263">
        <f>SUM(GI15)</f>
        <v>0</v>
      </c>
      <c r="GJ8" s="204" t="s">
        <v>1953</v>
      </c>
      <c r="GK8" s="469">
        <v>300</v>
      </c>
      <c r="GN8" s="312" t="s">
        <v>1929</v>
      </c>
      <c r="GO8" s="263">
        <f>SUM(GO14)</f>
        <v>0</v>
      </c>
      <c r="GP8" s="204" t="s">
        <v>1953</v>
      </c>
      <c r="GQ8" s="469">
        <v>29.05</v>
      </c>
      <c r="GR8" s="340" t="s">
        <v>2063</v>
      </c>
      <c r="GS8" s="340">
        <v>4000</v>
      </c>
      <c r="GT8" s="312" t="s">
        <v>1929</v>
      </c>
      <c r="GU8" s="263">
        <f>SUM(GU16:GU17)</f>
        <v>84255</v>
      </c>
      <c r="GV8" s="204" t="s">
        <v>1953</v>
      </c>
      <c r="GW8" s="469">
        <v>29.05</v>
      </c>
      <c r="GX8" s="197" t="s">
        <v>1580</v>
      </c>
      <c r="GZ8" s="302" t="s">
        <v>1684</v>
      </c>
      <c r="HA8" s="444">
        <f>SUM(HA18:HA24)</f>
        <v>880.40666666666687</v>
      </c>
      <c r="HB8" s="285" t="s">
        <v>1630</v>
      </c>
      <c r="HC8" s="340">
        <v>-898</v>
      </c>
      <c r="HD8" s="197" t="s">
        <v>1580</v>
      </c>
      <c r="HF8" s="312" t="s">
        <v>1929</v>
      </c>
      <c r="HG8" s="263">
        <f>SUM(HG14:HG16)</f>
        <v>3184.9333333333334</v>
      </c>
      <c r="HH8" s="204" t="s">
        <v>1953</v>
      </c>
      <c r="HI8" s="469">
        <v>38</v>
      </c>
      <c r="HJ8" s="340" t="s">
        <v>1608</v>
      </c>
      <c r="HL8" s="243" t="s">
        <v>2139</v>
      </c>
      <c r="HM8" s="340">
        <v>345.6</v>
      </c>
      <c r="HN8" s="285" t="s">
        <v>1630</v>
      </c>
      <c r="HO8" s="340">
        <v>-540</v>
      </c>
      <c r="HP8" s="340" t="s">
        <v>1608</v>
      </c>
      <c r="HR8" s="300" t="s">
        <v>2191</v>
      </c>
      <c r="HS8" s="340">
        <v>807.85</v>
      </c>
      <c r="HT8" s="285" t="s">
        <v>1630</v>
      </c>
      <c r="HU8" s="340">
        <v>-1653</v>
      </c>
      <c r="HV8" s="340" t="s">
        <v>2209</v>
      </c>
      <c r="HW8" s="240">
        <v>2.1</v>
      </c>
      <c r="HX8" s="305" t="s">
        <v>1002</v>
      </c>
      <c r="HY8" s="340">
        <v>1900.1</v>
      </c>
      <c r="HZ8" s="204" t="s">
        <v>1953</v>
      </c>
      <c r="IA8" s="469">
        <v>0</v>
      </c>
      <c r="IB8" s="340" t="s">
        <v>2271</v>
      </c>
      <c r="IC8" s="320"/>
      <c r="ID8" s="313" t="s">
        <v>2257</v>
      </c>
      <c r="IE8" s="340">
        <v>5.73</v>
      </c>
      <c r="IF8" s="204" t="s">
        <v>1837</v>
      </c>
      <c r="IG8" s="321">
        <v>2499</v>
      </c>
      <c r="II8" s="320"/>
      <c r="IJ8" s="305" t="s">
        <v>1002</v>
      </c>
      <c r="IK8" s="340">
        <v>1900.12</v>
      </c>
      <c r="IL8" s="204" t="s">
        <v>1874</v>
      </c>
      <c r="IM8" s="469">
        <v>0</v>
      </c>
      <c r="IN8" s="340" t="s">
        <v>2417</v>
      </c>
      <c r="IO8" s="320">
        <v>36.42</v>
      </c>
      <c r="IP8" s="305" t="s">
        <v>1002</v>
      </c>
      <c r="IQ8" s="202">
        <v>1900.01</v>
      </c>
      <c r="IR8" s="285" t="s">
        <v>1630</v>
      </c>
      <c r="IS8" s="340">
        <v>-3061</v>
      </c>
      <c r="IT8" s="340" t="s">
        <v>2499</v>
      </c>
      <c r="IU8" s="320">
        <f>10582.19+14077.74-24508</f>
        <v>151.93000000000029</v>
      </c>
      <c r="IV8" s="305" t="s">
        <v>1002</v>
      </c>
      <c r="IW8" s="202">
        <v>1900.02</v>
      </c>
      <c r="IX8" s="319" t="s">
        <v>2571</v>
      </c>
      <c r="IY8" s="259">
        <v>-4000</v>
      </c>
      <c r="JA8" s="320"/>
      <c r="JB8" s="313" t="s">
        <v>2580</v>
      </c>
      <c r="JC8" s="202">
        <v>300.27999999999997</v>
      </c>
      <c r="JD8" s="319" t="s">
        <v>2571</v>
      </c>
      <c r="JE8" s="259">
        <v>-4000</v>
      </c>
      <c r="JF8" s="340" t="s">
        <v>2439</v>
      </c>
      <c r="JG8" s="320"/>
      <c r="JH8" s="313" t="s">
        <v>2627</v>
      </c>
      <c r="JI8" s="202">
        <v>327.74</v>
      </c>
      <c r="JJ8" s="319" t="s">
        <v>2571</v>
      </c>
      <c r="JK8" s="259">
        <v>-4000</v>
      </c>
      <c r="JL8" s="487" t="s">
        <v>2644</v>
      </c>
      <c r="JM8" s="340">
        <v>2.5</v>
      </c>
      <c r="JN8" s="313" t="s">
        <v>2680</v>
      </c>
      <c r="JO8" s="202">
        <v>48.69</v>
      </c>
      <c r="JP8" s="488" t="s">
        <v>2510</v>
      </c>
      <c r="JQ8" s="259">
        <f>100*(330+310)</f>
        <v>64000</v>
      </c>
      <c r="JR8" s="340" t="s">
        <v>2439</v>
      </c>
      <c r="JS8" s="320"/>
      <c r="JT8" s="313" t="s">
        <v>2076</v>
      </c>
      <c r="JU8" s="202">
        <v>1476</v>
      </c>
      <c r="JV8" s="285" t="s">
        <v>2403</v>
      </c>
      <c r="JW8" s="469">
        <v>61</v>
      </c>
      <c r="JX8" s="340" t="s">
        <v>2820</v>
      </c>
      <c r="JY8" s="468">
        <v>60</v>
      </c>
      <c r="JZ8" s="414" t="s">
        <v>1002</v>
      </c>
      <c r="KA8" s="340">
        <v>1900.08</v>
      </c>
      <c r="KB8" s="340" t="s">
        <v>3167</v>
      </c>
      <c r="KC8" s="259">
        <v>640008</v>
      </c>
      <c r="KD8" s="340" t="s">
        <v>2859</v>
      </c>
      <c r="KE8" s="489"/>
      <c r="KF8" s="243" t="s">
        <v>2864</v>
      </c>
      <c r="KG8" s="318">
        <v>2000</v>
      </c>
      <c r="KH8" s="340" t="s">
        <v>2899</v>
      </c>
      <c r="KI8" s="259">
        <f>-135000</f>
        <v>-135000</v>
      </c>
      <c r="KJ8" s="340" t="s">
        <v>2983</v>
      </c>
      <c r="KK8" s="320">
        <v>-1800.01</v>
      </c>
      <c r="KL8" s="300" t="s">
        <v>2952</v>
      </c>
      <c r="KM8" s="202">
        <v>9.4499999999999993</v>
      </c>
      <c r="KN8" s="452">
        <v>20000</v>
      </c>
      <c r="KO8" s="453">
        <v>45384</v>
      </c>
      <c r="KP8" s="204" t="s">
        <v>3033</v>
      </c>
      <c r="KQ8" s="320">
        <v>3010</v>
      </c>
      <c r="KR8" s="300" t="s">
        <v>2925</v>
      </c>
      <c r="KS8" s="202">
        <f>874.8+75.4</f>
        <v>950.19999999999993</v>
      </c>
      <c r="KT8" s="452">
        <v>30000</v>
      </c>
      <c r="KU8" s="453">
        <v>45398</v>
      </c>
      <c r="KV8" s="587" t="s">
        <v>3080</v>
      </c>
      <c r="KW8" s="320"/>
      <c r="KX8" s="300" t="s">
        <v>2925</v>
      </c>
      <c r="KY8" s="202">
        <v>993.6</v>
      </c>
      <c r="KZ8" s="340" t="s">
        <v>2898</v>
      </c>
      <c r="LA8" s="259">
        <v>-70600</v>
      </c>
      <c r="LB8" s="622" t="s">
        <v>3080</v>
      </c>
      <c r="LC8" s="320"/>
      <c r="LD8" s="445" t="s">
        <v>1002</v>
      </c>
      <c r="LE8" s="444">
        <f>1900.01</f>
        <v>1900.01</v>
      </c>
      <c r="LF8" s="622" t="s">
        <v>3003</v>
      </c>
      <c r="LG8" s="259">
        <v>-115915</v>
      </c>
      <c r="LH8" s="662" t="s">
        <v>3204</v>
      </c>
      <c r="LI8" s="636">
        <v>3.4</v>
      </c>
      <c r="LJ8" s="446" t="s">
        <v>3147</v>
      </c>
      <c r="LK8" s="444">
        <v>14.55</v>
      </c>
      <c r="LL8" s="656" t="s">
        <v>3003</v>
      </c>
      <c r="LM8" s="259" t="s">
        <v>3203</v>
      </c>
      <c r="LN8" s="688" t="s">
        <v>3080</v>
      </c>
      <c r="LO8" s="320"/>
      <c r="LP8" s="445" t="s">
        <v>3255</v>
      </c>
      <c r="LQ8" s="444">
        <v>5000.05</v>
      </c>
      <c r="LR8" s="692" t="s">
        <v>2992</v>
      </c>
      <c r="LS8" s="318">
        <v>-82000</v>
      </c>
      <c r="LT8" s="465">
        <v>45322</v>
      </c>
    </row>
    <row r="9" spans="1:333" ht="12.75" customHeight="1">
      <c r="A9" s="466"/>
      <c r="B9" s="467"/>
      <c r="E9" s="340" t="s">
        <v>1006</v>
      </c>
      <c r="G9" s="466"/>
      <c r="H9" s="467"/>
      <c r="K9" s="340" t="s">
        <v>1006</v>
      </c>
      <c r="M9" s="285" t="s">
        <v>348</v>
      </c>
      <c r="N9" s="286">
        <v>480</v>
      </c>
      <c r="Q9" s="340" t="s">
        <v>1005</v>
      </c>
      <c r="S9" s="285" t="s">
        <v>348</v>
      </c>
      <c r="T9" s="286">
        <v>480</v>
      </c>
      <c r="W9" s="340" t="s">
        <v>1005</v>
      </c>
      <c r="X9" s="340">
        <f>SUM(X20:X24)</f>
        <v>910.17</v>
      </c>
      <c r="Y9" s="285" t="s">
        <v>348</v>
      </c>
      <c r="Z9" s="286">
        <v>480</v>
      </c>
      <c r="AC9" s="340" t="s">
        <v>1006</v>
      </c>
      <c r="AD9" s="340">
        <f>SUM(AD13:AD13)</f>
        <v>0</v>
      </c>
      <c r="AE9" s="285" t="s">
        <v>1131</v>
      </c>
      <c r="AF9" s="286">
        <v>430</v>
      </c>
      <c r="AI9" s="340" t="s">
        <v>1006</v>
      </c>
      <c r="AJ9" s="340">
        <f>SUM(AJ13:AJ13)</f>
        <v>0</v>
      </c>
      <c r="AK9" s="285" t="s">
        <v>1131</v>
      </c>
      <c r="AL9" s="286">
        <v>438</v>
      </c>
      <c r="AM9" s="340" t="s">
        <v>1135</v>
      </c>
      <c r="AN9" s="340">
        <v>93.09</v>
      </c>
      <c r="AO9" s="340" t="s">
        <v>1006</v>
      </c>
      <c r="AP9" s="340">
        <f>SUM(AP17:AP19)</f>
        <v>2878.86</v>
      </c>
      <c r="AQ9" s="285" t="s">
        <v>1131</v>
      </c>
      <c r="AR9" s="286">
        <v>1920</v>
      </c>
      <c r="AS9" s="340" t="s">
        <v>1095</v>
      </c>
      <c r="AT9" s="340">
        <v>80</v>
      </c>
      <c r="AU9" s="340" t="s">
        <v>1006</v>
      </c>
      <c r="AV9" s="340">
        <f>SUM(AV18:AV19)</f>
        <v>42.53</v>
      </c>
      <c r="AW9" s="285" t="s">
        <v>1131</v>
      </c>
      <c r="AX9" s="326">
        <v>1945.63</v>
      </c>
      <c r="BA9" s="285" t="s">
        <v>1131</v>
      </c>
      <c r="BB9" s="467">
        <f t="shared" si="0"/>
        <v>1945.63</v>
      </c>
      <c r="BC9" s="340" t="s">
        <v>1202</v>
      </c>
      <c r="BD9" s="340">
        <v>80</v>
      </c>
      <c r="BE9" s="340" t="s">
        <v>1006</v>
      </c>
      <c r="BF9" s="340">
        <f>BF16</f>
        <v>420</v>
      </c>
      <c r="BG9" s="285" t="s">
        <v>1131</v>
      </c>
      <c r="BH9" s="326">
        <v>2242.7399999999998</v>
      </c>
      <c r="BI9" s="217" t="s">
        <v>1095</v>
      </c>
      <c r="BJ9" s="217">
        <v>63.86</v>
      </c>
      <c r="BK9" s="217" t="s">
        <v>1006</v>
      </c>
      <c r="BL9" s="217">
        <f>BL16</f>
        <v>459</v>
      </c>
      <c r="BM9" s="285" t="s">
        <v>1131</v>
      </c>
      <c r="BN9" s="326">
        <v>2242.85</v>
      </c>
      <c r="BO9" s="217" t="s">
        <v>1095</v>
      </c>
      <c r="BP9" s="217">
        <v>52</v>
      </c>
      <c r="BQ9" s="217" t="s">
        <v>1006</v>
      </c>
      <c r="BR9" s="217" t="str">
        <f>BR16</f>
        <v>none</v>
      </c>
      <c r="BS9" s="285" t="s">
        <v>1131</v>
      </c>
      <c r="BT9" s="318">
        <v>2290</v>
      </c>
      <c r="BU9" s="217" t="s">
        <v>1095</v>
      </c>
      <c r="BV9" s="217">
        <v>30</v>
      </c>
      <c r="BW9" s="217" t="s">
        <v>1006</v>
      </c>
      <c r="BX9" s="217">
        <f>BX16</f>
        <v>1476</v>
      </c>
      <c r="BY9" s="285" t="s">
        <v>1131</v>
      </c>
      <c r="BZ9" s="286">
        <v>2290.09</v>
      </c>
      <c r="CA9" s="217" t="s">
        <v>1095</v>
      </c>
      <c r="CB9" s="217">
        <v>67</v>
      </c>
      <c r="CC9" s="217" t="s">
        <v>1006</v>
      </c>
      <c r="CD9" s="217" t="str">
        <f>CD16</f>
        <v>none</v>
      </c>
      <c r="CE9" s="285" t="s">
        <v>1131</v>
      </c>
      <c r="CF9" s="286">
        <v>2290</v>
      </c>
      <c r="CI9" s="217" t="s">
        <v>1006</v>
      </c>
      <c r="CJ9" s="217">
        <f>CJ17</f>
        <v>0</v>
      </c>
      <c r="CK9" s="285" t="s">
        <v>1131</v>
      </c>
      <c r="CL9" s="286">
        <v>2290</v>
      </c>
      <c r="CO9" s="217" t="s">
        <v>1006</v>
      </c>
      <c r="CP9" s="217" t="str">
        <f>CP16</f>
        <v>none</v>
      </c>
      <c r="CQ9" s="285" t="s">
        <v>1131</v>
      </c>
      <c r="CR9" s="286">
        <v>2090</v>
      </c>
      <c r="CU9" s="217" t="s">
        <v>1006</v>
      </c>
      <c r="CV9" s="217">
        <f>SUM(CV16)</f>
        <v>0</v>
      </c>
      <c r="CW9" s="479" t="s">
        <v>1314</v>
      </c>
      <c r="CX9" s="261">
        <v>3000</v>
      </c>
      <c r="DA9" s="256" t="s">
        <v>1401</v>
      </c>
      <c r="DB9" s="217">
        <f>SUM(DB18:DB24)</f>
        <v>428.57</v>
      </c>
      <c r="DC9" s="285" t="s">
        <v>1131</v>
      </c>
      <c r="DD9" s="490">
        <v>2090</v>
      </c>
      <c r="DE9" s="217" t="s">
        <v>1471</v>
      </c>
      <c r="DF9" s="217">
        <v>76</v>
      </c>
      <c r="DG9" s="256" t="s">
        <v>1401</v>
      </c>
      <c r="DH9" s="274">
        <f>SUM(DH29:DH35)</f>
        <v>808.02</v>
      </c>
      <c r="DI9" s="285" t="s">
        <v>1131</v>
      </c>
      <c r="DJ9" s="261">
        <v>2140.8000000000002</v>
      </c>
      <c r="DK9" s="217" t="s">
        <v>1511</v>
      </c>
      <c r="DL9" s="217">
        <v>100</v>
      </c>
      <c r="DM9" s="256" t="s">
        <v>1582</v>
      </c>
      <c r="DN9" s="274">
        <f>SUM(DN24:DN30)</f>
        <v>512.1</v>
      </c>
      <c r="DO9" s="218" t="s">
        <v>1148</v>
      </c>
      <c r="DP9" s="467"/>
      <c r="DS9" s="267" t="s">
        <v>1581</v>
      </c>
      <c r="DT9" s="274">
        <f>SUM(DT50:DT50)</f>
        <v>0</v>
      </c>
      <c r="DU9" s="218" t="s">
        <v>1096</v>
      </c>
      <c r="DV9" s="467">
        <v>-2372</v>
      </c>
      <c r="DY9" s="242" t="s">
        <v>1582</v>
      </c>
      <c r="DZ9" s="340">
        <f>SUM(DZ15:DZ21)</f>
        <v>416.04999999999995</v>
      </c>
      <c r="EA9" s="218" t="s">
        <v>129</v>
      </c>
      <c r="EB9" s="218">
        <v>0</v>
      </c>
      <c r="EC9" s="340" t="s">
        <v>1608</v>
      </c>
      <c r="EE9" s="242" t="s">
        <v>1582</v>
      </c>
      <c r="EF9" s="340">
        <f>SUM(EF15:EF21)</f>
        <v>557.96</v>
      </c>
      <c r="EH9" s="285" t="s">
        <v>1625</v>
      </c>
      <c r="EI9" s="340">
        <v>160</v>
      </c>
      <c r="EL9" s="242" t="s">
        <v>1680</v>
      </c>
      <c r="EM9" s="340">
        <f>SUM(EM16:EM23)</f>
        <v>437.86</v>
      </c>
      <c r="EN9" s="285" t="s">
        <v>1625</v>
      </c>
      <c r="EO9" s="340">
        <v>70</v>
      </c>
      <c r="EP9" s="340" t="s">
        <v>1608</v>
      </c>
      <c r="ER9" s="301" t="s">
        <v>1681</v>
      </c>
      <c r="ES9" s="340">
        <f>SUM(ES14:ES15)</f>
        <v>1743.4</v>
      </c>
      <c r="ET9" s="285" t="s">
        <v>1625</v>
      </c>
      <c r="EU9" s="340">
        <v>260</v>
      </c>
      <c r="EV9" s="340" t="s">
        <v>1608</v>
      </c>
      <c r="EX9" s="301" t="s">
        <v>1681</v>
      </c>
      <c r="EY9" s="340">
        <f>SUM(EY14:EY14)</f>
        <v>481.5</v>
      </c>
      <c r="EZ9" s="285" t="s">
        <v>1625</v>
      </c>
      <c r="FA9" s="340">
        <v>200</v>
      </c>
      <c r="FB9" s="340" t="s">
        <v>1608</v>
      </c>
      <c r="FD9" s="301" t="s">
        <v>1681</v>
      </c>
      <c r="FE9" s="340">
        <f>SUM(FE13:FE15)</f>
        <v>1754.25</v>
      </c>
      <c r="FF9" s="285" t="s">
        <v>1625</v>
      </c>
      <c r="FG9" s="340">
        <v>220</v>
      </c>
      <c r="FJ9" s="301" t="s">
        <v>1681</v>
      </c>
      <c r="FK9" s="340">
        <f>SUM(FK13:FK14)</f>
        <v>35.32</v>
      </c>
      <c r="FL9" s="319" t="s">
        <v>1412</v>
      </c>
      <c r="FM9" s="204">
        <v>0</v>
      </c>
      <c r="FN9" s="197" t="s">
        <v>1580</v>
      </c>
      <c r="FP9" s="303" t="s">
        <v>1683</v>
      </c>
      <c r="FQ9" s="340">
        <f>SUM(FQ26:FQ36)</f>
        <v>464.30000000000007</v>
      </c>
      <c r="FR9" s="340" t="s">
        <v>1682</v>
      </c>
      <c r="FS9" s="204">
        <f>223+1168</f>
        <v>1391</v>
      </c>
      <c r="FT9" s="340" t="s">
        <v>1903</v>
      </c>
      <c r="FU9" s="340">
        <v>230</v>
      </c>
      <c r="FV9" s="303" t="s">
        <v>1683</v>
      </c>
      <c r="FW9" s="340">
        <f>SUM(FW26:FW29)</f>
        <v>167.3</v>
      </c>
      <c r="FX9" s="285" t="s">
        <v>1631</v>
      </c>
      <c r="FY9" s="469">
        <v>27.53</v>
      </c>
      <c r="FZ9" s="340" t="s">
        <v>1926</v>
      </c>
      <c r="GA9" s="240">
        <v>338</v>
      </c>
      <c r="GB9" s="302" t="s">
        <v>1684</v>
      </c>
      <c r="GC9" s="340">
        <f>SUM(GC19:GC27)</f>
        <v>540.84999999999991</v>
      </c>
      <c r="GD9" s="285" t="s">
        <v>1631</v>
      </c>
      <c r="GE9" s="469">
        <v>27.53</v>
      </c>
      <c r="GF9" s="340" t="s">
        <v>1962</v>
      </c>
      <c r="GH9" s="302" t="s">
        <v>1684</v>
      </c>
      <c r="GI9" s="340">
        <f>SUM(GI19:GI28)</f>
        <v>548.71</v>
      </c>
      <c r="GJ9" s="204" t="s">
        <v>1874</v>
      </c>
      <c r="GK9" s="469">
        <v>30</v>
      </c>
      <c r="GL9" s="340" t="s">
        <v>2033</v>
      </c>
      <c r="GM9" s="340">
        <v>1000.01</v>
      </c>
      <c r="GN9" s="302" t="s">
        <v>1684</v>
      </c>
      <c r="GO9" s="340">
        <f>SUM(GO20:GO28)</f>
        <v>454.79999999999995</v>
      </c>
      <c r="GP9" s="204" t="s">
        <v>1874</v>
      </c>
      <c r="GQ9" s="469">
        <v>30</v>
      </c>
      <c r="GT9" s="302" t="s">
        <v>1684</v>
      </c>
      <c r="GU9" s="340">
        <f>SUM(GU18:GU25)</f>
        <v>427.03000000000003</v>
      </c>
      <c r="GV9" s="204" t="s">
        <v>1874</v>
      </c>
      <c r="GW9" s="469">
        <v>30</v>
      </c>
      <c r="GX9" s="340" t="s">
        <v>1561</v>
      </c>
      <c r="GY9" s="340">
        <f>53.57+3.21</f>
        <v>56.78</v>
      </c>
      <c r="GZ9" s="303" t="s">
        <v>1683</v>
      </c>
      <c r="HA9" s="340">
        <f>SUM(HA25:HA39)</f>
        <v>1242.31</v>
      </c>
      <c r="HB9" s="204" t="s">
        <v>1953</v>
      </c>
      <c r="HC9" s="469">
        <v>38</v>
      </c>
      <c r="HD9" s="340" t="s">
        <v>2109</v>
      </c>
      <c r="HE9" s="340">
        <f>63.92+6.4</f>
        <v>70.320000000000007</v>
      </c>
      <c r="HF9" s="302" t="s">
        <v>1684</v>
      </c>
      <c r="HG9" s="444">
        <f>SUM(HG20:HG27)</f>
        <v>957.34666666666681</v>
      </c>
      <c r="HH9" s="204" t="s">
        <v>1874</v>
      </c>
      <c r="HI9" s="469">
        <v>30</v>
      </c>
      <c r="HJ9" s="325" t="s">
        <v>2181</v>
      </c>
      <c r="HK9" s="340">
        <f>86</f>
        <v>86</v>
      </c>
      <c r="HL9" s="243" t="s">
        <v>2040</v>
      </c>
      <c r="HM9" s="444">
        <f>HM10*5</f>
        <v>2104.9333333333334</v>
      </c>
      <c r="HN9" s="204" t="s">
        <v>1953</v>
      </c>
      <c r="HO9" s="469">
        <v>0</v>
      </c>
      <c r="HP9" s="325" t="s">
        <v>2182</v>
      </c>
      <c r="HQ9" s="340">
        <v>75.06</v>
      </c>
      <c r="HR9" s="243" t="s">
        <v>2201</v>
      </c>
      <c r="HS9" s="340">
        <v>100</v>
      </c>
      <c r="HT9" s="204" t="s">
        <v>1953</v>
      </c>
      <c r="HU9" s="469">
        <v>0</v>
      </c>
      <c r="HV9" s="340" t="s">
        <v>2225</v>
      </c>
      <c r="HW9" s="240">
        <v>2.0299999999999998</v>
      </c>
      <c r="HX9" s="300" t="s">
        <v>2286</v>
      </c>
      <c r="HY9" s="340">
        <v>535</v>
      </c>
      <c r="HZ9" s="204" t="s">
        <v>1874</v>
      </c>
      <c r="IA9" s="469">
        <v>14.67</v>
      </c>
      <c r="IB9" s="340" t="s">
        <v>2128</v>
      </c>
      <c r="IC9" s="320">
        <v>50</v>
      </c>
      <c r="ID9" s="300" t="s">
        <v>2287</v>
      </c>
      <c r="IE9" s="340">
        <v>32.1</v>
      </c>
      <c r="IF9" s="319" t="s">
        <v>1505</v>
      </c>
      <c r="IG9" s="259">
        <v>817</v>
      </c>
      <c r="IH9" s="340" t="s">
        <v>2353</v>
      </c>
      <c r="IJ9" s="333" t="s">
        <v>2329</v>
      </c>
      <c r="IK9" s="491">
        <f>6+5+3+10+7</f>
        <v>31</v>
      </c>
      <c r="IL9" s="285" t="s">
        <v>1631</v>
      </c>
      <c r="IM9" s="341">
        <v>0.08</v>
      </c>
      <c r="IN9" s="340" t="s">
        <v>2440</v>
      </c>
      <c r="IO9" s="340">
        <f>9.9+76.9</f>
        <v>86.800000000000011</v>
      </c>
      <c r="IP9" s="305" t="s">
        <v>2425</v>
      </c>
      <c r="IQ9" s="202">
        <v>2000</v>
      </c>
      <c r="IR9" s="204" t="s">
        <v>2438</v>
      </c>
      <c r="IS9" s="469">
        <v>116</v>
      </c>
      <c r="IU9" s="320"/>
      <c r="IV9" s="305" t="s">
        <v>2498</v>
      </c>
      <c r="IW9" s="202">
        <v>2000</v>
      </c>
      <c r="IX9" s="488" t="s">
        <v>2510</v>
      </c>
      <c r="IY9" s="259">
        <f>100*(120+1000+330+310)</f>
        <v>176000</v>
      </c>
      <c r="IZ9" s="340" t="s">
        <v>2590</v>
      </c>
      <c r="JA9" s="320">
        <f>544.23-533.02</f>
        <v>11.210000000000036</v>
      </c>
      <c r="JB9" s="313" t="s">
        <v>2600</v>
      </c>
      <c r="JC9" s="202">
        <v>600</v>
      </c>
      <c r="JD9" s="488" t="s">
        <v>2510</v>
      </c>
      <c r="JE9" s="259">
        <f>100*(120+1000+330+310)</f>
        <v>176000</v>
      </c>
      <c r="JF9" s="487" t="s">
        <v>2641</v>
      </c>
      <c r="JH9" s="300" t="s">
        <v>2925</v>
      </c>
      <c r="JI9" s="202">
        <v>1954.8</v>
      </c>
      <c r="JJ9" s="488" t="s">
        <v>2510</v>
      </c>
      <c r="JK9" s="259">
        <f>100*(120+1000+330+310)</f>
        <v>176000</v>
      </c>
      <c r="JL9" s="340" t="s">
        <v>2683</v>
      </c>
      <c r="JM9" s="340">
        <v>4.09</v>
      </c>
      <c r="JN9" s="313" t="s">
        <v>2646</v>
      </c>
      <c r="JO9" s="202">
        <v>127.14</v>
      </c>
      <c r="JP9" s="340" t="s">
        <v>2677</v>
      </c>
      <c r="JQ9" s="259">
        <v>515008</v>
      </c>
      <c r="JR9" s="487" t="s">
        <v>2715</v>
      </c>
      <c r="JS9" s="340">
        <v>2.33</v>
      </c>
      <c r="JT9" s="300" t="s">
        <v>2748</v>
      </c>
      <c r="JU9" s="202">
        <v>10</v>
      </c>
      <c r="JV9" s="204" t="s">
        <v>2708</v>
      </c>
      <c r="JW9" s="286">
        <v>0</v>
      </c>
      <c r="JY9" s="489"/>
      <c r="JZ9" s="414" t="s">
        <v>2839</v>
      </c>
      <c r="KA9" s="202">
        <f>27+270.45+2700</f>
        <v>2997.45</v>
      </c>
      <c r="KB9" s="285" t="s">
        <v>2403</v>
      </c>
      <c r="KC9" s="341">
        <v>0</v>
      </c>
      <c r="KE9" s="489"/>
      <c r="KF9" s="243" t="s">
        <v>2842</v>
      </c>
      <c r="KG9" s="320">
        <v>64875.360000000001</v>
      </c>
      <c r="KH9" s="340" t="s">
        <v>2895</v>
      </c>
      <c r="KI9" s="320">
        <v>4053</v>
      </c>
      <c r="KJ9" s="479" t="s">
        <v>2944</v>
      </c>
      <c r="KK9" s="395">
        <v>1.77</v>
      </c>
      <c r="KL9" s="300" t="s">
        <v>2943</v>
      </c>
      <c r="KM9" s="340">
        <v>79.72</v>
      </c>
      <c r="KN9" s="492" t="s">
        <v>2991</v>
      </c>
      <c r="KO9" s="454">
        <f>SUM(KN5:KN8)</f>
        <v>197000</v>
      </c>
      <c r="KP9" s="340" t="s">
        <v>2834</v>
      </c>
      <c r="KQ9" s="395">
        <f>72.67+1.57</f>
        <v>74.239999999999995</v>
      </c>
      <c r="KR9" s="300" t="s">
        <v>3016</v>
      </c>
      <c r="KS9" s="340">
        <v>487</v>
      </c>
      <c r="KT9" s="452">
        <v>20000</v>
      </c>
      <c r="KU9" s="453">
        <v>45412</v>
      </c>
      <c r="KV9" s="588" t="s">
        <v>3082</v>
      </c>
      <c r="KW9" s="331">
        <v>3129.11</v>
      </c>
      <c r="KX9" s="300" t="s">
        <v>3088</v>
      </c>
      <c r="KY9" s="340">
        <f>11+4</f>
        <v>15</v>
      </c>
      <c r="KZ9" s="340" t="s">
        <v>3003</v>
      </c>
      <c r="LA9" s="259">
        <v>-119500</v>
      </c>
      <c r="LB9" s="622" t="s">
        <v>2834</v>
      </c>
      <c r="LC9" s="395">
        <v>61.000999999999998</v>
      </c>
      <c r="LD9" s="446" t="s">
        <v>2076</v>
      </c>
      <c r="LE9" s="444">
        <v>291.25</v>
      </c>
      <c r="LF9" s="619" t="s">
        <v>2992</v>
      </c>
      <c r="LG9" s="318">
        <v>-82000</v>
      </c>
      <c r="LH9" s="677" t="s">
        <v>3205</v>
      </c>
      <c r="LI9" s="636">
        <v>793.69</v>
      </c>
      <c r="LJ9" s="446" t="s">
        <v>2476</v>
      </c>
      <c r="LK9" s="444">
        <v>378.81</v>
      </c>
      <c r="LL9" s="660" t="s">
        <v>2992</v>
      </c>
      <c r="LM9" s="318">
        <v>-88000</v>
      </c>
      <c r="LN9" s="688" t="s">
        <v>2834</v>
      </c>
      <c r="LO9" s="395"/>
      <c r="LP9" s="446" t="s">
        <v>471</v>
      </c>
      <c r="LQ9" s="444"/>
      <c r="LR9" s="693" t="s">
        <v>2571</v>
      </c>
      <c r="LS9" s="259">
        <v>-4000</v>
      </c>
    </row>
    <row r="10" spans="1:333">
      <c r="A10" s="285" t="s">
        <v>509</v>
      </c>
      <c r="B10" s="286">
        <v>200.001</v>
      </c>
      <c r="G10" s="285" t="s">
        <v>509</v>
      </c>
      <c r="H10" s="286">
        <v>200.001</v>
      </c>
      <c r="K10" s="340" t="s">
        <v>1025</v>
      </c>
      <c r="L10" s="340">
        <f>SUM(L33:L36)</f>
        <v>2119</v>
      </c>
      <c r="M10" s="285" t="s">
        <v>1094</v>
      </c>
      <c r="N10" s="261">
        <v>1001</v>
      </c>
      <c r="O10" s="340" t="s">
        <v>1053</v>
      </c>
      <c r="Q10" s="340" t="s">
        <v>1006</v>
      </c>
      <c r="S10" s="285" t="s">
        <v>1094</v>
      </c>
      <c r="T10" s="261">
        <v>1001</v>
      </c>
      <c r="U10" s="340" t="s">
        <v>1053</v>
      </c>
      <c r="W10" s="340" t="s">
        <v>1006</v>
      </c>
      <c r="X10" s="340">
        <f>SUM(X16:X19)</f>
        <v>288.75</v>
      </c>
      <c r="Y10" s="285" t="s">
        <v>1094</v>
      </c>
      <c r="Z10" s="261">
        <v>1001</v>
      </c>
      <c r="AA10" s="340" t="s">
        <v>1053</v>
      </c>
      <c r="AC10" s="340" t="s">
        <v>1066</v>
      </c>
      <c r="AD10" s="340">
        <v>0</v>
      </c>
      <c r="AE10" s="479" t="s">
        <v>993</v>
      </c>
      <c r="AF10" s="286">
        <v>4985</v>
      </c>
      <c r="AG10" s="340" t="s">
        <v>1053</v>
      </c>
      <c r="AI10" s="340" t="s">
        <v>1066</v>
      </c>
      <c r="AJ10" s="340">
        <f>AJ24</f>
        <v>30</v>
      </c>
      <c r="AK10" s="479" t="s">
        <v>993</v>
      </c>
      <c r="AL10" s="286">
        <v>5000</v>
      </c>
      <c r="AO10" s="340" t="s">
        <v>1066</v>
      </c>
      <c r="AP10" s="340">
        <f>SUM(AP33:AP44)</f>
        <v>1111.54</v>
      </c>
      <c r="AQ10" s="479" t="s">
        <v>993</v>
      </c>
      <c r="AR10" s="286">
        <v>4000</v>
      </c>
      <c r="AS10" s="340" t="s">
        <v>1136</v>
      </c>
      <c r="AU10" s="340" t="s">
        <v>1066</v>
      </c>
      <c r="AV10" s="340">
        <f>SUM(AV33)</f>
        <v>24</v>
      </c>
      <c r="AW10" s="479" t="s">
        <v>993</v>
      </c>
      <c r="AX10" s="286">
        <v>4000</v>
      </c>
      <c r="BA10" s="479" t="s">
        <v>993</v>
      </c>
      <c r="BB10" s="467">
        <f t="shared" si="0"/>
        <v>4000</v>
      </c>
      <c r="BC10" s="340" t="s">
        <v>1136</v>
      </c>
      <c r="BE10" s="340" t="s">
        <v>1206</v>
      </c>
      <c r="BF10" s="340">
        <f>SUM(BF30:BF35)</f>
        <v>246.62</v>
      </c>
      <c r="BG10" s="479" t="s">
        <v>993</v>
      </c>
      <c r="BH10" s="286">
        <v>4000</v>
      </c>
      <c r="BI10" s="217" t="s">
        <v>1136</v>
      </c>
      <c r="BK10" s="217" t="s">
        <v>1206</v>
      </c>
      <c r="BL10" s="217">
        <f>SUM(BL30:BL32)</f>
        <v>63.9</v>
      </c>
      <c r="BM10" s="479" t="s">
        <v>993</v>
      </c>
      <c r="BN10" s="286">
        <v>4000</v>
      </c>
      <c r="BO10" s="217" t="s">
        <v>1136</v>
      </c>
      <c r="BQ10" s="217" t="s">
        <v>1206</v>
      </c>
      <c r="BR10" s="217">
        <f>SUM(BR30:BR31)</f>
        <v>20</v>
      </c>
      <c r="BS10" s="479" t="s">
        <v>993</v>
      </c>
      <c r="BT10" s="260">
        <v>66</v>
      </c>
      <c r="BU10" s="217" t="s">
        <v>1136</v>
      </c>
      <c r="BW10" s="217" t="s">
        <v>1206</v>
      </c>
      <c r="BX10" s="217">
        <f>SUM(BX30:BX32)</f>
        <v>44.8</v>
      </c>
      <c r="BY10" s="325" t="s">
        <v>1267</v>
      </c>
      <c r="BZ10" s="261"/>
      <c r="CC10" s="217" t="s">
        <v>1206</v>
      </c>
      <c r="CD10" s="217">
        <f>SUM(CD30:CD33)</f>
        <v>295.55</v>
      </c>
      <c r="CE10" s="325" t="s">
        <v>1274</v>
      </c>
      <c r="CF10" s="261"/>
      <c r="CG10" s="217" t="s">
        <v>1136</v>
      </c>
      <c r="CI10" s="217" t="s">
        <v>1206</v>
      </c>
      <c r="CJ10" s="217">
        <f>SUM(CJ30:CJ33)</f>
        <v>96.6</v>
      </c>
      <c r="CK10" s="285" t="s">
        <v>1094</v>
      </c>
      <c r="CL10" s="261">
        <v>1003</v>
      </c>
      <c r="CM10" s="217" t="s">
        <v>1136</v>
      </c>
      <c r="CO10" s="217" t="s">
        <v>1206</v>
      </c>
      <c r="CP10" s="217">
        <f>SUM(CP28:CP30)</f>
        <v>136</v>
      </c>
      <c r="CQ10" s="479" t="s">
        <v>1314</v>
      </c>
      <c r="CR10" s="286">
        <v>12000</v>
      </c>
      <c r="CS10" s="217" t="s">
        <v>1136</v>
      </c>
      <c r="CU10" s="217" t="s">
        <v>1206</v>
      </c>
      <c r="CV10" s="217">
        <f>SUM(CV26:CV31)</f>
        <v>276.49</v>
      </c>
      <c r="CW10" s="285" t="s">
        <v>1361</v>
      </c>
      <c r="CX10" s="261">
        <v>10</v>
      </c>
      <c r="CY10" s="217" t="s">
        <v>1136</v>
      </c>
      <c r="DA10" s="269" t="s">
        <v>1206</v>
      </c>
      <c r="DB10" s="217">
        <f>SUM(DB25:DB30)</f>
        <v>661.82</v>
      </c>
      <c r="DC10" s="479" t="s">
        <v>1412</v>
      </c>
      <c r="DD10" s="490">
        <v>5000</v>
      </c>
      <c r="DG10" s="269" t="s">
        <v>1206</v>
      </c>
      <c r="DH10" s="274">
        <f>SUM(DH36:DH44)</f>
        <v>459.96999999999997</v>
      </c>
      <c r="DI10" s="479" t="s">
        <v>1412</v>
      </c>
      <c r="DJ10" s="261">
        <v>15007</v>
      </c>
      <c r="DM10" s="269" t="s">
        <v>1515</v>
      </c>
      <c r="DN10" s="274">
        <f>SUM(DN31:DN35)</f>
        <v>77.37</v>
      </c>
      <c r="DO10" s="218" t="s">
        <v>1574</v>
      </c>
      <c r="DP10" s="467">
        <v>-2524</v>
      </c>
      <c r="DS10" s="256" t="s">
        <v>1582</v>
      </c>
      <c r="DT10" s="274">
        <f>SUM(DT19:DT27)</f>
        <v>10919.66</v>
      </c>
      <c r="DU10" s="218" t="s">
        <v>129</v>
      </c>
      <c r="DV10" s="467">
        <v>0</v>
      </c>
      <c r="DW10" s="340" t="s">
        <v>1608</v>
      </c>
      <c r="DY10" s="297" t="s">
        <v>1539</v>
      </c>
      <c r="DZ10" s="340">
        <f>SUM(DZ23:DZ24)</f>
        <v>45.1</v>
      </c>
      <c r="EA10" s="218" t="s">
        <v>1563</v>
      </c>
      <c r="EB10" s="218">
        <v>1E-3</v>
      </c>
      <c r="EC10" s="340" t="s">
        <v>1012</v>
      </c>
      <c r="ED10" s="340">
        <v>1.1000000000000001</v>
      </c>
      <c r="EE10" s="297" t="s">
        <v>1539</v>
      </c>
      <c r="EF10" s="340">
        <f>SUM(EF22:EF22)</f>
        <v>10</v>
      </c>
      <c r="EH10" s="340" t="s">
        <v>1268</v>
      </c>
      <c r="EI10" s="259">
        <v>-20000</v>
      </c>
      <c r="EJ10" s="197" t="s">
        <v>1580</v>
      </c>
      <c r="EL10" s="303" t="s">
        <v>1679</v>
      </c>
      <c r="EM10" s="340">
        <f>SUM(EM24:EM27)</f>
        <v>151.75</v>
      </c>
      <c r="EN10" s="340" t="s">
        <v>1268</v>
      </c>
      <c r="EO10" s="259">
        <v>-20000</v>
      </c>
      <c r="EP10" s="340" t="s">
        <v>1801</v>
      </c>
      <c r="EQ10" s="340">
        <v>12.26</v>
      </c>
      <c r="ER10" s="304" t="s">
        <v>1392</v>
      </c>
      <c r="ES10" s="340">
        <f>SUM(ES13:ES13)</f>
        <v>0</v>
      </c>
      <c r="ET10" s="340" t="s">
        <v>1268</v>
      </c>
      <c r="EU10" s="259">
        <v>-20000</v>
      </c>
      <c r="EX10" s="304" t="s">
        <v>1392</v>
      </c>
      <c r="EY10" s="340">
        <f>SUM(EY13:EY13)</f>
        <v>0</v>
      </c>
      <c r="EZ10" s="340" t="s">
        <v>1268</v>
      </c>
      <c r="FA10" s="259">
        <v>-20000</v>
      </c>
      <c r="FB10" s="340" t="s">
        <v>1768</v>
      </c>
      <c r="FC10" s="340">
        <v>10.000999999999999</v>
      </c>
      <c r="FD10" s="304" t="s">
        <v>1392</v>
      </c>
      <c r="FE10" s="340">
        <f>SUM(FE12:FE12)</f>
        <v>5.73</v>
      </c>
      <c r="FF10" s="340" t="s">
        <v>1268</v>
      </c>
      <c r="FG10" s="259">
        <v>-20000</v>
      </c>
      <c r="FH10" s="340" t="s">
        <v>1608</v>
      </c>
      <c r="FJ10" s="304" t="s">
        <v>1392</v>
      </c>
      <c r="FK10" s="340">
        <f>SUM(FK12:FK12)</f>
        <v>288.75</v>
      </c>
      <c r="FL10" s="285" t="s">
        <v>1625</v>
      </c>
      <c r="FM10" s="340">
        <v>80</v>
      </c>
      <c r="FN10" s="340" t="s">
        <v>1561</v>
      </c>
      <c r="FO10" s="340">
        <f>51.7+4.8+1.85</f>
        <v>58.35</v>
      </c>
      <c r="FP10" s="301" t="s">
        <v>1681</v>
      </c>
      <c r="FQ10" s="340">
        <f>SUM(FQ16:FQ17)</f>
        <v>2165.6999999999998</v>
      </c>
      <c r="FR10" s="319" t="s">
        <v>1412</v>
      </c>
      <c r="FS10" s="204">
        <v>0</v>
      </c>
      <c r="FV10" s="301" t="s">
        <v>1681</v>
      </c>
      <c r="FW10" s="340">
        <f>SUM(FW17:FW17)</f>
        <v>29.62</v>
      </c>
      <c r="FX10" s="204" t="s">
        <v>1887</v>
      </c>
      <c r="FY10" s="340">
        <v>2498</v>
      </c>
      <c r="FZ10" s="472" t="s">
        <v>1927</v>
      </c>
      <c r="GA10" s="340">
        <v>100</v>
      </c>
      <c r="GB10" s="303" t="s">
        <v>1683</v>
      </c>
      <c r="GC10" s="340">
        <f>SUM(GC28:GC32)</f>
        <v>183.9</v>
      </c>
      <c r="GD10" s="204" t="s">
        <v>1887</v>
      </c>
      <c r="GE10" s="340">
        <v>2498</v>
      </c>
      <c r="GF10" s="340" t="s">
        <v>1961</v>
      </c>
      <c r="GG10" s="340">
        <v>110</v>
      </c>
      <c r="GH10" s="303" t="s">
        <v>1683</v>
      </c>
      <c r="GI10" s="340">
        <f>SUM(GI29:GI31)</f>
        <v>152.62</v>
      </c>
      <c r="GJ10" s="285" t="s">
        <v>1631</v>
      </c>
      <c r="GK10" s="469">
        <v>5.0010000000000003</v>
      </c>
      <c r="GN10" s="303" t="s">
        <v>1683</v>
      </c>
      <c r="GO10" s="340">
        <f>SUM(GO29:GO42)</f>
        <v>475.85999999999996</v>
      </c>
      <c r="GP10" s="285" t="s">
        <v>1631</v>
      </c>
      <c r="GQ10" s="469">
        <v>0.53</v>
      </c>
      <c r="GR10" s="340" t="s">
        <v>1962</v>
      </c>
      <c r="GT10" s="303" t="s">
        <v>1683</v>
      </c>
      <c r="GU10" s="340">
        <f>SUM(GU26:GU32)</f>
        <v>196.22000000000003</v>
      </c>
      <c r="GV10" s="285" t="s">
        <v>1631</v>
      </c>
      <c r="GW10" s="469">
        <v>0.04</v>
      </c>
      <c r="GX10" s="340" t="s">
        <v>2064</v>
      </c>
      <c r="GY10" s="340">
        <v>50</v>
      </c>
      <c r="GZ10" s="301" t="s">
        <v>1681</v>
      </c>
      <c r="HA10" s="340">
        <f>SUM(HA15:HA17)</f>
        <v>2381.65</v>
      </c>
      <c r="HB10" s="204" t="s">
        <v>1874</v>
      </c>
      <c r="HC10" s="469">
        <v>30</v>
      </c>
      <c r="HF10" s="303" t="s">
        <v>1683</v>
      </c>
      <c r="HG10" s="340">
        <f>SUM(HG28:HG29)</f>
        <v>107.9</v>
      </c>
      <c r="HH10" s="285" t="s">
        <v>1631</v>
      </c>
      <c r="HI10" s="341">
        <v>0.06</v>
      </c>
      <c r="HJ10" s="340" t="s">
        <v>1798</v>
      </c>
      <c r="HK10" s="202">
        <v>13</v>
      </c>
      <c r="HL10" s="299" t="s">
        <v>2039</v>
      </c>
      <c r="HM10" s="444">
        <f>2525.92/6</f>
        <v>420.98666666666668</v>
      </c>
      <c r="HN10" s="204" t="s">
        <v>1874</v>
      </c>
      <c r="HO10" s="469">
        <v>16</v>
      </c>
      <c r="HQ10" s="202"/>
      <c r="HR10" s="243" t="s">
        <v>2204</v>
      </c>
      <c r="HS10" s="340">
        <v>156.5</v>
      </c>
      <c r="HT10" s="204" t="s">
        <v>1874</v>
      </c>
      <c r="HU10" s="469">
        <v>14.67</v>
      </c>
      <c r="HW10" s="240"/>
      <c r="HX10" s="243" t="s">
        <v>2201</v>
      </c>
      <c r="HY10" s="340">
        <v>100</v>
      </c>
      <c r="HZ10" s="285" t="s">
        <v>1631</v>
      </c>
      <c r="IA10" s="341">
        <v>7.0000000000000007E-2</v>
      </c>
      <c r="IB10" s="340" t="s">
        <v>1798</v>
      </c>
      <c r="IC10" s="320">
        <v>13.54</v>
      </c>
      <c r="ID10" s="243" t="s">
        <v>2280</v>
      </c>
      <c r="IE10" s="259">
        <f>11000+300</f>
        <v>11300</v>
      </c>
      <c r="IF10" s="319" t="s">
        <v>1506</v>
      </c>
      <c r="IG10" s="259">
        <v>1463</v>
      </c>
      <c r="IH10" s="340" t="s">
        <v>2321</v>
      </c>
      <c r="II10" s="340">
        <v>10</v>
      </c>
      <c r="IJ10" s="313" t="s">
        <v>2360</v>
      </c>
      <c r="IK10" s="491">
        <v>3179</v>
      </c>
      <c r="IL10" s="204" t="s">
        <v>2288</v>
      </c>
      <c r="IM10" s="469">
        <v>35</v>
      </c>
      <c r="IN10" s="217" t="s">
        <v>2445</v>
      </c>
      <c r="IO10" s="340">
        <v>46.26</v>
      </c>
      <c r="IP10" s="300" t="s">
        <v>2398</v>
      </c>
      <c r="IQ10" s="335">
        <v>210.89</v>
      </c>
      <c r="IR10" s="204" t="s">
        <v>1837</v>
      </c>
      <c r="IS10" s="334">
        <v>2500</v>
      </c>
      <c r="IT10" s="340" t="s">
        <v>2439</v>
      </c>
      <c r="IU10" s="320"/>
      <c r="IV10" s="313" t="s">
        <v>2568</v>
      </c>
      <c r="IW10" s="493">
        <v>2000</v>
      </c>
      <c r="IX10" s="340" t="s">
        <v>2362</v>
      </c>
      <c r="IY10" s="259">
        <v>360000</v>
      </c>
      <c r="JA10" s="320"/>
      <c r="JB10" s="313" t="s">
        <v>2601</v>
      </c>
      <c r="JC10" s="493">
        <v>454.04</v>
      </c>
      <c r="JD10" s="340" t="s">
        <v>2362</v>
      </c>
      <c r="JE10" s="259">
        <v>590000</v>
      </c>
      <c r="JH10" s="300" t="s">
        <v>1986</v>
      </c>
      <c r="JI10" s="202">
        <v>58.77</v>
      </c>
      <c r="JJ10" s="340" t="s">
        <v>2362</v>
      </c>
      <c r="JK10" s="469">
        <v>0</v>
      </c>
      <c r="JL10" s="340" t="s">
        <v>2354</v>
      </c>
      <c r="JM10" s="331"/>
      <c r="JN10" s="300" t="s">
        <v>2672</v>
      </c>
      <c r="JO10" s="202">
        <f>259.2+410.4</f>
        <v>669.59999999999991</v>
      </c>
      <c r="JP10" s="285" t="s">
        <v>2403</v>
      </c>
      <c r="JQ10" s="469">
        <v>31</v>
      </c>
      <c r="JR10" s="487" t="s">
        <v>2727</v>
      </c>
      <c r="JS10" s="340">
        <v>3.4</v>
      </c>
      <c r="JT10" s="300" t="s">
        <v>2738</v>
      </c>
      <c r="JU10" s="335">
        <v>5.38</v>
      </c>
      <c r="JV10" s="285" t="s">
        <v>1630</v>
      </c>
      <c r="JW10" s="318">
        <v>-123</v>
      </c>
      <c r="JX10" s="340" t="s">
        <v>2822</v>
      </c>
      <c r="JY10" s="331"/>
      <c r="JZ10" s="313" t="s">
        <v>2849</v>
      </c>
      <c r="KA10" s="202">
        <v>5.99</v>
      </c>
      <c r="KB10" s="204" t="s">
        <v>2814</v>
      </c>
      <c r="KC10" s="469">
        <v>-166</v>
      </c>
      <c r="KD10" s="340" t="s">
        <v>2822</v>
      </c>
      <c r="KE10" s="331"/>
      <c r="KF10" s="243" t="s">
        <v>2841</v>
      </c>
      <c r="KG10" s="320">
        <f>136363-KG12</f>
        <v>136169.60999999999</v>
      </c>
      <c r="KH10" s="340" t="s">
        <v>2902</v>
      </c>
      <c r="KI10" s="320"/>
      <c r="KK10" s="320"/>
      <c r="KL10" s="254" t="s">
        <v>3004</v>
      </c>
      <c r="KM10" s="340">
        <f>82.58+102.97</f>
        <v>185.55</v>
      </c>
      <c r="KN10" s="340" t="s">
        <v>2898</v>
      </c>
      <c r="KO10" s="259">
        <v>-70600</v>
      </c>
      <c r="KP10" s="204" t="s">
        <v>3264</v>
      </c>
      <c r="KQ10" s="395">
        <v>35.14</v>
      </c>
      <c r="KR10" s="300" t="s">
        <v>3054</v>
      </c>
      <c r="KS10" s="340">
        <v>6.48</v>
      </c>
      <c r="KT10" s="492" t="s">
        <v>2991</v>
      </c>
      <c r="KU10" s="454">
        <f>SUM(KT4:KT9)</f>
        <v>247000</v>
      </c>
      <c r="KV10" s="340" t="s">
        <v>2834</v>
      </c>
      <c r="KW10" s="395">
        <v>73</v>
      </c>
      <c r="KX10" s="300" t="s">
        <v>3089</v>
      </c>
      <c r="KY10" s="204">
        <v>20</v>
      </c>
      <c r="KZ10" s="285" t="s">
        <v>2992</v>
      </c>
      <c r="LA10" s="318">
        <v>-82000</v>
      </c>
      <c r="LB10" s="623" t="s">
        <v>3262</v>
      </c>
      <c r="LC10" s="395">
        <v>26.18</v>
      </c>
      <c r="LD10" s="446" t="s">
        <v>3190</v>
      </c>
      <c r="LE10" s="444">
        <v>119.42</v>
      </c>
      <c r="LF10" s="624" t="s">
        <v>2571</v>
      </c>
      <c r="LG10" s="259">
        <v>-4000</v>
      </c>
      <c r="LH10" s="677" t="s">
        <v>3209</v>
      </c>
      <c r="LI10" s="636">
        <v>793.69</v>
      </c>
      <c r="LJ10" s="300" t="s">
        <v>3089</v>
      </c>
      <c r="LK10" s="636">
        <v>30</v>
      </c>
      <c r="LL10" s="661" t="s">
        <v>2571</v>
      </c>
      <c r="LM10" s="259">
        <v>-4000</v>
      </c>
      <c r="LN10" s="689" t="s">
        <v>3260</v>
      </c>
      <c r="LO10" s="395"/>
      <c r="LP10" s="300" t="s">
        <v>2475</v>
      </c>
      <c r="LQ10" s="636"/>
      <c r="LR10" s="693" t="s">
        <v>2433</v>
      </c>
      <c r="LS10" s="259">
        <v>0</v>
      </c>
      <c r="LT10" s="465">
        <v>45321</v>
      </c>
    </row>
    <row r="11" spans="1:333">
      <c r="A11" s="285" t="s">
        <v>348</v>
      </c>
      <c r="B11" s="286">
        <v>500.00099999999998</v>
      </c>
      <c r="E11" s="340" t="s">
        <v>1004</v>
      </c>
      <c r="F11" s="340">
        <f>F35</f>
        <v>250</v>
      </c>
      <c r="G11" s="285" t="s">
        <v>348</v>
      </c>
      <c r="H11" s="286">
        <v>500.00099999999998</v>
      </c>
      <c r="K11" s="340" t="s">
        <v>1030</v>
      </c>
      <c r="M11" s="218" t="s">
        <v>239</v>
      </c>
      <c r="N11" s="467"/>
      <c r="O11" s="340" t="s">
        <v>1095</v>
      </c>
      <c r="P11" s="340">
        <v>58</v>
      </c>
      <c r="Q11" s="340" t="s">
        <v>1025</v>
      </c>
      <c r="R11" s="340">
        <v>0</v>
      </c>
      <c r="S11" s="218" t="s">
        <v>239</v>
      </c>
      <c r="T11" s="467"/>
      <c r="U11" s="340" t="s">
        <v>1095</v>
      </c>
      <c r="V11" s="340">
        <v>67</v>
      </c>
      <c r="W11" s="340" t="s">
        <v>1066</v>
      </c>
      <c r="X11" s="340">
        <f>SUM(X33:X37)</f>
        <v>469.00099999999998</v>
      </c>
      <c r="Y11" s="218" t="s">
        <v>239</v>
      </c>
      <c r="Z11" s="467"/>
      <c r="AA11" s="340" t="s">
        <v>1098</v>
      </c>
      <c r="AB11" s="340">
        <v>55</v>
      </c>
      <c r="AE11" s="479" t="s">
        <v>1081</v>
      </c>
      <c r="AF11" s="261">
        <v>-5000</v>
      </c>
      <c r="AG11" s="340" t="s">
        <v>1095</v>
      </c>
      <c r="AH11" s="340">
        <v>0</v>
      </c>
      <c r="AK11" s="479" t="s">
        <v>1081</v>
      </c>
      <c r="AL11" s="261">
        <v>-5000</v>
      </c>
      <c r="AM11" s="340" t="s">
        <v>1053</v>
      </c>
      <c r="AQ11" s="479" t="s">
        <v>1114</v>
      </c>
      <c r="AR11" s="261">
        <v>-4000</v>
      </c>
      <c r="AS11" s="340" t="s">
        <v>1150</v>
      </c>
      <c r="AT11" s="340">
        <v>32.49</v>
      </c>
      <c r="AU11" s="192"/>
      <c r="AV11" s="259"/>
      <c r="AW11" s="479" t="s">
        <v>1114</v>
      </c>
      <c r="AX11" s="261">
        <v>-4000</v>
      </c>
      <c r="AY11" s="192" t="s">
        <v>1240</v>
      </c>
      <c r="AZ11" s="259">
        <v>30000</v>
      </c>
      <c r="BA11" s="479" t="s">
        <v>1114</v>
      </c>
      <c r="BB11" s="467">
        <f t="shared" si="0"/>
        <v>-4000</v>
      </c>
      <c r="BC11" s="340" t="s">
        <v>1193</v>
      </c>
      <c r="BD11" s="340" t="s">
        <v>657</v>
      </c>
      <c r="BG11" s="479" t="s">
        <v>1114</v>
      </c>
      <c r="BH11" s="261">
        <v>-4000</v>
      </c>
      <c r="BI11" s="217" t="s">
        <v>1219</v>
      </c>
      <c r="BJ11" s="217">
        <v>24.47</v>
      </c>
      <c r="BM11" s="479" t="s">
        <v>1114</v>
      </c>
      <c r="BN11" s="261">
        <v>-4000</v>
      </c>
      <c r="BO11" s="261" t="s">
        <v>1252</v>
      </c>
      <c r="BP11" s="217">
        <v>71</v>
      </c>
      <c r="BS11" s="479" t="s">
        <v>1114</v>
      </c>
      <c r="BT11" s="260">
        <v>-66</v>
      </c>
      <c r="BU11" s="261" t="s">
        <v>1252</v>
      </c>
      <c r="BV11" s="217">
        <v>65.3</v>
      </c>
      <c r="BY11" s="285" t="s">
        <v>1094</v>
      </c>
      <c r="BZ11" s="261">
        <f>1003</f>
        <v>1003</v>
      </c>
      <c r="CA11" s="217" t="s">
        <v>1136</v>
      </c>
      <c r="CE11" s="285" t="s">
        <v>1094</v>
      </c>
      <c r="CF11" s="261">
        <v>1003</v>
      </c>
      <c r="CG11" s="261" t="s">
        <v>1252</v>
      </c>
      <c r="CH11" s="217">
        <v>65</v>
      </c>
      <c r="CK11" s="218" t="s">
        <v>1148</v>
      </c>
      <c r="CL11" s="467"/>
      <c r="CM11" s="261" t="s">
        <v>1252</v>
      </c>
      <c r="CN11" s="217">
        <v>69.959999999999994</v>
      </c>
      <c r="CQ11" s="285" t="s">
        <v>1094</v>
      </c>
      <c r="CR11" s="261">
        <v>10</v>
      </c>
      <c r="CS11" s="261" t="s">
        <v>1252</v>
      </c>
      <c r="CT11" s="217">
        <v>72.599999999999994</v>
      </c>
      <c r="CW11" s="494" t="s">
        <v>423</v>
      </c>
      <c r="CX11" s="495" t="s">
        <v>686</v>
      </c>
      <c r="CY11" s="261" t="s">
        <v>1252</v>
      </c>
      <c r="CZ11" s="217">
        <v>72</v>
      </c>
      <c r="DC11" s="285" t="s">
        <v>1361</v>
      </c>
      <c r="DD11" s="261">
        <v>10</v>
      </c>
      <c r="DE11" s="217" t="s">
        <v>1136</v>
      </c>
      <c r="DI11" s="285" t="s">
        <v>1361</v>
      </c>
      <c r="DJ11" s="261" t="s">
        <v>642</v>
      </c>
      <c r="DK11" s="217" t="s">
        <v>1136</v>
      </c>
      <c r="DO11" s="218" t="s">
        <v>129</v>
      </c>
      <c r="DP11" s="467">
        <v>0</v>
      </c>
      <c r="DQ11" s="217" t="s">
        <v>1136</v>
      </c>
      <c r="DS11" s="269" t="s">
        <v>1539</v>
      </c>
      <c r="DT11" s="274">
        <f>SUM(DT28:DT35)</f>
        <v>361.23</v>
      </c>
      <c r="DU11" s="218" t="s">
        <v>1563</v>
      </c>
      <c r="DV11" s="467">
        <v>1.0009999999999999</v>
      </c>
      <c r="DW11" s="340" t="s">
        <v>1804</v>
      </c>
      <c r="DX11" s="340">
        <v>12.37</v>
      </c>
      <c r="DY11" s="243" t="s">
        <v>1538</v>
      </c>
      <c r="DZ11" s="340">
        <v>133</v>
      </c>
      <c r="EA11" s="483" t="s">
        <v>1058</v>
      </c>
      <c r="EB11" s="340">
        <v>110</v>
      </c>
      <c r="EE11" s="243" t="s">
        <v>1002</v>
      </c>
      <c r="EF11" s="340">
        <v>1800.06</v>
      </c>
      <c r="EH11" s="488" t="s">
        <v>1635</v>
      </c>
      <c r="EI11" s="488"/>
      <c r="EJ11" s="340" t="s">
        <v>1561</v>
      </c>
      <c r="EK11" s="340">
        <v>47</v>
      </c>
      <c r="EL11" s="243" t="s">
        <v>1002</v>
      </c>
      <c r="EM11" s="340">
        <v>1800.07</v>
      </c>
      <c r="EN11" s="488" t="s">
        <v>1664</v>
      </c>
      <c r="EO11" s="488"/>
      <c r="ER11" s="305" t="s">
        <v>1002</v>
      </c>
      <c r="ES11" s="340">
        <v>1800.08</v>
      </c>
      <c r="ET11" s="488" t="s">
        <v>1693</v>
      </c>
      <c r="EU11" s="488"/>
      <c r="EX11" s="305" t="s">
        <v>1002</v>
      </c>
      <c r="EY11" s="340">
        <v>1800.09</v>
      </c>
      <c r="EZ11" s="488" t="s">
        <v>1729</v>
      </c>
      <c r="FA11" s="488"/>
      <c r="FD11" s="305" t="s">
        <v>1002</v>
      </c>
      <c r="FE11" s="340">
        <v>1800.1</v>
      </c>
      <c r="FF11" s="488" t="s">
        <v>1729</v>
      </c>
      <c r="FG11" s="488"/>
      <c r="FH11" s="340" t="s">
        <v>1798</v>
      </c>
      <c r="FI11" s="340">
        <v>13.33</v>
      </c>
      <c r="FJ11" s="305" t="s">
        <v>1002</v>
      </c>
      <c r="FK11" s="340">
        <v>1800.11</v>
      </c>
      <c r="FL11" s="340" t="s">
        <v>1268</v>
      </c>
      <c r="FM11" s="259">
        <v>-20000</v>
      </c>
      <c r="FP11" s="304" t="s">
        <v>1392</v>
      </c>
      <c r="FQ11" s="340">
        <f>SUM(FQ15:FQ15)</f>
        <v>0</v>
      </c>
      <c r="FR11" s="285" t="s">
        <v>1625</v>
      </c>
      <c r="FS11" s="340">
        <v>146</v>
      </c>
      <c r="FT11" s="197" t="s">
        <v>1580</v>
      </c>
      <c r="FV11" s="304" t="s">
        <v>1392</v>
      </c>
      <c r="FW11" s="340">
        <f>SUM(FW16:FW16)</f>
        <v>3779.24</v>
      </c>
      <c r="FX11" s="319" t="s">
        <v>1527</v>
      </c>
      <c r="FY11" s="340">
        <v>702</v>
      </c>
      <c r="GA11" s="240"/>
      <c r="GB11" s="301" t="s">
        <v>1681</v>
      </c>
      <c r="GC11" s="340">
        <f>SUM(GC18:GC18)</f>
        <v>0</v>
      </c>
      <c r="GD11" s="319" t="s">
        <v>1527</v>
      </c>
      <c r="GE11" s="340">
        <v>1200</v>
      </c>
      <c r="GF11" s="340" t="s">
        <v>1977</v>
      </c>
      <c r="GH11" s="301" t="s">
        <v>1681</v>
      </c>
      <c r="GI11" s="340">
        <f>SUM(GI18:GI18)</f>
        <v>3.87</v>
      </c>
      <c r="GJ11" s="204" t="s">
        <v>1887</v>
      </c>
      <c r="GK11" s="340">
        <v>2499</v>
      </c>
      <c r="GL11" s="197" t="s">
        <v>1580</v>
      </c>
      <c r="GN11" s="301" t="s">
        <v>1681</v>
      </c>
      <c r="GO11" s="340">
        <f>SUM(GO17:GO19)</f>
        <v>1950.63</v>
      </c>
      <c r="GP11" s="204" t="s">
        <v>1887</v>
      </c>
      <c r="GQ11" s="340">
        <v>2499</v>
      </c>
      <c r="GR11" s="340" t="s">
        <v>2041</v>
      </c>
      <c r="GS11" s="340">
        <v>260</v>
      </c>
      <c r="GT11" s="301" t="s">
        <v>1681</v>
      </c>
      <c r="GU11" s="340" t="s">
        <v>686</v>
      </c>
      <c r="GV11" s="204" t="s">
        <v>1887</v>
      </c>
      <c r="GW11" s="340">
        <v>2499</v>
      </c>
      <c r="GZ11" s="304" t="s">
        <v>1392</v>
      </c>
      <c r="HA11" s="340">
        <f>SUM(HA14:HA14)</f>
        <v>1476</v>
      </c>
      <c r="HB11" s="285" t="s">
        <v>1631</v>
      </c>
      <c r="HC11" s="469">
        <v>0.05</v>
      </c>
      <c r="HF11" s="301" t="s">
        <v>1681</v>
      </c>
      <c r="HG11" s="340">
        <f>SUM(HG18:HG19)</f>
        <v>45</v>
      </c>
      <c r="HH11" s="204" t="s">
        <v>1837</v>
      </c>
      <c r="HI11" s="340">
        <v>2499</v>
      </c>
      <c r="HJ11" s="340" t="s">
        <v>1578</v>
      </c>
      <c r="HK11" s="240"/>
      <c r="HL11" s="299" t="s">
        <v>2140</v>
      </c>
      <c r="HM11" s="340">
        <v>80.959999999999994</v>
      </c>
      <c r="HN11" s="285" t="s">
        <v>1631</v>
      </c>
      <c r="HO11" s="341">
        <v>0.06</v>
      </c>
      <c r="HR11" s="243" t="s">
        <v>2040</v>
      </c>
      <c r="HS11" s="444">
        <f>HS12*5</f>
        <v>2104.9333333333334</v>
      </c>
      <c r="HT11" s="285" t="s">
        <v>1631</v>
      </c>
      <c r="HU11" s="341">
        <v>7.0000000000000007E-2</v>
      </c>
      <c r="HV11" s="340" t="s">
        <v>1608</v>
      </c>
      <c r="HW11" s="240"/>
      <c r="HX11" s="243" t="s">
        <v>2230</v>
      </c>
      <c r="HY11" s="340">
        <f>1000+1000+1000</f>
        <v>3000</v>
      </c>
      <c r="HZ11" s="204" t="s">
        <v>2179</v>
      </c>
      <c r="IA11" s="469">
        <v>-10</v>
      </c>
      <c r="IB11" s="340" t="s">
        <v>2296</v>
      </c>
      <c r="IC11" s="320">
        <v>12.88</v>
      </c>
      <c r="ID11" s="328" t="s">
        <v>1982</v>
      </c>
      <c r="IE11" s="318">
        <v>3000</v>
      </c>
      <c r="IF11" s="319" t="s">
        <v>2235</v>
      </c>
      <c r="IG11" s="259">
        <v>5794</v>
      </c>
      <c r="IH11" s="340" t="s">
        <v>2357</v>
      </c>
      <c r="II11" s="340">
        <v>13.5</v>
      </c>
      <c r="IJ11" s="313" t="s">
        <v>2076</v>
      </c>
      <c r="IK11" s="340">
        <v>288.75</v>
      </c>
      <c r="IL11" s="204" t="s">
        <v>1837</v>
      </c>
      <c r="IM11" s="334">
        <v>2499</v>
      </c>
      <c r="IN11" s="217" t="s">
        <v>2446</v>
      </c>
      <c r="IO11" s="340">
        <v>10</v>
      </c>
      <c r="IP11" s="300" t="s">
        <v>2673</v>
      </c>
      <c r="IQ11" s="202">
        <f>406.6+487.92</f>
        <v>894.52</v>
      </c>
      <c r="IR11" s="319" t="s">
        <v>1505</v>
      </c>
      <c r="IS11" s="259">
        <v>364</v>
      </c>
      <c r="IT11" s="340" t="s">
        <v>2507</v>
      </c>
      <c r="IU11" s="320">
        <v>15.03</v>
      </c>
      <c r="IV11" s="313" t="s">
        <v>2502</v>
      </c>
      <c r="IW11" s="493">
        <v>135.25</v>
      </c>
      <c r="IX11" s="285" t="s">
        <v>2403</v>
      </c>
      <c r="IY11" s="341">
        <v>-49.87</v>
      </c>
      <c r="IZ11" s="340" t="s">
        <v>2439</v>
      </c>
      <c r="JA11" s="320"/>
      <c r="JB11" s="300" t="s">
        <v>2672</v>
      </c>
      <c r="JC11" s="202">
        <f>259.2+410.4</f>
        <v>669.59999999999991</v>
      </c>
      <c r="JD11" s="285" t="s">
        <v>2403</v>
      </c>
      <c r="JE11" s="341">
        <v>0</v>
      </c>
      <c r="JF11" s="340" t="s">
        <v>2354</v>
      </c>
      <c r="JG11" s="331"/>
      <c r="JH11" s="300" t="s">
        <v>2581</v>
      </c>
      <c r="JI11" s="202">
        <f>259.2+410.4</f>
        <v>669.59999999999991</v>
      </c>
      <c r="JJ11" s="285" t="s">
        <v>2403</v>
      </c>
      <c r="JK11" s="341">
        <v>-54</v>
      </c>
      <c r="JL11" s="340" t="s">
        <v>2128</v>
      </c>
      <c r="JM11" s="395">
        <v>52.000999999999998</v>
      </c>
      <c r="JN11" s="243" t="s">
        <v>2717</v>
      </c>
      <c r="JO11" s="320">
        <v>1396.9</v>
      </c>
      <c r="JP11" s="285" t="s">
        <v>1630</v>
      </c>
      <c r="JQ11" s="318">
        <v>-1063</v>
      </c>
      <c r="JR11" s="487" t="s">
        <v>2744</v>
      </c>
      <c r="JS11" s="320">
        <v>1.21</v>
      </c>
      <c r="JT11" s="243" t="s">
        <v>2717</v>
      </c>
      <c r="JU11" s="320">
        <v>1371.77</v>
      </c>
      <c r="JV11" s="204" t="s">
        <v>2665</v>
      </c>
      <c r="JW11" s="259">
        <v>2600</v>
      </c>
      <c r="JX11" s="340" t="s">
        <v>2810</v>
      </c>
      <c r="JY11" s="395">
        <f>55.87+0.96</f>
        <v>56.83</v>
      </c>
      <c r="JZ11" s="300" t="s">
        <v>2802</v>
      </c>
      <c r="KA11" s="340">
        <v>29.9</v>
      </c>
      <c r="KB11" s="285" t="s">
        <v>1630</v>
      </c>
      <c r="KC11" s="318">
        <v>-217</v>
      </c>
      <c r="KD11" s="340" t="s">
        <v>2844</v>
      </c>
      <c r="KE11" s="320">
        <f>1.5%*519+1.82</f>
        <v>9.6050000000000004</v>
      </c>
      <c r="KF11" s="299" t="s">
        <v>2896</v>
      </c>
      <c r="KG11" s="320">
        <v>281.16000000000003</v>
      </c>
      <c r="KH11" s="285" t="s">
        <v>2572</v>
      </c>
      <c r="KI11" s="318">
        <v>-82000</v>
      </c>
      <c r="KJ11" s="340" t="s">
        <v>2822</v>
      </c>
      <c r="KK11" s="331"/>
      <c r="KL11" s="254" t="s">
        <v>2963</v>
      </c>
      <c r="KM11" s="444">
        <f>165.2+34.2</f>
        <v>199.39999999999998</v>
      </c>
      <c r="KN11" s="340" t="s">
        <v>2996</v>
      </c>
      <c r="KO11" s="259">
        <v>-127017</v>
      </c>
      <c r="KP11" s="204" t="s">
        <v>3265</v>
      </c>
      <c r="KQ11" s="340">
        <v>200</v>
      </c>
      <c r="KR11" s="589" t="s">
        <v>3042</v>
      </c>
      <c r="KS11" s="444">
        <v>141.03</v>
      </c>
      <c r="KT11" s="340" t="s">
        <v>2898</v>
      </c>
      <c r="KU11" s="259">
        <v>-70600</v>
      </c>
      <c r="KV11" s="593" t="s">
        <v>3266</v>
      </c>
      <c r="KW11" s="395">
        <v>288</v>
      </c>
      <c r="KX11" s="300" t="s">
        <v>3119</v>
      </c>
      <c r="KY11" s="611">
        <v>39.9</v>
      </c>
      <c r="KZ11" s="319" t="s">
        <v>2571</v>
      </c>
      <c r="LA11" s="259">
        <v>-4000</v>
      </c>
      <c r="LB11" s="623" t="s">
        <v>3090</v>
      </c>
      <c r="LC11" s="395">
        <v>5.3</v>
      </c>
      <c r="LD11" s="446" t="s">
        <v>3152</v>
      </c>
      <c r="LE11" s="444">
        <v>11.39</v>
      </c>
      <c r="LF11" s="624" t="s">
        <v>2433</v>
      </c>
      <c r="LG11" s="259">
        <v>0</v>
      </c>
      <c r="LH11" s="694"/>
      <c r="LI11" s="636"/>
      <c r="LJ11" s="300" t="s">
        <v>3226</v>
      </c>
      <c r="LK11" s="636">
        <f>517.75+263.25</f>
        <v>781</v>
      </c>
      <c r="LL11" s="661" t="s">
        <v>2433</v>
      </c>
      <c r="LM11" s="259">
        <v>0</v>
      </c>
      <c r="LN11" s="689" t="s">
        <v>3090</v>
      </c>
      <c r="LO11" s="395"/>
      <c r="LP11" s="300" t="s">
        <v>2475</v>
      </c>
      <c r="LQ11" s="636"/>
      <c r="LR11" s="693" t="s">
        <v>3083</v>
      </c>
      <c r="LS11" s="259">
        <v>114005</v>
      </c>
      <c r="LT11" s="465">
        <v>45322</v>
      </c>
    </row>
    <row r="12" spans="1:333">
      <c r="A12" s="285" t="s">
        <v>1094</v>
      </c>
      <c r="B12" s="286">
        <v>1001</v>
      </c>
      <c r="E12" s="170"/>
      <c r="F12" s="170"/>
      <c r="G12" s="285" t="s">
        <v>1094</v>
      </c>
      <c r="H12" s="261">
        <v>1001</v>
      </c>
      <c r="M12" s="218" t="s">
        <v>1096</v>
      </c>
      <c r="N12" s="467">
        <v>-1030</v>
      </c>
      <c r="Q12" s="340" t="s">
        <v>1030</v>
      </c>
      <c r="R12" s="340">
        <f>SUM(R38:R39)</f>
        <v>800</v>
      </c>
      <c r="S12" s="218" t="s">
        <v>1096</v>
      </c>
      <c r="T12" s="467">
        <v>-960</v>
      </c>
      <c r="Y12" s="218" t="s">
        <v>1096</v>
      </c>
      <c r="Z12" s="467">
        <v>-970</v>
      </c>
      <c r="AA12" s="340" t="s">
        <v>129</v>
      </c>
      <c r="AB12" s="340">
        <v>50</v>
      </c>
      <c r="AC12" s="192" t="s">
        <v>1082</v>
      </c>
      <c r="AD12" s="340">
        <v>2501.1999999999998</v>
      </c>
      <c r="AE12" s="285" t="s">
        <v>1094</v>
      </c>
      <c r="AF12" s="261">
        <v>1001</v>
      </c>
      <c r="AG12" s="340" t="s">
        <v>1054</v>
      </c>
      <c r="AI12" s="192" t="s">
        <v>1002</v>
      </c>
      <c r="AJ12" s="340">
        <v>0</v>
      </c>
      <c r="AK12" s="285" t="s">
        <v>1094</v>
      </c>
      <c r="AL12" s="261">
        <v>1002</v>
      </c>
      <c r="AM12" s="340" t="s">
        <v>1095</v>
      </c>
      <c r="AN12" s="340">
        <v>81</v>
      </c>
      <c r="AO12" s="192" t="s">
        <v>1113</v>
      </c>
      <c r="AP12" s="340">
        <v>2400</v>
      </c>
      <c r="AQ12" s="285" t="s">
        <v>1094</v>
      </c>
      <c r="AR12" s="261">
        <v>1002</v>
      </c>
      <c r="AU12" s="192" t="s">
        <v>1002</v>
      </c>
      <c r="AV12" s="340">
        <f>1800.03+1800.04</f>
        <v>3600.0699999999997</v>
      </c>
      <c r="AW12" s="285" t="s">
        <v>1094</v>
      </c>
      <c r="AX12" s="261">
        <v>1002</v>
      </c>
      <c r="AY12" s="192"/>
      <c r="BA12" s="285" t="s">
        <v>1094</v>
      </c>
      <c r="BB12" s="467">
        <f t="shared" si="0"/>
        <v>1002</v>
      </c>
      <c r="BC12" s="340" t="s">
        <v>1191</v>
      </c>
      <c r="BD12" s="340">
        <v>20</v>
      </c>
      <c r="BE12" s="192" t="s">
        <v>1002</v>
      </c>
      <c r="BF12" s="340" t="s">
        <v>686</v>
      </c>
      <c r="BG12" s="285" t="s">
        <v>1094</v>
      </c>
      <c r="BH12" s="261">
        <v>1003</v>
      </c>
      <c r="BI12" s="261" t="s">
        <v>1228</v>
      </c>
      <c r="BJ12" s="217">
        <v>44.18</v>
      </c>
      <c r="BK12" s="254" t="s">
        <v>1002</v>
      </c>
      <c r="BL12" s="217">
        <v>1800.05</v>
      </c>
      <c r="BM12" s="285" t="s">
        <v>1094</v>
      </c>
      <c r="BN12" s="261">
        <v>1003</v>
      </c>
      <c r="BQ12" s="254" t="s">
        <v>1233</v>
      </c>
      <c r="BR12" s="217">
        <v>1800.06</v>
      </c>
      <c r="BS12" s="285" t="s">
        <v>1094</v>
      </c>
      <c r="BT12" s="260">
        <v>1003</v>
      </c>
      <c r="BU12" s="261" t="s">
        <v>1265</v>
      </c>
      <c r="BV12" s="217">
        <v>7.76</v>
      </c>
      <c r="BW12" s="254" t="s">
        <v>1002</v>
      </c>
      <c r="BX12" s="217">
        <v>1800.07</v>
      </c>
      <c r="BY12" s="218" t="s">
        <v>1148</v>
      </c>
      <c r="BZ12" s="467"/>
      <c r="CA12" s="261" t="s">
        <v>1252</v>
      </c>
      <c r="CB12" s="217">
        <v>63</v>
      </c>
      <c r="CC12" s="254" t="s">
        <v>1002</v>
      </c>
      <c r="CD12" s="217">
        <v>1800.08</v>
      </c>
      <c r="CE12" s="218" t="s">
        <v>1148</v>
      </c>
      <c r="CF12" s="467"/>
      <c r="CG12" s="204"/>
      <c r="CH12" s="204"/>
      <c r="CI12" s="254" t="s">
        <v>1002</v>
      </c>
      <c r="CJ12" s="217">
        <v>1800.09</v>
      </c>
      <c r="CK12" s="218" t="s">
        <v>1096</v>
      </c>
      <c r="CL12" s="467">
        <v>-1950</v>
      </c>
      <c r="CM12" s="204"/>
      <c r="CN12" s="204"/>
      <c r="CO12" s="254" t="s">
        <v>1318</v>
      </c>
      <c r="CP12" s="217">
        <v>1800.1</v>
      </c>
      <c r="CQ12" s="218" t="s">
        <v>1148</v>
      </c>
      <c r="CR12" s="467"/>
      <c r="CS12" s="261" t="s">
        <v>1368</v>
      </c>
      <c r="CT12" s="217">
        <v>11</v>
      </c>
      <c r="CU12" s="266" t="s">
        <v>1318</v>
      </c>
      <c r="CV12" s="217">
        <v>1800.11</v>
      </c>
      <c r="CW12" s="497" t="s">
        <v>1148</v>
      </c>
      <c r="CX12" s="498"/>
      <c r="CY12" s="261" t="s">
        <v>1368</v>
      </c>
      <c r="DA12" s="271" t="s">
        <v>1292</v>
      </c>
      <c r="DB12" s="204">
        <v>100</v>
      </c>
      <c r="DC12" s="494" t="s">
        <v>423</v>
      </c>
      <c r="DD12" s="495" t="s">
        <v>686</v>
      </c>
      <c r="DE12" s="261" t="s">
        <v>1252</v>
      </c>
      <c r="DF12" s="217">
        <v>56</v>
      </c>
      <c r="DG12" s="271" t="s">
        <v>1422</v>
      </c>
      <c r="DH12" s="261">
        <v>100</v>
      </c>
      <c r="DI12" s="218" t="s">
        <v>1148</v>
      </c>
      <c r="DJ12" s="467"/>
      <c r="DK12" s="261"/>
      <c r="DM12" s="271" t="s">
        <v>1484</v>
      </c>
      <c r="DN12" s="261">
        <f>132.63+132.43+132.15</f>
        <v>397.21000000000004</v>
      </c>
      <c r="DO12" s="218" t="s">
        <v>1204</v>
      </c>
      <c r="DP12" s="467">
        <v>2.54</v>
      </c>
      <c r="DQ12" s="261"/>
      <c r="DU12" s="483" t="s">
        <v>1058</v>
      </c>
      <c r="DV12" s="486">
        <v>150</v>
      </c>
      <c r="DY12" s="243" t="s">
        <v>1002</v>
      </c>
      <c r="DZ12" s="340">
        <v>1800.05</v>
      </c>
      <c r="EA12" s="219" t="s">
        <v>1621</v>
      </c>
      <c r="EB12" s="499"/>
      <c r="EC12" s="340" t="s">
        <v>1317</v>
      </c>
      <c r="ED12" s="340" t="s">
        <v>686</v>
      </c>
      <c r="EE12" s="271" t="s">
        <v>1538</v>
      </c>
      <c r="EF12" s="271">
        <f>132.66+132.47+132.27+132.26+132.31</f>
        <v>661.97</v>
      </c>
      <c r="EG12" s="271"/>
      <c r="EH12" s="285" t="s">
        <v>1501</v>
      </c>
      <c r="EI12" s="318">
        <v>5709.99</v>
      </c>
      <c r="EL12" s="271" t="s">
        <v>1538</v>
      </c>
      <c r="EM12" s="271" t="s">
        <v>686</v>
      </c>
      <c r="EN12" s="285" t="s">
        <v>1501</v>
      </c>
      <c r="EO12" s="318">
        <v>5762</v>
      </c>
      <c r="EP12" s="340" t="s">
        <v>1578</v>
      </c>
      <c r="ER12" s="305" t="s">
        <v>1687</v>
      </c>
      <c r="ES12" s="340">
        <v>430</v>
      </c>
      <c r="ET12" s="285" t="s">
        <v>1501</v>
      </c>
      <c r="EU12" s="318">
        <v>2917</v>
      </c>
      <c r="EV12" s="340" t="s">
        <v>1578</v>
      </c>
      <c r="EX12" s="305" t="s">
        <v>1891</v>
      </c>
      <c r="EY12" s="340">
        <v>100</v>
      </c>
      <c r="EZ12" s="285" t="s">
        <v>1501</v>
      </c>
      <c r="FA12" s="318">
        <f>13952+12128+5831</f>
        <v>31911</v>
      </c>
      <c r="FB12" s="340" t="s">
        <v>1578</v>
      </c>
      <c r="FD12" s="304" t="s">
        <v>1782</v>
      </c>
      <c r="FE12" s="340">
        <v>5.73</v>
      </c>
      <c r="FF12" s="285" t="s">
        <v>1501</v>
      </c>
      <c r="FG12" s="318">
        <f>18841+3130+8869</f>
        <v>30840</v>
      </c>
      <c r="FH12" s="340" t="s">
        <v>1578</v>
      </c>
      <c r="FJ12" s="310" t="s">
        <v>1378</v>
      </c>
      <c r="FK12" s="340">
        <v>288.75</v>
      </c>
      <c r="FL12" s="340" t="s">
        <v>1806</v>
      </c>
      <c r="FM12" s="259">
        <v>-60000</v>
      </c>
      <c r="FN12" s="340" t="s">
        <v>1608</v>
      </c>
      <c r="FP12" s="305" t="s">
        <v>1002</v>
      </c>
      <c r="FQ12" s="340">
        <v>1800.12</v>
      </c>
      <c r="FR12" s="340" t="s">
        <v>1846</v>
      </c>
      <c r="FS12" s="259"/>
      <c r="FT12" s="340" t="s">
        <v>1561</v>
      </c>
      <c r="FU12" s="340">
        <v>56</v>
      </c>
      <c r="FV12" s="305" t="s">
        <v>1002</v>
      </c>
      <c r="FW12" s="340">
        <v>1800.01</v>
      </c>
      <c r="FX12" s="319" t="s">
        <v>1506</v>
      </c>
      <c r="FY12" s="340">
        <v>1520</v>
      </c>
      <c r="FZ12" s="197" t="s">
        <v>1580</v>
      </c>
      <c r="GB12" s="304" t="s">
        <v>1392</v>
      </c>
      <c r="GC12" s="340">
        <f>SUM(GC16:GC17)</f>
        <v>512.80999999999995</v>
      </c>
      <c r="GD12" s="319" t="s">
        <v>1506</v>
      </c>
      <c r="GE12" s="340">
        <v>2876</v>
      </c>
      <c r="GH12" s="304" t="s">
        <v>1392</v>
      </c>
      <c r="GI12" s="340">
        <f>SUM(GI16:GI16)</f>
        <v>2454.0500000000002</v>
      </c>
      <c r="GJ12" s="319" t="s">
        <v>1505</v>
      </c>
      <c r="GK12" s="340">
        <v>574</v>
      </c>
      <c r="GL12" s="340" t="s">
        <v>1561</v>
      </c>
      <c r="GM12" s="340">
        <f>6.11+47.56</f>
        <v>53.67</v>
      </c>
      <c r="GN12" s="304" t="s">
        <v>1392</v>
      </c>
      <c r="GO12" s="340">
        <f>SUM(GO15:GO16)</f>
        <v>464.65999999999997</v>
      </c>
      <c r="GP12" s="319" t="s">
        <v>1505</v>
      </c>
      <c r="GQ12" s="340">
        <v>833</v>
      </c>
      <c r="GT12" s="304" t="s">
        <v>1392</v>
      </c>
      <c r="GU12" s="340" t="s">
        <v>686</v>
      </c>
      <c r="GV12" s="319" t="s">
        <v>1505</v>
      </c>
      <c r="GW12" s="340">
        <v>631</v>
      </c>
      <c r="GX12" s="340" t="s">
        <v>1608</v>
      </c>
      <c r="GZ12" s="305" t="s">
        <v>1002</v>
      </c>
      <c r="HA12" s="340">
        <v>1800.06</v>
      </c>
      <c r="HB12" s="204" t="s">
        <v>1837</v>
      </c>
      <c r="HC12" s="340">
        <v>2499</v>
      </c>
      <c r="HF12" s="304" t="s">
        <v>1392</v>
      </c>
      <c r="HG12" s="340">
        <f>SUM(HG17:HG17)</f>
        <v>48.24</v>
      </c>
      <c r="HH12" s="319" t="s">
        <v>1505</v>
      </c>
      <c r="HI12" s="340">
        <v>1440</v>
      </c>
      <c r="HJ12" s="340" t="s">
        <v>2155</v>
      </c>
      <c r="HK12" s="240">
        <v>90</v>
      </c>
      <c r="HL12" s="299" t="s">
        <v>2141</v>
      </c>
      <c r="HM12" s="340">
        <v>197.9</v>
      </c>
      <c r="HN12" s="204" t="s">
        <v>1837</v>
      </c>
      <c r="HO12" s="340">
        <v>2499</v>
      </c>
      <c r="HQ12" s="240"/>
      <c r="HR12" s="299" t="s">
        <v>2039</v>
      </c>
      <c r="HS12" s="444">
        <f>2525.92/6</f>
        <v>420.98666666666668</v>
      </c>
      <c r="HT12" s="204" t="s">
        <v>2179</v>
      </c>
      <c r="HU12" s="469">
        <v>-808</v>
      </c>
      <c r="HV12" s="325" t="s">
        <v>2202</v>
      </c>
      <c r="HW12" s="240">
        <v>63.05</v>
      </c>
      <c r="HX12" s="243" t="s">
        <v>2215</v>
      </c>
      <c r="HY12" s="240">
        <f>130000+11893+38316.67+1</f>
        <v>180210.66999999998</v>
      </c>
      <c r="HZ12" s="204" t="s">
        <v>1837</v>
      </c>
      <c r="IA12" s="340">
        <v>499</v>
      </c>
      <c r="IB12" s="340" t="s">
        <v>2282</v>
      </c>
      <c r="IC12" s="320">
        <v>3.0009999999999999</v>
      </c>
      <c r="ID12" s="329" t="s">
        <v>2136</v>
      </c>
      <c r="IE12" s="318">
        <v>4000</v>
      </c>
      <c r="IF12" s="319" t="s">
        <v>1877</v>
      </c>
      <c r="IG12" s="259">
        <v>0</v>
      </c>
      <c r="IH12" s="340" t="s">
        <v>2338</v>
      </c>
      <c r="II12" s="340">
        <f>366.74-127-111</f>
        <v>128.74</v>
      </c>
      <c r="IJ12" s="300" t="s">
        <v>1027</v>
      </c>
      <c r="IK12" s="340">
        <v>1867.15</v>
      </c>
      <c r="IL12" s="319" t="s">
        <v>1505</v>
      </c>
      <c r="IM12" s="259">
        <v>613</v>
      </c>
      <c r="IP12" s="243" t="s">
        <v>2313</v>
      </c>
      <c r="IQ12" s="444">
        <f>IQ13*2</f>
        <v>1833.7466666666667</v>
      </c>
      <c r="IR12" s="319" t="s">
        <v>2427</v>
      </c>
      <c r="IS12" s="259">
        <v>803</v>
      </c>
      <c r="IT12" s="340" t="s">
        <v>2523</v>
      </c>
      <c r="IU12" s="340">
        <v>25.58</v>
      </c>
      <c r="IV12" s="313" t="s">
        <v>2476</v>
      </c>
      <c r="IW12" s="493">
        <v>378.81</v>
      </c>
      <c r="IX12" s="285" t="s">
        <v>1630</v>
      </c>
      <c r="IY12" s="340">
        <v>-997</v>
      </c>
      <c r="IZ12" s="340" t="s">
        <v>2926</v>
      </c>
      <c r="JA12" s="340">
        <v>30</v>
      </c>
      <c r="JB12" s="300" t="s">
        <v>2525</v>
      </c>
      <c r="JC12" s="335">
        <v>52.89</v>
      </c>
      <c r="JD12" s="285" t="s">
        <v>1630</v>
      </c>
      <c r="JE12" s="341">
        <v>-260</v>
      </c>
      <c r="JF12" s="340" t="s">
        <v>2128</v>
      </c>
      <c r="JG12" s="331">
        <f>72.14+1.23</f>
        <v>73.37</v>
      </c>
      <c r="JH12" s="243" t="s">
        <v>2628</v>
      </c>
      <c r="JI12" s="500">
        <f>2.88%/365*(20*140000+21*140220)</f>
        <v>453.27412602739724</v>
      </c>
      <c r="JJ12" s="285" t="s">
        <v>1630</v>
      </c>
      <c r="JK12" s="286">
        <v>-540</v>
      </c>
      <c r="JL12" s="340" t="s">
        <v>1798</v>
      </c>
      <c r="JM12" s="202">
        <v>13.11</v>
      </c>
      <c r="JN12" s="243" t="s">
        <v>2679</v>
      </c>
      <c r="JO12" s="320">
        <v>110000</v>
      </c>
      <c r="JP12" s="204" t="s">
        <v>2665</v>
      </c>
      <c r="JQ12" s="259">
        <v>2600</v>
      </c>
      <c r="JR12" s="487" t="s">
        <v>2743</v>
      </c>
      <c r="JT12" s="243" t="s">
        <v>2718</v>
      </c>
      <c r="JU12" s="320">
        <v>1478.09</v>
      </c>
      <c r="JV12" s="319" t="s">
        <v>2666</v>
      </c>
      <c r="JW12" s="259">
        <v>800</v>
      </c>
      <c r="JX12" s="340" t="s">
        <v>1798</v>
      </c>
      <c r="JY12" s="395" t="s">
        <v>686</v>
      </c>
      <c r="JZ12" s="300" t="s">
        <v>1813</v>
      </c>
      <c r="KA12" s="202">
        <v>67.23</v>
      </c>
      <c r="KB12" s="204" t="s">
        <v>2665</v>
      </c>
      <c r="KC12" s="259">
        <v>2600</v>
      </c>
      <c r="KD12" s="340" t="s">
        <v>2886</v>
      </c>
      <c r="KE12" s="395">
        <v>46</v>
      </c>
      <c r="KF12" s="299" t="s">
        <v>2958</v>
      </c>
      <c r="KG12" s="320">
        <v>193.39</v>
      </c>
      <c r="KH12" s="319" t="s">
        <v>2571</v>
      </c>
      <c r="KI12" s="259">
        <v>-4000</v>
      </c>
      <c r="KJ12" s="340" t="s">
        <v>2844</v>
      </c>
      <c r="KK12" s="320" t="s">
        <v>657</v>
      </c>
      <c r="KL12" s="254" t="s">
        <v>1557</v>
      </c>
      <c r="KM12" s="340">
        <f>47.8-21.9</f>
        <v>25.9</v>
      </c>
      <c r="KN12" s="259">
        <f>SUM(KI8:KI9)+180+3750</f>
        <v>-127017</v>
      </c>
      <c r="KO12" s="259" t="s">
        <v>2972</v>
      </c>
      <c r="KP12" s="217"/>
      <c r="KQ12" s="395"/>
      <c r="KR12" s="300" t="s">
        <v>3066</v>
      </c>
      <c r="KS12" s="204">
        <v>15.2</v>
      </c>
      <c r="KT12" s="340" t="s">
        <v>3003</v>
      </c>
      <c r="KU12" s="259">
        <v>-123206</v>
      </c>
      <c r="KV12" s="204" t="s">
        <v>3263</v>
      </c>
      <c r="KW12" s="395">
        <f>32.02+3.51</f>
        <v>35.53</v>
      </c>
      <c r="KX12" s="300" t="s">
        <v>3113</v>
      </c>
      <c r="KY12" s="611">
        <v>113.21</v>
      </c>
      <c r="KZ12" s="319" t="s">
        <v>3005</v>
      </c>
      <c r="LA12" s="259">
        <v>1548</v>
      </c>
      <c r="LB12" s="649" t="s">
        <v>3185</v>
      </c>
      <c r="LC12" s="395">
        <v>10</v>
      </c>
      <c r="LD12" s="446" t="s">
        <v>3147</v>
      </c>
      <c r="LE12" s="240">
        <v>3200</v>
      </c>
      <c r="LF12" s="624" t="s">
        <v>3083</v>
      </c>
      <c r="LG12" s="259">
        <v>209004</v>
      </c>
      <c r="LH12" s="656" t="s">
        <v>3080</v>
      </c>
      <c r="LI12" s="320"/>
      <c r="LJ12" s="300" t="s">
        <v>3220</v>
      </c>
      <c r="LK12" s="636">
        <v>9.5</v>
      </c>
      <c r="LL12" s="661" t="s">
        <v>3083</v>
      </c>
      <c r="LM12" s="259">
        <v>132010</v>
      </c>
      <c r="LN12" s="688" t="s">
        <v>1798</v>
      </c>
      <c r="LO12" s="395"/>
      <c r="LP12" s="300" t="s">
        <v>2475</v>
      </c>
      <c r="LQ12" s="636"/>
      <c r="LR12" s="693" t="s">
        <v>2905</v>
      </c>
      <c r="LS12" s="259">
        <v>101378</v>
      </c>
      <c r="LT12" s="465" t="s">
        <v>3275</v>
      </c>
      <c r="LU12" s="259"/>
    </row>
    <row r="13" spans="1:333">
      <c r="A13" s="218" t="s">
        <v>239</v>
      </c>
      <c r="B13" s="467"/>
      <c r="E13" s="170"/>
      <c r="F13" s="170"/>
      <c r="G13" s="218" t="s">
        <v>239</v>
      </c>
      <c r="H13" s="467"/>
      <c r="K13" s="170"/>
      <c r="M13" s="218" t="s">
        <v>1035</v>
      </c>
      <c r="N13" s="467">
        <v>49</v>
      </c>
      <c r="O13" s="340" t="s">
        <v>1054</v>
      </c>
      <c r="S13" s="218" t="s">
        <v>129</v>
      </c>
      <c r="T13" s="467">
        <v>-17</v>
      </c>
      <c r="U13" s="340" t="s">
        <v>1054</v>
      </c>
      <c r="W13" s="192" t="s">
        <v>1063</v>
      </c>
      <c r="X13" s="340">
        <v>2500.11</v>
      </c>
      <c r="Y13" s="218" t="s">
        <v>1060</v>
      </c>
      <c r="Z13" s="467">
        <v>11.6</v>
      </c>
      <c r="AA13" s="340" t="s">
        <v>1054</v>
      </c>
      <c r="AC13" s="166" t="s">
        <v>1091</v>
      </c>
      <c r="AD13" s="340">
        <v>0</v>
      </c>
      <c r="AE13" s="218" t="s">
        <v>239</v>
      </c>
      <c r="AF13" s="467"/>
      <c r="AI13" s="166" t="s">
        <v>1091</v>
      </c>
      <c r="AJ13" s="340">
        <v>0</v>
      </c>
      <c r="AK13" s="218" t="s">
        <v>239</v>
      </c>
      <c r="AL13" s="467"/>
      <c r="AM13" s="340" t="s">
        <v>1136</v>
      </c>
      <c r="AO13" s="192" t="s">
        <v>1120</v>
      </c>
      <c r="AP13" s="340">
        <f>1800-700</f>
        <v>1100</v>
      </c>
      <c r="AQ13" s="218" t="s">
        <v>1148</v>
      </c>
      <c r="AR13" s="467"/>
      <c r="AU13" s="192" t="s">
        <v>311</v>
      </c>
      <c r="AW13" s="218" t="s">
        <v>1148</v>
      </c>
      <c r="AX13" s="467"/>
      <c r="AY13" s="192"/>
      <c r="BA13" s="218" t="s">
        <v>1148</v>
      </c>
      <c r="BB13" s="467">
        <f t="shared" si="0"/>
        <v>0</v>
      </c>
      <c r="BE13" s="192" t="s">
        <v>311</v>
      </c>
      <c r="BG13" s="218" t="s">
        <v>1148</v>
      </c>
      <c r="BH13" s="364"/>
      <c r="BK13" s="254" t="s">
        <v>1220</v>
      </c>
      <c r="BL13" s="204">
        <v>100</v>
      </c>
      <c r="BM13" s="218" t="s">
        <v>1148</v>
      </c>
      <c r="BN13" s="364"/>
      <c r="BQ13" s="254" t="s">
        <v>1238</v>
      </c>
      <c r="BR13" s="204">
        <v>100</v>
      </c>
      <c r="BS13" s="218" t="s">
        <v>1148</v>
      </c>
      <c r="BT13" s="377"/>
      <c r="BW13" s="254" t="s">
        <v>1258</v>
      </c>
      <c r="BX13" s="204">
        <v>100</v>
      </c>
      <c r="BY13" s="218" t="s">
        <v>1096</v>
      </c>
      <c r="BZ13" s="467">
        <v>-1140</v>
      </c>
      <c r="CA13" s="261" t="s">
        <v>1293</v>
      </c>
      <c r="CB13" s="217">
        <v>8.2200000000000006</v>
      </c>
      <c r="CC13" s="254" t="s">
        <v>1292</v>
      </c>
      <c r="CD13" s="204">
        <v>100</v>
      </c>
      <c r="CE13" s="218" t="s">
        <v>1096</v>
      </c>
      <c r="CF13" s="467">
        <v>-1779</v>
      </c>
      <c r="CG13" s="204" t="s">
        <v>578</v>
      </c>
      <c r="CI13" s="254" t="s">
        <v>1292</v>
      </c>
      <c r="CJ13" s="204">
        <v>100</v>
      </c>
      <c r="CK13" s="218" t="s">
        <v>129</v>
      </c>
      <c r="CL13" s="467" t="s">
        <v>1298</v>
      </c>
      <c r="CM13" s="204" t="s">
        <v>578</v>
      </c>
      <c r="CO13" s="254" t="s">
        <v>1292</v>
      </c>
      <c r="CP13" s="204">
        <v>100</v>
      </c>
      <c r="CQ13" s="218" t="s">
        <v>1096</v>
      </c>
      <c r="CR13" s="467">
        <v>-826</v>
      </c>
      <c r="CS13" s="204"/>
      <c r="CT13" s="204"/>
      <c r="CU13" s="266" t="s">
        <v>1325</v>
      </c>
      <c r="CV13" s="217">
        <f>12.91+6+14.99</f>
        <v>33.9</v>
      </c>
      <c r="CW13" s="218" t="s">
        <v>1096</v>
      </c>
      <c r="CX13" s="467">
        <v>-620</v>
      </c>
      <c r="CY13" s="204"/>
      <c r="CZ13" s="204"/>
      <c r="DA13" s="271" t="s">
        <v>311</v>
      </c>
      <c r="DB13" s="204" t="s">
        <v>686</v>
      </c>
      <c r="DC13" s="497" t="s">
        <v>1148</v>
      </c>
      <c r="DD13" s="498"/>
      <c r="DE13" s="261" t="s">
        <v>1802</v>
      </c>
      <c r="DF13" s="217">
        <v>1.07</v>
      </c>
      <c r="DG13" s="271" t="s">
        <v>1482</v>
      </c>
      <c r="DH13" s="261">
        <v>2193</v>
      </c>
      <c r="DI13" s="218" t="s">
        <v>1096</v>
      </c>
      <c r="DJ13" s="467">
        <v>-2174</v>
      </c>
      <c r="DK13" s="204" t="s">
        <v>578</v>
      </c>
      <c r="DM13" s="271" t="s">
        <v>1516</v>
      </c>
      <c r="DN13" s="261">
        <v>100</v>
      </c>
      <c r="DO13" s="483" t="s">
        <v>1058</v>
      </c>
      <c r="DP13" s="486">
        <v>130.001</v>
      </c>
      <c r="DQ13" s="204" t="s">
        <v>1578</v>
      </c>
      <c r="DS13" s="271" t="s">
        <v>1540</v>
      </c>
      <c r="DT13" s="274">
        <f>15000.01+20000.01</f>
        <v>35000.019999999997</v>
      </c>
      <c r="DU13" s="501" t="s">
        <v>1558</v>
      </c>
      <c r="DV13" s="502"/>
      <c r="DW13" s="340" t="s">
        <v>1489</v>
      </c>
      <c r="DX13" s="340" t="s">
        <v>686</v>
      </c>
      <c r="DY13" s="296" t="s">
        <v>1601</v>
      </c>
      <c r="DZ13" s="340" t="s">
        <v>686</v>
      </c>
      <c r="EA13" s="218" t="s">
        <v>1501</v>
      </c>
      <c r="EB13" s="377">
        <f>9880+1491</f>
        <v>11371</v>
      </c>
      <c r="EE13" s="296" t="s">
        <v>1601</v>
      </c>
      <c r="EF13" s="340" t="s">
        <v>686</v>
      </c>
      <c r="EH13" s="285" t="s">
        <v>1568</v>
      </c>
      <c r="EI13" s="318">
        <v>10000</v>
      </c>
      <c r="EJ13" s="340" t="s">
        <v>1608</v>
      </c>
      <c r="EL13" s="243" t="s">
        <v>1325</v>
      </c>
      <c r="EM13" s="340" t="s">
        <v>686</v>
      </c>
      <c r="EN13" s="285" t="s">
        <v>1469</v>
      </c>
      <c r="EO13" s="318">
        <f>5000+3000</f>
        <v>8000</v>
      </c>
      <c r="EP13" s="340" t="s">
        <v>1195</v>
      </c>
      <c r="EQ13" s="340">
        <v>130</v>
      </c>
      <c r="ER13" s="304" t="s">
        <v>1163</v>
      </c>
      <c r="ET13" s="285" t="s">
        <v>1700</v>
      </c>
      <c r="EU13" s="318">
        <v>11000</v>
      </c>
      <c r="EV13" s="340" t="s">
        <v>1279</v>
      </c>
      <c r="EW13" s="340">
        <f>19.9+11.7</f>
        <v>31.599999999999998</v>
      </c>
      <c r="EX13" s="304" t="s">
        <v>1163</v>
      </c>
      <c r="EZ13" s="285" t="s">
        <v>1700</v>
      </c>
      <c r="FA13" s="318">
        <v>6000</v>
      </c>
      <c r="FB13" s="340" t="s">
        <v>1279</v>
      </c>
      <c r="FC13" s="340">
        <v>9.9</v>
      </c>
      <c r="FD13" s="300" t="s">
        <v>1784</v>
      </c>
      <c r="FE13" s="340">
        <v>10</v>
      </c>
      <c r="FF13" s="285" t="s">
        <v>1700</v>
      </c>
      <c r="FG13" s="318">
        <v>3000</v>
      </c>
      <c r="FJ13" s="300" t="s">
        <v>1791</v>
      </c>
      <c r="FK13" s="340" t="s">
        <v>686</v>
      </c>
      <c r="FL13" s="488" t="s">
        <v>1809</v>
      </c>
      <c r="FM13" s="488"/>
      <c r="FN13" s="340" t="s">
        <v>1798</v>
      </c>
      <c r="FO13" s="340" t="s">
        <v>686</v>
      </c>
      <c r="FP13" s="243" t="s">
        <v>1848</v>
      </c>
      <c r="FQ13" s="340">
        <v>1000</v>
      </c>
      <c r="FR13" s="340" t="s">
        <v>1821</v>
      </c>
      <c r="FS13" s="259">
        <f>-60000-24000</f>
        <v>-84000</v>
      </c>
      <c r="FT13" s="340" t="s">
        <v>1608</v>
      </c>
      <c r="FV13" s="243" t="s">
        <v>1848</v>
      </c>
      <c r="FW13" s="340">
        <v>4000</v>
      </c>
      <c r="FX13" s="319" t="s">
        <v>1877</v>
      </c>
      <c r="FY13" s="340">
        <v>473</v>
      </c>
      <c r="FZ13" s="340" t="s">
        <v>1561</v>
      </c>
      <c r="GA13" s="340">
        <v>52</v>
      </c>
      <c r="GB13" s="305" t="s">
        <v>1002</v>
      </c>
      <c r="GC13" s="340">
        <v>1800.02</v>
      </c>
      <c r="GD13" s="319" t="s">
        <v>1877</v>
      </c>
      <c r="GE13" s="340">
        <v>724</v>
      </c>
      <c r="GF13" s="197" t="s">
        <v>1580</v>
      </c>
      <c r="GH13" s="305" t="s">
        <v>1002</v>
      </c>
      <c r="GI13" s="340">
        <v>1800.03</v>
      </c>
      <c r="GJ13" s="319" t="s">
        <v>1506</v>
      </c>
      <c r="GK13" s="340">
        <v>3378</v>
      </c>
      <c r="GN13" s="305" t="s">
        <v>1999</v>
      </c>
      <c r="GO13" s="340">
        <v>1004</v>
      </c>
      <c r="GP13" s="319" t="s">
        <v>1506</v>
      </c>
      <c r="GQ13" s="340">
        <v>2198</v>
      </c>
      <c r="GR13" s="197" t="s">
        <v>1580</v>
      </c>
      <c r="GT13" s="305" t="s">
        <v>1002</v>
      </c>
      <c r="GU13" s="340">
        <f>1800.04+1800.05</f>
        <v>3600.09</v>
      </c>
      <c r="GV13" s="319" t="s">
        <v>1506</v>
      </c>
      <c r="GW13" s="340">
        <v>4266</v>
      </c>
      <c r="GX13" s="325" t="s">
        <v>423</v>
      </c>
      <c r="GY13" s="340">
        <v>137</v>
      </c>
      <c r="GZ13" s="243" t="s">
        <v>2040</v>
      </c>
      <c r="HA13" s="503">
        <f>HA18*5</f>
        <v>2104.9333333333334</v>
      </c>
      <c r="HB13" s="319" t="s">
        <v>1505</v>
      </c>
      <c r="HC13" s="340">
        <v>700</v>
      </c>
      <c r="HD13" s="340" t="s">
        <v>1608</v>
      </c>
      <c r="HF13" s="305" t="s">
        <v>1002</v>
      </c>
      <c r="HG13" s="340">
        <v>1900.07</v>
      </c>
      <c r="HH13" s="319" t="s">
        <v>1506</v>
      </c>
      <c r="HI13" s="340">
        <v>3957</v>
      </c>
      <c r="HL13" s="299" t="s">
        <v>1815</v>
      </c>
      <c r="HM13" s="340">
        <v>140.44999999999999</v>
      </c>
      <c r="HN13" s="319" t="s">
        <v>1505</v>
      </c>
      <c r="HO13" s="340">
        <v>561</v>
      </c>
      <c r="HR13" s="299" t="s">
        <v>1919</v>
      </c>
      <c r="HS13" s="204">
        <v>71.900000000000006</v>
      </c>
      <c r="HT13" s="204" t="s">
        <v>1837</v>
      </c>
      <c r="HU13" s="340">
        <v>499</v>
      </c>
      <c r="HV13" s="340" t="s">
        <v>2273</v>
      </c>
      <c r="HW13" s="240">
        <v>14.49</v>
      </c>
      <c r="HX13" s="243" t="s">
        <v>2210</v>
      </c>
      <c r="HY13" s="340">
        <v>10.96</v>
      </c>
      <c r="HZ13" s="319" t="s">
        <v>1505</v>
      </c>
      <c r="IA13" s="340">
        <v>1075</v>
      </c>
      <c r="IB13" s="340" t="s">
        <v>2258</v>
      </c>
      <c r="IC13" s="320">
        <v>203.43</v>
      </c>
      <c r="ID13" s="329" t="s">
        <v>1984</v>
      </c>
      <c r="IE13" s="318">
        <v>25000</v>
      </c>
      <c r="IF13" s="319" t="s">
        <v>1873</v>
      </c>
      <c r="IG13" s="259">
        <v>361</v>
      </c>
      <c r="IH13" s="340" t="s">
        <v>2318</v>
      </c>
      <c r="II13" s="331">
        <f>160+85</f>
        <v>245</v>
      </c>
      <c r="IJ13" s="300" t="s">
        <v>2382</v>
      </c>
      <c r="IK13" s="340">
        <f>139.5+131.4</f>
        <v>270.89999999999998</v>
      </c>
      <c r="IL13" s="319" t="s">
        <v>2350</v>
      </c>
      <c r="IM13" s="259">
        <v>869</v>
      </c>
      <c r="IN13" s="340" t="s">
        <v>2354</v>
      </c>
      <c r="IO13" s="331"/>
      <c r="IP13" s="299" t="s">
        <v>2450</v>
      </c>
      <c r="IQ13" s="444">
        <f>2750.62/3</f>
        <v>916.87333333333333</v>
      </c>
      <c r="IR13" s="488" t="s">
        <v>2454</v>
      </c>
      <c r="IS13" s="259">
        <v>142</v>
      </c>
      <c r="IV13" s="300" t="s">
        <v>2500</v>
      </c>
      <c r="IW13" s="335">
        <v>170</v>
      </c>
      <c r="IX13" s="204" t="s">
        <v>1837</v>
      </c>
      <c r="IY13" s="321">
        <v>2600</v>
      </c>
      <c r="JB13" s="384" t="s">
        <v>2589</v>
      </c>
      <c r="JC13" s="335">
        <f>80-40</f>
        <v>40</v>
      </c>
      <c r="JD13" s="204" t="s">
        <v>1837</v>
      </c>
      <c r="JE13" s="334">
        <v>2600</v>
      </c>
      <c r="JF13" s="340" t="s">
        <v>2764</v>
      </c>
      <c r="JG13" s="320">
        <v>22.41</v>
      </c>
      <c r="JH13" s="243" t="s">
        <v>2643</v>
      </c>
      <c r="JI13" s="500"/>
      <c r="JJ13" s="204" t="s">
        <v>1837</v>
      </c>
      <c r="JK13" s="259">
        <v>2600</v>
      </c>
      <c r="JL13" s="217" t="s">
        <v>2765</v>
      </c>
      <c r="JM13" s="395">
        <v>5.9</v>
      </c>
      <c r="JN13" s="243" t="s">
        <v>2897</v>
      </c>
      <c r="JO13" s="240">
        <f>JO14*4</f>
        <v>5080.7519999999995</v>
      </c>
      <c r="JP13" s="319" t="s">
        <v>2666</v>
      </c>
      <c r="JQ13" s="259">
        <v>682</v>
      </c>
      <c r="JR13" s="340" t="s">
        <v>2354</v>
      </c>
      <c r="JS13" s="331"/>
      <c r="JT13" s="243" t="s">
        <v>2521</v>
      </c>
      <c r="JU13" s="240">
        <f>JU14*4</f>
        <v>2540.3759999999997</v>
      </c>
      <c r="JV13" s="319" t="s">
        <v>2667</v>
      </c>
      <c r="JW13" s="259">
        <v>597</v>
      </c>
      <c r="JX13" s="217" t="s">
        <v>2789</v>
      </c>
      <c r="JY13" s="395">
        <v>7.95</v>
      </c>
      <c r="JZ13" s="300" t="s">
        <v>2779</v>
      </c>
      <c r="KA13" s="202">
        <v>2062.8000000000002</v>
      </c>
      <c r="KB13" s="319" t="s">
        <v>2666</v>
      </c>
      <c r="KC13" s="259">
        <v>765</v>
      </c>
      <c r="KD13" s="340" t="s">
        <v>1798</v>
      </c>
      <c r="KE13" s="395">
        <v>13.54</v>
      </c>
      <c r="KF13" s="299" t="s">
        <v>2460</v>
      </c>
      <c r="KG13" s="202">
        <v>74.64</v>
      </c>
      <c r="KH13" s="204" t="s">
        <v>2845</v>
      </c>
      <c r="KI13" s="318">
        <v>366011</v>
      </c>
      <c r="KJ13" s="340" t="s">
        <v>2834</v>
      </c>
      <c r="KK13" s="395">
        <f>73.33+0.96</f>
        <v>74.289999999999992</v>
      </c>
      <c r="KL13" s="254" t="s">
        <v>2417</v>
      </c>
      <c r="KM13" s="340">
        <v>40.590000000000003</v>
      </c>
      <c r="KN13" s="285" t="s">
        <v>2992</v>
      </c>
      <c r="KO13" s="318">
        <v>-82000</v>
      </c>
      <c r="KP13" s="340" t="s">
        <v>2821</v>
      </c>
      <c r="KQ13" s="395"/>
      <c r="KR13" s="300" t="s">
        <v>3056</v>
      </c>
      <c r="KS13" s="340">
        <v>43.2</v>
      </c>
      <c r="KT13" s="285" t="s">
        <v>2992</v>
      </c>
      <c r="KU13" s="318">
        <v>-82000</v>
      </c>
      <c r="KV13" s="596" t="s">
        <v>3090</v>
      </c>
      <c r="KW13" s="395">
        <v>15</v>
      </c>
      <c r="KX13" s="300" t="s">
        <v>3120</v>
      </c>
      <c r="KY13" s="598">
        <v>91.22</v>
      </c>
      <c r="KZ13" s="597" t="s">
        <v>2433</v>
      </c>
      <c r="LA13" s="259">
        <v>1</v>
      </c>
      <c r="LB13" s="617" t="s">
        <v>2835</v>
      </c>
      <c r="LC13" s="617"/>
      <c r="LD13" s="300" t="s">
        <v>3153</v>
      </c>
      <c r="LE13" s="636">
        <v>734.4</v>
      </c>
      <c r="LF13" s="624" t="s">
        <v>2905</v>
      </c>
      <c r="LG13" s="259">
        <v>101429</v>
      </c>
      <c r="LH13" s="656" t="s">
        <v>3267</v>
      </c>
      <c r="LI13" s="395">
        <v>52.000999999999998</v>
      </c>
      <c r="LJ13" s="300" t="s">
        <v>3230</v>
      </c>
      <c r="LK13" s="636">
        <v>79</v>
      </c>
      <c r="LL13" s="661" t="s">
        <v>2905</v>
      </c>
      <c r="LM13" s="259">
        <v>101434</v>
      </c>
      <c r="LN13" s="217" t="s">
        <v>2789</v>
      </c>
      <c r="LO13" s="395"/>
      <c r="LP13" s="300" t="s">
        <v>2475</v>
      </c>
      <c r="LQ13" s="636"/>
      <c r="LR13" s="691" t="s">
        <v>2877</v>
      </c>
      <c r="LS13" s="357"/>
    </row>
    <row r="14" spans="1:333">
      <c r="A14" s="218" t="s">
        <v>1096</v>
      </c>
      <c r="B14" s="467">
        <v>-1047</v>
      </c>
      <c r="E14" s="170" t="s">
        <v>1002</v>
      </c>
      <c r="F14" s="170">
        <f>2500*5</f>
        <v>12500</v>
      </c>
      <c r="G14" s="218" t="s">
        <v>1096</v>
      </c>
      <c r="H14" s="467">
        <v>-1303</v>
      </c>
      <c r="K14" s="170" t="s">
        <v>1002</v>
      </c>
      <c r="L14" s="340">
        <v>0</v>
      </c>
      <c r="M14" s="218" t="s">
        <v>344</v>
      </c>
      <c r="N14" s="467">
        <v>0</v>
      </c>
      <c r="O14" s="340" t="s">
        <v>1055</v>
      </c>
      <c r="P14" s="340">
        <v>700</v>
      </c>
      <c r="Q14" s="192" t="s">
        <v>1002</v>
      </c>
      <c r="R14" s="340">
        <f>2500.09+2500.1</f>
        <v>5000.1900000000005</v>
      </c>
      <c r="S14" s="218" t="s">
        <v>344</v>
      </c>
      <c r="T14" s="467">
        <v>0</v>
      </c>
      <c r="U14" s="340" t="s">
        <v>1055</v>
      </c>
      <c r="V14" s="340">
        <v>0</v>
      </c>
      <c r="W14" s="192" t="s">
        <v>1065</v>
      </c>
      <c r="X14" s="340">
        <v>100</v>
      </c>
      <c r="Y14" s="218" t="s">
        <v>1077</v>
      </c>
      <c r="Z14" s="467">
        <v>110.001</v>
      </c>
      <c r="AA14" s="340" t="s">
        <v>1055</v>
      </c>
      <c r="AB14" s="340">
        <v>0</v>
      </c>
      <c r="AC14" s="242" t="s">
        <v>1029</v>
      </c>
      <c r="AD14" s="340">
        <v>0</v>
      </c>
      <c r="AE14" s="218" t="s">
        <v>1096</v>
      </c>
      <c r="AF14" s="467">
        <v>-1678.46</v>
      </c>
      <c r="AG14" s="340" t="s">
        <v>1061</v>
      </c>
      <c r="AI14" s="242" t="s">
        <v>1029</v>
      </c>
      <c r="AJ14" s="340">
        <v>0</v>
      </c>
      <c r="AK14" s="218" t="s">
        <v>1096</v>
      </c>
      <c r="AL14" s="467">
        <v>-2265</v>
      </c>
      <c r="AM14" s="340" t="s">
        <v>1141</v>
      </c>
      <c r="AN14" s="340">
        <v>17</v>
      </c>
      <c r="AO14" s="192" t="s">
        <v>1119</v>
      </c>
      <c r="AP14" s="340">
        <v>3300</v>
      </c>
      <c r="AQ14" s="218" t="s">
        <v>1096</v>
      </c>
      <c r="AR14" s="467">
        <v>-292</v>
      </c>
      <c r="AU14" s="192" t="s">
        <v>1157</v>
      </c>
      <c r="AV14" s="340">
        <v>200</v>
      </c>
      <c r="AW14" s="218" t="s">
        <v>1096</v>
      </c>
      <c r="AX14" s="467">
        <v>-1148</v>
      </c>
      <c r="AY14" s="192"/>
      <c r="BA14" s="218" t="s">
        <v>1096</v>
      </c>
      <c r="BB14" s="467">
        <f t="shared" si="0"/>
        <v>-1148</v>
      </c>
      <c r="BE14" s="192" t="s">
        <v>1194</v>
      </c>
      <c r="BF14" s="340" t="s">
        <v>686</v>
      </c>
      <c r="BG14" s="218" t="s">
        <v>1096</v>
      </c>
      <c r="BH14" s="340">
        <v>-1906</v>
      </c>
      <c r="BI14" s="217" t="s">
        <v>1061</v>
      </c>
      <c r="BJ14" s="204" t="s">
        <v>686</v>
      </c>
      <c r="BK14" s="254" t="s">
        <v>311</v>
      </c>
      <c r="BL14" s="217" t="s">
        <v>686</v>
      </c>
      <c r="BM14" s="218" t="s">
        <v>1096</v>
      </c>
      <c r="BN14" s="218">
        <v>-1333</v>
      </c>
      <c r="BO14" s="217" t="s">
        <v>1061</v>
      </c>
      <c r="BP14" s="204" t="s">
        <v>686</v>
      </c>
      <c r="BQ14" s="254" t="s">
        <v>311</v>
      </c>
      <c r="BR14" s="204" t="s">
        <v>686</v>
      </c>
      <c r="BS14" s="218" t="s">
        <v>1096</v>
      </c>
      <c r="BT14" s="377">
        <v>-1444</v>
      </c>
      <c r="BW14" s="254" t="s">
        <v>311</v>
      </c>
      <c r="BX14" s="204" t="s">
        <v>686</v>
      </c>
      <c r="BY14" s="218" t="s">
        <v>1060</v>
      </c>
      <c r="BZ14" s="467">
        <v>73</v>
      </c>
      <c r="CA14" s="204" t="s">
        <v>1266</v>
      </c>
      <c r="CC14" s="254" t="s">
        <v>311</v>
      </c>
      <c r="CD14" s="204" t="s">
        <v>686</v>
      </c>
      <c r="CE14" s="218" t="s">
        <v>129</v>
      </c>
      <c r="CF14" s="467">
        <v>0</v>
      </c>
      <c r="CG14" s="261" t="s">
        <v>1294</v>
      </c>
      <c r="CH14" s="204">
        <v>20.100000000000001</v>
      </c>
      <c r="CI14" s="254" t="s">
        <v>1302</v>
      </c>
      <c r="CJ14" s="204">
        <v>1000</v>
      </c>
      <c r="CK14" s="218" t="s">
        <v>1204</v>
      </c>
      <c r="CL14" s="467">
        <v>15.87</v>
      </c>
      <c r="CM14" s="261" t="s">
        <v>1328</v>
      </c>
      <c r="CN14" s="204">
        <v>5.8</v>
      </c>
      <c r="CO14" s="254" t="s">
        <v>311</v>
      </c>
      <c r="CP14" s="204" t="s">
        <v>686</v>
      </c>
      <c r="CQ14" s="218" t="s">
        <v>129</v>
      </c>
      <c r="CR14" s="467" t="s">
        <v>686</v>
      </c>
      <c r="CS14" s="204" t="s">
        <v>578</v>
      </c>
      <c r="CU14" s="266" t="s">
        <v>1292</v>
      </c>
      <c r="CV14" s="204">
        <v>100</v>
      </c>
      <c r="CW14" s="218" t="s">
        <v>129</v>
      </c>
      <c r="CX14" s="467" t="s">
        <v>686</v>
      </c>
      <c r="CY14" s="261" t="s">
        <v>1344</v>
      </c>
      <c r="CZ14" s="204"/>
      <c r="DA14" s="271" t="s">
        <v>1318</v>
      </c>
      <c r="DB14" s="217">
        <v>1800.12</v>
      </c>
      <c r="DC14" s="218" t="s">
        <v>1096</v>
      </c>
      <c r="DD14" s="467">
        <v>-2258</v>
      </c>
      <c r="DE14" s="261" t="s">
        <v>1803</v>
      </c>
      <c r="DF14" s="204">
        <v>11.94</v>
      </c>
      <c r="DG14" s="271" t="s">
        <v>1460</v>
      </c>
      <c r="DH14" s="261">
        <v>500</v>
      </c>
      <c r="DI14" s="218" t="s">
        <v>129</v>
      </c>
      <c r="DJ14" s="467">
        <v>0</v>
      </c>
      <c r="DK14" s="261"/>
      <c r="DL14" s="204"/>
      <c r="DM14" s="271" t="s">
        <v>1524</v>
      </c>
      <c r="DN14" s="261">
        <v>2700</v>
      </c>
      <c r="DO14" s="743" t="s">
        <v>1504</v>
      </c>
      <c r="DP14" s="744"/>
      <c r="DQ14" s="261" t="s">
        <v>1577</v>
      </c>
      <c r="DR14" s="204">
        <v>128.4</v>
      </c>
      <c r="DS14" s="271" t="s">
        <v>1538</v>
      </c>
      <c r="DT14" s="261" t="s">
        <v>686</v>
      </c>
      <c r="DU14" s="218" t="s">
        <v>1501</v>
      </c>
      <c r="DV14" s="377">
        <f>10013+1491</f>
        <v>11504</v>
      </c>
      <c r="DY14" s="241"/>
      <c r="DZ14" s="308"/>
      <c r="EA14" s="218" t="s">
        <v>1568</v>
      </c>
      <c r="EB14" s="477">
        <v>10000</v>
      </c>
      <c r="EC14" s="340" t="s">
        <v>1578</v>
      </c>
      <c r="EE14" s="241" t="s">
        <v>1027</v>
      </c>
      <c r="EF14" s="308" t="s">
        <v>686</v>
      </c>
      <c r="EH14" s="285" t="s">
        <v>1569</v>
      </c>
      <c r="EI14" s="318">
        <v>10000</v>
      </c>
      <c r="EL14" s="304" t="s">
        <v>1378</v>
      </c>
      <c r="EM14" s="340">
        <v>1476</v>
      </c>
      <c r="EN14" s="285" t="s">
        <v>1457</v>
      </c>
      <c r="EO14" s="318">
        <f>5000+5000</f>
        <v>10000</v>
      </c>
      <c r="ER14" s="300" t="s">
        <v>1691</v>
      </c>
      <c r="ES14" s="340">
        <v>10</v>
      </c>
      <c r="ET14" s="204" t="s">
        <v>1709</v>
      </c>
      <c r="EU14" s="260">
        <v>1000</v>
      </c>
      <c r="EV14" s="340" t="s">
        <v>1734</v>
      </c>
      <c r="EW14" s="340">
        <v>104</v>
      </c>
      <c r="EX14" s="300" t="s">
        <v>1730</v>
      </c>
      <c r="EY14" s="308">
        <v>481.5</v>
      </c>
      <c r="EZ14" s="204" t="s">
        <v>1709</v>
      </c>
      <c r="FA14" s="260">
        <v>1000</v>
      </c>
      <c r="FB14" s="340" t="s">
        <v>1752</v>
      </c>
      <c r="FC14" s="340">
        <v>31.1</v>
      </c>
      <c r="FD14" s="300" t="s">
        <v>1785</v>
      </c>
      <c r="FE14" s="340">
        <v>11.25</v>
      </c>
      <c r="FF14" s="204" t="s">
        <v>1709</v>
      </c>
      <c r="FG14" s="260">
        <v>1000</v>
      </c>
      <c r="FH14" s="197" t="s">
        <v>1579</v>
      </c>
      <c r="FJ14" s="300" t="s">
        <v>1813</v>
      </c>
      <c r="FK14" s="308">
        <v>35.32</v>
      </c>
      <c r="FL14" s="285" t="s">
        <v>1501</v>
      </c>
      <c r="FM14" s="318">
        <v>478</v>
      </c>
      <c r="FP14" s="243" t="s">
        <v>1834</v>
      </c>
      <c r="FQ14" s="340">
        <v>10000</v>
      </c>
      <c r="FR14" s="488" t="s">
        <v>1824</v>
      </c>
      <c r="FS14" s="488"/>
      <c r="FT14" s="325" t="s">
        <v>423</v>
      </c>
      <c r="FU14" s="340">
        <v>67</v>
      </c>
      <c r="FV14" s="243" t="s">
        <v>1884</v>
      </c>
      <c r="FW14" s="340">
        <f>10000+20000+30000</f>
        <v>60000</v>
      </c>
      <c r="FX14" s="319" t="s">
        <v>1873</v>
      </c>
      <c r="FY14" s="340">
        <v>1218</v>
      </c>
      <c r="GB14" s="305" t="s">
        <v>2038</v>
      </c>
      <c r="GC14" s="340">
        <v>1000</v>
      </c>
      <c r="GD14" s="319" t="s">
        <v>1873</v>
      </c>
      <c r="GE14" s="340">
        <v>1258</v>
      </c>
      <c r="GF14" s="340" t="s">
        <v>1561</v>
      </c>
      <c r="GG14" s="340">
        <v>43</v>
      </c>
      <c r="GH14" s="305" t="s">
        <v>1951</v>
      </c>
      <c r="GI14" s="340">
        <v>2000</v>
      </c>
      <c r="GJ14" s="319" t="s">
        <v>1877</v>
      </c>
      <c r="GK14" s="340">
        <v>567</v>
      </c>
      <c r="GL14" s="340" t="s">
        <v>1608</v>
      </c>
      <c r="GN14" s="243" t="s">
        <v>1990</v>
      </c>
      <c r="GP14" s="319" t="s">
        <v>1877</v>
      </c>
      <c r="GQ14" s="340">
        <v>642</v>
      </c>
      <c r="GR14" s="340" t="s">
        <v>1561</v>
      </c>
      <c r="GS14" s="340">
        <v>50</v>
      </c>
      <c r="GT14" s="305" t="s">
        <v>2037</v>
      </c>
      <c r="GU14" s="340">
        <v>1000.05</v>
      </c>
      <c r="GV14" s="319" t="s">
        <v>1877</v>
      </c>
      <c r="GW14" s="340">
        <v>21</v>
      </c>
      <c r="GX14" s="340" t="s">
        <v>2077</v>
      </c>
      <c r="GY14" s="340">
        <v>40</v>
      </c>
      <c r="GZ14" s="313" t="s">
        <v>2076</v>
      </c>
      <c r="HA14" s="340">
        <v>1476</v>
      </c>
      <c r="HB14" s="319" t="s">
        <v>1506</v>
      </c>
      <c r="HC14" s="340">
        <v>2184</v>
      </c>
      <c r="HD14" s="325" t="s">
        <v>2184</v>
      </c>
      <c r="HE14" s="340">
        <v>90</v>
      </c>
      <c r="HF14" s="243" t="s">
        <v>1834</v>
      </c>
      <c r="HG14" s="340">
        <v>1000</v>
      </c>
      <c r="HH14" s="319" t="s">
        <v>1877</v>
      </c>
      <c r="HI14" s="340">
        <v>3063</v>
      </c>
      <c r="HJ14" s="739" t="s">
        <v>2150</v>
      </c>
      <c r="HK14" s="739"/>
      <c r="HL14" s="299" t="s">
        <v>1195</v>
      </c>
      <c r="HM14" s="340">
        <f>6.5+15</f>
        <v>21.5</v>
      </c>
      <c r="HN14" s="319" t="s">
        <v>1506</v>
      </c>
      <c r="HO14" s="340">
        <v>912</v>
      </c>
      <c r="HP14" s="504"/>
      <c r="HQ14" s="505"/>
      <c r="HR14" s="299" t="s">
        <v>2140</v>
      </c>
      <c r="HS14" s="340">
        <v>132.94999999999999</v>
      </c>
      <c r="HT14" s="319" t="s">
        <v>1505</v>
      </c>
      <c r="HU14" s="340">
        <v>1235</v>
      </c>
      <c r="HW14" s="240"/>
      <c r="HX14" s="243" t="s">
        <v>2509</v>
      </c>
      <c r="HY14" s="259">
        <f>-IA6</f>
        <v>0</v>
      </c>
      <c r="HZ14" s="319" t="s">
        <v>1506</v>
      </c>
      <c r="IA14" s="340">
        <v>2028</v>
      </c>
      <c r="IB14" s="340" t="s">
        <v>2259</v>
      </c>
      <c r="IC14" s="320">
        <v>13.56</v>
      </c>
      <c r="ID14" s="329" t="s">
        <v>2314</v>
      </c>
      <c r="IE14" s="318">
        <v>2000</v>
      </c>
      <c r="IF14" s="319" t="s">
        <v>2167</v>
      </c>
      <c r="IG14" s="259">
        <v>1000</v>
      </c>
      <c r="II14" s="331"/>
      <c r="IJ14" s="243" t="s">
        <v>2201</v>
      </c>
      <c r="IK14" s="340">
        <v>100</v>
      </c>
      <c r="IL14" s="319" t="s">
        <v>3072</v>
      </c>
      <c r="IM14" s="259">
        <v>3140</v>
      </c>
      <c r="IN14" s="340" t="s">
        <v>2128</v>
      </c>
      <c r="IO14" s="331">
        <f>75+12</f>
        <v>87</v>
      </c>
      <c r="IP14" s="299" t="s">
        <v>2140</v>
      </c>
      <c r="IQ14" s="340">
        <v>30</v>
      </c>
      <c r="IR14" s="319" t="s">
        <v>2402</v>
      </c>
      <c r="IS14" s="259" t="s">
        <v>2452</v>
      </c>
      <c r="IT14" s="340" t="s">
        <v>2354</v>
      </c>
      <c r="IU14" s="331"/>
      <c r="IV14" s="243" t="s">
        <v>2521</v>
      </c>
      <c r="IW14" s="259">
        <f>IW15*2</f>
        <v>2116.9666666666667</v>
      </c>
      <c r="IX14" s="319" t="s">
        <v>1505</v>
      </c>
      <c r="IY14" s="259">
        <v>983</v>
      </c>
      <c r="IZ14" s="340" t="s">
        <v>2354</v>
      </c>
      <c r="JA14" s="331"/>
      <c r="JB14" s="243" t="s">
        <v>2588</v>
      </c>
      <c r="JC14" s="331">
        <v>26.001000000000001</v>
      </c>
      <c r="JD14" s="319" t="s">
        <v>1505</v>
      </c>
      <c r="JE14" s="259">
        <v>635</v>
      </c>
      <c r="JF14" s="340" t="s">
        <v>2632</v>
      </c>
      <c r="JG14" s="320">
        <v>118.15</v>
      </c>
      <c r="JH14" s="243" t="s">
        <v>2678</v>
      </c>
      <c r="JI14" s="320">
        <v>1422.53</v>
      </c>
      <c r="JJ14" s="319" t="s">
        <v>1505</v>
      </c>
      <c r="JK14" s="259">
        <v>966</v>
      </c>
      <c r="JL14" s="217" t="s">
        <v>2766</v>
      </c>
      <c r="JM14" s="395"/>
      <c r="JN14" s="299" t="s">
        <v>2698</v>
      </c>
      <c r="JO14" s="240">
        <f>(3175.47/5)*2</f>
        <v>1270.1879999999999</v>
      </c>
      <c r="JP14" s="319" t="s">
        <v>2667</v>
      </c>
      <c r="JQ14" s="259">
        <v>895</v>
      </c>
      <c r="JR14" s="340" t="s">
        <v>2128</v>
      </c>
      <c r="JS14" s="395">
        <f>54.27+1.49</f>
        <v>55.760000000000005</v>
      </c>
      <c r="JT14" s="299" t="s">
        <v>2803</v>
      </c>
      <c r="JU14" s="240">
        <f>(3175.47/5)</f>
        <v>635.09399999999994</v>
      </c>
      <c r="JV14" s="319" t="s">
        <v>2668</v>
      </c>
      <c r="JW14" s="259">
        <v>561</v>
      </c>
      <c r="JX14" s="217" t="s">
        <v>2805</v>
      </c>
      <c r="JY14" s="395"/>
      <c r="JZ14" s="300" t="s">
        <v>2581</v>
      </c>
      <c r="KA14" s="340">
        <f>259.2+410.4</f>
        <v>669.59999999999991</v>
      </c>
      <c r="KB14" s="319" t="s">
        <v>2667</v>
      </c>
      <c r="KC14" s="334">
        <v>1438</v>
      </c>
      <c r="KD14" s="217" t="s">
        <v>2789</v>
      </c>
      <c r="KE14" s="395"/>
      <c r="KF14" s="299" t="s">
        <v>2524</v>
      </c>
      <c r="KG14" s="274">
        <v>131.87</v>
      </c>
      <c r="KH14" s="319" t="s">
        <v>2905</v>
      </c>
      <c r="KI14" s="259">
        <v>100032</v>
      </c>
      <c r="KJ14" s="217"/>
      <c r="KK14" s="395"/>
      <c r="KL14" s="294" t="s">
        <v>1834</v>
      </c>
      <c r="KM14" s="331">
        <v>1000</v>
      </c>
      <c r="KN14" s="319" t="s">
        <v>2571</v>
      </c>
      <c r="KO14" s="259">
        <v>-4000</v>
      </c>
      <c r="KP14" s="285" t="s">
        <v>3024</v>
      </c>
      <c r="KQ14" s="395">
        <f>205.48+73.97+65.75</f>
        <v>345.2</v>
      </c>
      <c r="KR14" s="254" t="s">
        <v>3041</v>
      </c>
      <c r="KS14" s="204">
        <v>3.33</v>
      </c>
      <c r="KT14" s="319" t="s">
        <v>2571</v>
      </c>
      <c r="KU14" s="259">
        <v>-4000</v>
      </c>
      <c r="KV14" s="340" t="s">
        <v>1798</v>
      </c>
      <c r="KW14" s="395">
        <v>13.96</v>
      </c>
      <c r="KX14" s="254" t="s">
        <v>3111</v>
      </c>
      <c r="KY14" s="598">
        <f>221.76+48.93</f>
        <v>270.69</v>
      </c>
      <c r="KZ14" s="592" t="s">
        <v>3083</v>
      </c>
      <c r="LA14" s="259">
        <v>233004</v>
      </c>
      <c r="LB14" s="217"/>
      <c r="LC14" s="395"/>
      <c r="LD14" s="300" t="s">
        <v>3154</v>
      </c>
      <c r="LE14" s="636">
        <f>3.06*0</f>
        <v>0</v>
      </c>
      <c r="LF14" s="626" t="s">
        <v>2877</v>
      </c>
      <c r="LG14" s="357"/>
      <c r="LH14" s="657" t="s">
        <v>3261</v>
      </c>
      <c r="LI14" s="395">
        <v>10.24</v>
      </c>
      <c r="LJ14" s="300" t="s">
        <v>3234</v>
      </c>
      <c r="LK14" s="636">
        <v>21.2</v>
      </c>
      <c r="LL14" s="659" t="s">
        <v>2877</v>
      </c>
      <c r="LM14" s="357"/>
      <c r="LN14" s="695" t="s">
        <v>2835</v>
      </c>
      <c r="LO14" s="695"/>
      <c r="LP14" s="300" t="s">
        <v>2475</v>
      </c>
      <c r="LQ14" s="636"/>
      <c r="LR14" s="692" t="s">
        <v>2994</v>
      </c>
      <c r="LS14" s="318">
        <v>-76</v>
      </c>
      <c r="LT14" s="465">
        <v>45321</v>
      </c>
    </row>
    <row r="15" spans="1:333">
      <c r="A15" s="218" t="s">
        <v>129</v>
      </c>
      <c r="B15" s="467">
        <v>0</v>
      </c>
      <c r="E15" s="170"/>
      <c r="F15" s="170"/>
      <c r="G15" s="218" t="s">
        <v>129</v>
      </c>
      <c r="H15" s="467">
        <v>0</v>
      </c>
      <c r="K15" s="170"/>
      <c r="M15" s="285" t="s">
        <v>993</v>
      </c>
      <c r="N15" s="286">
        <v>0</v>
      </c>
      <c r="Q15" s="192" t="s">
        <v>1049</v>
      </c>
      <c r="R15" s="340">
        <v>1000</v>
      </c>
      <c r="S15" s="285" t="s">
        <v>993</v>
      </c>
      <c r="T15" s="286">
        <v>0</v>
      </c>
      <c r="W15" s="170"/>
      <c r="Y15" s="285" t="s">
        <v>993</v>
      </c>
      <c r="Z15" s="286">
        <v>0</v>
      </c>
      <c r="AC15" s="242" t="s">
        <v>1026</v>
      </c>
      <c r="AD15" s="340">
        <v>0</v>
      </c>
      <c r="AE15" s="218" t="s">
        <v>1060</v>
      </c>
      <c r="AF15" s="467">
        <v>56.76</v>
      </c>
      <c r="AG15" s="397" t="s">
        <v>1102</v>
      </c>
      <c r="AH15" s="340">
        <v>0</v>
      </c>
      <c r="AI15" s="242" t="s">
        <v>1026</v>
      </c>
      <c r="AJ15" s="204">
        <v>0</v>
      </c>
      <c r="AK15" s="218" t="s">
        <v>1060</v>
      </c>
      <c r="AL15" s="467">
        <v>46</v>
      </c>
      <c r="AM15" s="340" t="s">
        <v>1142</v>
      </c>
      <c r="AN15" s="340">
        <v>54</v>
      </c>
      <c r="AO15" s="192" t="s">
        <v>1123</v>
      </c>
      <c r="AP15" s="340">
        <v>1000</v>
      </c>
      <c r="AQ15" s="218" t="s">
        <v>1060</v>
      </c>
      <c r="AR15" s="467">
        <v>46.47</v>
      </c>
      <c r="AS15" s="340" t="s">
        <v>1061</v>
      </c>
      <c r="AT15" s="340" t="s">
        <v>686</v>
      </c>
      <c r="AU15" s="192" t="s">
        <v>1158</v>
      </c>
      <c r="AV15" s="340">
        <v>500</v>
      </c>
      <c r="AW15" s="218" t="s">
        <v>1060</v>
      </c>
      <c r="AX15" s="467">
        <v>46.47</v>
      </c>
      <c r="AY15" s="192"/>
      <c r="BA15" s="218" t="s">
        <v>1060</v>
      </c>
      <c r="BB15" s="467">
        <f t="shared" si="0"/>
        <v>46.47</v>
      </c>
      <c r="BC15" s="340" t="s">
        <v>1061</v>
      </c>
      <c r="BD15" s="340" t="s">
        <v>686</v>
      </c>
      <c r="BE15" s="192" t="s">
        <v>1192</v>
      </c>
      <c r="BF15" s="204">
        <v>100</v>
      </c>
      <c r="BG15" s="218" t="s">
        <v>1060</v>
      </c>
      <c r="BH15" s="467">
        <v>46.47</v>
      </c>
      <c r="BI15" s="217" t="s">
        <v>1112</v>
      </c>
      <c r="BJ15" s="204" t="s">
        <v>686</v>
      </c>
      <c r="BK15" s="254"/>
      <c r="BM15" s="218" t="s">
        <v>1060</v>
      </c>
      <c r="BN15" s="467">
        <v>46.47</v>
      </c>
      <c r="BO15" s="217" t="s">
        <v>1112</v>
      </c>
      <c r="BP15" s="204" t="s">
        <v>686</v>
      </c>
      <c r="BQ15" s="254"/>
      <c r="BS15" s="218" t="s">
        <v>1060</v>
      </c>
      <c r="BT15" s="377">
        <v>27</v>
      </c>
      <c r="BW15" s="254"/>
      <c r="BY15" s="218" t="s">
        <v>1204</v>
      </c>
      <c r="BZ15" s="467">
        <v>17.001000000000001</v>
      </c>
      <c r="CA15" s="204" t="s">
        <v>1235</v>
      </c>
      <c r="CB15" s="204">
        <v>7</v>
      </c>
      <c r="CC15" s="254"/>
      <c r="CE15" s="218" t="s">
        <v>1204</v>
      </c>
      <c r="CF15" s="467">
        <v>17.001000000000001</v>
      </c>
      <c r="CH15" s="204">
        <v>22.3</v>
      </c>
      <c r="CI15" s="254" t="s">
        <v>311</v>
      </c>
      <c r="CJ15" s="204"/>
      <c r="CK15" s="340" t="s">
        <v>423</v>
      </c>
      <c r="CL15" s="261" t="s">
        <v>686</v>
      </c>
      <c r="CM15" s="261" t="s">
        <v>1329</v>
      </c>
      <c r="CN15" s="204"/>
      <c r="CO15" s="254"/>
      <c r="CQ15" s="218" t="s">
        <v>1204</v>
      </c>
      <c r="CR15" s="467">
        <v>15.87</v>
      </c>
      <c r="CS15" s="261" t="s">
        <v>1345</v>
      </c>
      <c r="CT15" s="204">
        <v>150</v>
      </c>
      <c r="CU15" s="266" t="s">
        <v>311</v>
      </c>
      <c r="CV15" s="204" t="s">
        <v>686</v>
      </c>
      <c r="CW15" s="218" t="s">
        <v>1204</v>
      </c>
      <c r="CX15" s="467">
        <v>15.87</v>
      </c>
      <c r="CY15" s="217" t="s">
        <v>1061</v>
      </c>
      <c r="CZ15" s="204"/>
      <c r="DA15" s="271" t="s">
        <v>1325</v>
      </c>
      <c r="DB15" s="217">
        <f>24+2.1+4</f>
        <v>30.1</v>
      </c>
      <c r="DC15" s="218" t="s">
        <v>129</v>
      </c>
      <c r="DD15" s="467" t="s">
        <v>686</v>
      </c>
      <c r="DE15" s="204"/>
      <c r="DF15" s="204"/>
      <c r="DG15" s="271" t="s">
        <v>1453</v>
      </c>
      <c r="DH15" s="261">
        <v>100</v>
      </c>
      <c r="DI15" s="218" t="s">
        <v>1204</v>
      </c>
      <c r="DJ15" s="467">
        <v>2.54</v>
      </c>
      <c r="DM15" s="271" t="s">
        <v>1518</v>
      </c>
      <c r="DN15" s="274">
        <v>10001</v>
      </c>
      <c r="DO15" s="218" t="s">
        <v>1501</v>
      </c>
      <c r="DP15" s="377">
        <v>1595</v>
      </c>
      <c r="DS15" s="271" t="s">
        <v>1532</v>
      </c>
      <c r="DT15" s="261">
        <v>100</v>
      </c>
      <c r="DU15" s="218" t="s">
        <v>1568</v>
      </c>
      <c r="DV15" s="477">
        <v>10000</v>
      </c>
      <c r="DW15" s="340" t="s">
        <v>1578</v>
      </c>
      <c r="DY15" s="242" t="s">
        <v>1662</v>
      </c>
      <c r="DZ15" s="340">
        <v>63.38</v>
      </c>
      <c r="EA15" s="218" t="s">
        <v>1569</v>
      </c>
      <c r="EB15" s="477">
        <v>10000</v>
      </c>
      <c r="EC15" s="340" t="s">
        <v>1618</v>
      </c>
      <c r="ED15" s="340">
        <v>14.65</v>
      </c>
      <c r="EE15" s="242" t="s">
        <v>1662</v>
      </c>
      <c r="EF15" s="340">
        <v>112.09</v>
      </c>
      <c r="EG15" s="308"/>
      <c r="EH15" s="285" t="s">
        <v>1500</v>
      </c>
      <c r="EI15" s="318">
        <v>10000</v>
      </c>
      <c r="EJ15" s="340" t="s">
        <v>1578</v>
      </c>
      <c r="EL15" s="300" t="s">
        <v>1650</v>
      </c>
      <c r="EM15" s="308">
        <f>17.77+10.35</f>
        <v>28.119999999999997</v>
      </c>
      <c r="EN15" s="285" t="s">
        <v>1568</v>
      </c>
      <c r="EO15" s="318">
        <v>20000</v>
      </c>
      <c r="EP15" s="197" t="s">
        <v>1579</v>
      </c>
      <c r="ER15" s="300" t="s">
        <v>1027</v>
      </c>
      <c r="ES15" s="308">
        <f>936.25+797.15</f>
        <v>1733.4</v>
      </c>
      <c r="ET15" s="285" t="s">
        <v>1704</v>
      </c>
      <c r="EU15" s="318">
        <v>12000</v>
      </c>
      <c r="EX15" s="299" t="s">
        <v>1337</v>
      </c>
      <c r="EY15" s="340">
        <v>125.36</v>
      </c>
      <c r="EZ15" s="204" t="s">
        <v>1738</v>
      </c>
      <c r="FA15" s="260" t="s">
        <v>1892</v>
      </c>
      <c r="FD15" s="300" t="s">
        <v>1027</v>
      </c>
      <c r="FE15" s="308">
        <f>797+936</f>
        <v>1733</v>
      </c>
      <c r="FF15" s="204" t="s">
        <v>1738</v>
      </c>
      <c r="FG15" s="260" t="s">
        <v>1892</v>
      </c>
      <c r="FH15" s="197" t="s">
        <v>1810</v>
      </c>
      <c r="FI15" s="340">
        <f>1.86+5.79</f>
        <v>7.65</v>
      </c>
      <c r="FJ15" s="299" t="s">
        <v>1789</v>
      </c>
      <c r="FK15" s="340">
        <v>102.91</v>
      </c>
      <c r="FL15" s="285" t="s">
        <v>1700</v>
      </c>
      <c r="FM15" s="318">
        <v>3000</v>
      </c>
      <c r="FN15" s="340" t="s">
        <v>1578</v>
      </c>
      <c r="FP15" s="310" t="s">
        <v>1601</v>
      </c>
      <c r="FQ15" s="340" t="s">
        <v>686</v>
      </c>
      <c r="FR15" s="285" t="s">
        <v>1501</v>
      </c>
      <c r="FS15" s="318">
        <v>424</v>
      </c>
      <c r="FT15" s="340" t="s">
        <v>1798</v>
      </c>
      <c r="FV15" s="243" t="s">
        <v>1834</v>
      </c>
      <c r="FW15" s="340">
        <v>5300</v>
      </c>
      <c r="FX15" s="319" t="s">
        <v>1412</v>
      </c>
      <c r="FY15" s="204">
        <v>0</v>
      </c>
      <c r="FZ15" s="340" t="s">
        <v>1608</v>
      </c>
      <c r="GB15" s="243" t="s">
        <v>1884</v>
      </c>
      <c r="GC15" s="340">
        <v>63477.54</v>
      </c>
      <c r="GD15" s="319" t="s">
        <v>1412</v>
      </c>
      <c r="GE15" s="204">
        <v>0</v>
      </c>
      <c r="GH15" s="243" t="s">
        <v>1990</v>
      </c>
      <c r="GJ15" s="319" t="s">
        <v>1873</v>
      </c>
      <c r="GK15" s="340">
        <v>268</v>
      </c>
      <c r="GL15" s="325" t="s">
        <v>423</v>
      </c>
      <c r="GM15" s="340">
        <v>114</v>
      </c>
      <c r="GN15" s="313" t="s">
        <v>2004</v>
      </c>
      <c r="GO15" s="340">
        <v>139.96</v>
      </c>
      <c r="GP15" s="319" t="s">
        <v>1873</v>
      </c>
      <c r="GQ15" s="340">
        <v>318</v>
      </c>
      <c r="GT15" s="305" t="s">
        <v>2042</v>
      </c>
      <c r="GU15" s="340">
        <v>35.1</v>
      </c>
      <c r="GV15" s="319" t="s">
        <v>1873</v>
      </c>
      <c r="GW15" s="340">
        <v>360</v>
      </c>
      <c r="GZ15" s="300" t="s">
        <v>2062</v>
      </c>
      <c r="HA15" s="340">
        <f>10+10+120*2</f>
        <v>260</v>
      </c>
      <c r="HB15" s="319" t="s">
        <v>1877</v>
      </c>
      <c r="HC15" s="340">
        <v>2569</v>
      </c>
      <c r="HD15" s="340" t="s">
        <v>1798</v>
      </c>
      <c r="HE15" s="240"/>
      <c r="HF15" s="243" t="s">
        <v>2138</v>
      </c>
      <c r="HG15" s="340">
        <v>80</v>
      </c>
      <c r="HH15" s="319" t="s">
        <v>1873</v>
      </c>
      <c r="HI15" s="340">
        <v>357</v>
      </c>
      <c r="HJ15" s="506">
        <v>3179.26</v>
      </c>
      <c r="HK15" s="505" t="s">
        <v>2105</v>
      </c>
      <c r="HL15" s="299" t="s">
        <v>2152</v>
      </c>
      <c r="HM15" s="340">
        <f>9+10.96</f>
        <v>19.96</v>
      </c>
      <c r="HN15" s="319" t="s">
        <v>1877</v>
      </c>
      <c r="HO15" s="340">
        <v>111</v>
      </c>
      <c r="HP15" s="337"/>
      <c r="HR15" s="299" t="s">
        <v>2141</v>
      </c>
      <c r="HS15" s="340">
        <v>161.36000000000001</v>
      </c>
      <c r="HT15" s="319" t="s">
        <v>1506</v>
      </c>
      <c r="HU15" s="340">
        <v>1573</v>
      </c>
      <c r="HV15" s="340" t="s">
        <v>2240</v>
      </c>
      <c r="HW15" s="240"/>
      <c r="HX15" s="243" t="s">
        <v>2246</v>
      </c>
      <c r="HY15" s="444">
        <f>HY16*5</f>
        <v>2104.9333333333334</v>
      </c>
      <c r="HZ15" s="319" t="s">
        <v>2235</v>
      </c>
      <c r="IA15" s="259">
        <v>442</v>
      </c>
      <c r="IB15" s="340" t="s">
        <v>2272</v>
      </c>
      <c r="IC15" s="320"/>
      <c r="ID15" s="330" t="s">
        <v>2315</v>
      </c>
      <c r="IE15" s="318">
        <v>4000</v>
      </c>
      <c r="IF15" s="319" t="s">
        <v>2264</v>
      </c>
      <c r="IG15" s="259">
        <f>12000+100000+33000</f>
        <v>145000</v>
      </c>
      <c r="IH15" s="340" t="s">
        <v>2354</v>
      </c>
      <c r="II15" s="320"/>
      <c r="IJ15" s="243" t="s">
        <v>2313</v>
      </c>
      <c r="IK15" s="444">
        <f>IK16*2</f>
        <v>1833.7466666666667</v>
      </c>
      <c r="IL15" s="319" t="s">
        <v>1877</v>
      </c>
      <c r="IM15" s="259">
        <v>450</v>
      </c>
      <c r="IN15" s="340" t="s">
        <v>2389</v>
      </c>
      <c r="IO15" s="320">
        <v>12.4</v>
      </c>
      <c r="IP15" s="299" t="s">
        <v>2281</v>
      </c>
      <c r="IQ15" s="274">
        <v>119.64</v>
      </c>
      <c r="IR15" s="488" t="s">
        <v>2387</v>
      </c>
      <c r="IS15" s="259">
        <f>100*(120+1000+330+310)</f>
        <v>176000</v>
      </c>
      <c r="IT15" s="340" t="s">
        <v>2506</v>
      </c>
      <c r="IU15" s="331">
        <v>43</v>
      </c>
      <c r="IV15" s="299" t="s">
        <v>2449</v>
      </c>
      <c r="IW15" s="259">
        <f>3175.45/3</f>
        <v>1058.4833333333333</v>
      </c>
      <c r="IX15" s="319" t="s">
        <v>1506</v>
      </c>
      <c r="IY15" s="259">
        <v>618</v>
      </c>
      <c r="IZ15" s="340" t="s">
        <v>2128</v>
      </c>
      <c r="JA15" s="331">
        <v>52.000999999999998</v>
      </c>
      <c r="JB15" s="243" t="s">
        <v>1834</v>
      </c>
      <c r="JC15" s="331">
        <v>2000</v>
      </c>
      <c r="JD15" s="319" t="s">
        <v>1506</v>
      </c>
      <c r="JE15" s="259">
        <v>1778</v>
      </c>
      <c r="JF15" s="340" t="s">
        <v>2905</v>
      </c>
      <c r="JG15" s="340">
        <f>6.24+2.24</f>
        <v>8.48</v>
      </c>
      <c r="JH15" s="312" t="s">
        <v>2629</v>
      </c>
      <c r="JI15" s="320">
        <v>155000</v>
      </c>
      <c r="JJ15" s="319" t="s">
        <v>1506</v>
      </c>
      <c r="JK15" s="259">
        <v>1556</v>
      </c>
      <c r="JL15" s="340" t="s">
        <v>2906</v>
      </c>
      <c r="JM15" s="327">
        <v>1.96</v>
      </c>
      <c r="JN15" s="299" t="s">
        <v>2460</v>
      </c>
      <c r="JO15" s="202">
        <v>53.91</v>
      </c>
      <c r="JP15" s="319" t="s">
        <v>2668</v>
      </c>
      <c r="JQ15" s="259">
        <v>76</v>
      </c>
      <c r="JR15" s="340" t="s">
        <v>2706</v>
      </c>
      <c r="JS15" s="395">
        <v>200</v>
      </c>
      <c r="JT15" s="299" t="s">
        <v>2460</v>
      </c>
      <c r="JU15" s="202">
        <v>75.430000000000007</v>
      </c>
      <c r="JV15" s="319" t="s">
        <v>2927</v>
      </c>
      <c r="JW15" s="259">
        <v>2151</v>
      </c>
      <c r="JX15" s="217"/>
      <c r="JY15" s="395"/>
      <c r="JZ15" s="300" t="s">
        <v>2780</v>
      </c>
      <c r="KA15" s="340">
        <v>10</v>
      </c>
      <c r="KB15" s="319" t="s">
        <v>2905</v>
      </c>
      <c r="KC15" s="259">
        <v>100491</v>
      </c>
      <c r="KD15" s="762" t="s">
        <v>2835</v>
      </c>
      <c r="KE15" s="762"/>
      <c r="KF15" s="299" t="s">
        <v>1195</v>
      </c>
      <c r="KG15" s="202">
        <f>10+6.5+15</f>
        <v>31.5</v>
      </c>
      <c r="KH15" s="325" t="s">
        <v>2877</v>
      </c>
      <c r="KI15" s="357"/>
      <c r="KJ15" s="340" t="s">
        <v>2821</v>
      </c>
      <c r="KK15" s="395"/>
      <c r="KL15" s="243" t="s">
        <v>2939</v>
      </c>
      <c r="KM15" s="320">
        <v>50065.8</v>
      </c>
      <c r="KN15" s="204" t="s">
        <v>2845</v>
      </c>
      <c r="KO15" s="318">
        <v>199006</v>
      </c>
      <c r="KP15" s="217" t="s">
        <v>3007</v>
      </c>
      <c r="KQ15" s="395">
        <f>1.52</f>
        <v>1.52</v>
      </c>
      <c r="KR15" s="254" t="s">
        <v>2417</v>
      </c>
      <c r="KS15" s="204">
        <v>194.04</v>
      </c>
      <c r="KT15" s="319" t="s">
        <v>3005</v>
      </c>
      <c r="KU15" s="259">
        <v>0</v>
      </c>
      <c r="KV15" s="217" t="s">
        <v>2789</v>
      </c>
      <c r="KW15" s="395"/>
      <c r="KX15" s="254" t="s">
        <v>3138</v>
      </c>
      <c r="KY15" s="611">
        <v>49.7</v>
      </c>
      <c r="KZ15" s="319" t="s">
        <v>2905</v>
      </c>
      <c r="LA15" s="259">
        <v>101577</v>
      </c>
      <c r="LB15" s="622" t="s">
        <v>2821</v>
      </c>
      <c r="LC15" s="395"/>
      <c r="LD15" s="300" t="s">
        <v>3119</v>
      </c>
      <c r="LE15" s="636">
        <v>14.9</v>
      </c>
      <c r="LF15" s="619" t="s">
        <v>2994</v>
      </c>
      <c r="LG15" s="318">
        <v>-132</v>
      </c>
      <c r="LH15" s="217" t="s">
        <v>2789</v>
      </c>
      <c r="LI15" s="395">
        <v>9.14</v>
      </c>
      <c r="LJ15" s="300" t="s">
        <v>3233</v>
      </c>
      <c r="LK15" s="636">
        <v>34.380000000000003</v>
      </c>
      <c r="LL15" s="660" t="s">
        <v>2994</v>
      </c>
      <c r="LM15" s="318">
        <v>-76</v>
      </c>
      <c r="LN15" s="217"/>
      <c r="LO15" s="395"/>
      <c r="LP15" s="300" t="s">
        <v>2475</v>
      </c>
      <c r="LQ15" s="636"/>
      <c r="LR15" s="691" t="s">
        <v>3077</v>
      </c>
      <c r="LS15" s="469">
        <v>11</v>
      </c>
      <c r="LT15" s="465">
        <v>45321</v>
      </c>
    </row>
    <row r="16" spans="1:333">
      <c r="A16" s="218" t="s">
        <v>344</v>
      </c>
      <c r="B16" s="467">
        <v>0</v>
      </c>
      <c r="E16" s="166" t="s">
        <v>471</v>
      </c>
      <c r="F16" s="166"/>
      <c r="G16" s="218" t="s">
        <v>344</v>
      </c>
      <c r="H16" s="467">
        <v>0</v>
      </c>
      <c r="K16" s="166" t="s">
        <v>1022</v>
      </c>
      <c r="M16" s="340" t="s">
        <v>423</v>
      </c>
      <c r="N16" s="202">
        <v>0</v>
      </c>
      <c r="Q16" s="192" t="s">
        <v>1048</v>
      </c>
      <c r="R16" s="340">
        <v>200</v>
      </c>
      <c r="S16" s="340" t="s">
        <v>423</v>
      </c>
      <c r="T16" s="202">
        <v>0</v>
      </c>
      <c r="U16" s="340" t="s">
        <v>1061</v>
      </c>
      <c r="W16" s="166" t="s">
        <v>431</v>
      </c>
      <c r="Y16" s="340" t="s">
        <v>423</v>
      </c>
      <c r="Z16" s="202">
        <v>0</v>
      </c>
      <c r="AA16" s="340" t="s">
        <v>1061</v>
      </c>
      <c r="AC16" s="242" t="s">
        <v>1019</v>
      </c>
      <c r="AD16" s="340">
        <v>0</v>
      </c>
      <c r="AE16" s="218" t="s">
        <v>1077</v>
      </c>
      <c r="AF16" s="467">
        <v>115.37</v>
      </c>
      <c r="AI16" s="242" t="s">
        <v>1019</v>
      </c>
      <c r="AJ16" s="204">
        <v>0</v>
      </c>
      <c r="AK16" s="218" t="s">
        <v>1077</v>
      </c>
      <c r="AL16" s="467">
        <v>115.001</v>
      </c>
      <c r="AO16" s="192" t="s">
        <v>1175</v>
      </c>
      <c r="AP16" s="204">
        <v>100</v>
      </c>
      <c r="AQ16" s="218" t="s">
        <v>1137</v>
      </c>
      <c r="AR16" s="467">
        <v>19</v>
      </c>
      <c r="AS16" s="397"/>
      <c r="AU16" s="192" t="s">
        <v>1159</v>
      </c>
      <c r="AV16" s="340">
        <v>100</v>
      </c>
      <c r="AW16" s="218" t="s">
        <v>1137</v>
      </c>
      <c r="AX16" s="467">
        <v>19.001000000000001</v>
      </c>
      <c r="AY16" s="192"/>
      <c r="BA16" s="218" t="s">
        <v>1137</v>
      </c>
      <c r="BB16" s="467">
        <f t="shared" si="0"/>
        <v>19.001000000000001</v>
      </c>
      <c r="BC16" s="340" t="s">
        <v>1112</v>
      </c>
      <c r="BD16" s="340" t="s">
        <v>686</v>
      </c>
      <c r="BE16" s="166" t="s">
        <v>1964</v>
      </c>
      <c r="BF16" s="204">
        <v>420</v>
      </c>
      <c r="BG16" s="218" t="s">
        <v>1204</v>
      </c>
      <c r="BH16" s="467">
        <v>17.37</v>
      </c>
      <c r="BK16" s="255" t="s">
        <v>1965</v>
      </c>
      <c r="BL16" s="204">
        <v>459</v>
      </c>
      <c r="BM16" s="218" t="s">
        <v>1204</v>
      </c>
      <c r="BN16" s="467">
        <v>17.37</v>
      </c>
      <c r="BQ16" s="255" t="s">
        <v>471</v>
      </c>
      <c r="BR16" s="204" t="s">
        <v>686</v>
      </c>
      <c r="BS16" s="218" t="s">
        <v>1204</v>
      </c>
      <c r="BT16" s="467">
        <v>17.37</v>
      </c>
      <c r="BU16" s="217" t="s">
        <v>1061</v>
      </c>
      <c r="BV16" s="204" t="s">
        <v>686</v>
      </c>
      <c r="BW16" s="255" t="s">
        <v>1253</v>
      </c>
      <c r="BX16" s="204">
        <v>1476</v>
      </c>
      <c r="BY16" s="340" t="s">
        <v>423</v>
      </c>
      <c r="BZ16" s="261">
        <v>0</v>
      </c>
      <c r="CC16" s="255" t="s">
        <v>471</v>
      </c>
      <c r="CD16" s="204" t="s">
        <v>686</v>
      </c>
      <c r="CE16" s="340" t="s">
        <v>423</v>
      </c>
      <c r="CF16" s="261">
        <v>0</v>
      </c>
      <c r="CG16" s="217" t="s">
        <v>1061</v>
      </c>
      <c r="CH16" s="204" t="s">
        <v>686</v>
      </c>
      <c r="CI16" s="254" t="s">
        <v>1319</v>
      </c>
      <c r="CJ16" s="217">
        <v>100</v>
      </c>
      <c r="CK16" s="218" t="s">
        <v>1168</v>
      </c>
      <c r="CL16" s="467"/>
      <c r="CM16" s="217" t="s">
        <v>1061</v>
      </c>
      <c r="CN16" s="204" t="s">
        <v>686</v>
      </c>
      <c r="CO16" s="255" t="s">
        <v>471</v>
      </c>
      <c r="CP16" s="204" t="s">
        <v>686</v>
      </c>
      <c r="CQ16" s="340" t="s">
        <v>423</v>
      </c>
      <c r="CR16" s="261" t="s">
        <v>686</v>
      </c>
      <c r="CS16" s="261" t="s">
        <v>1343</v>
      </c>
      <c r="CT16" s="217">
        <v>9.75</v>
      </c>
      <c r="CU16" s="255" t="s">
        <v>471</v>
      </c>
      <c r="CV16" s="217" t="s">
        <v>686</v>
      </c>
      <c r="CW16" s="483" t="s">
        <v>1058</v>
      </c>
      <c r="CX16" s="486">
        <v>100.01</v>
      </c>
      <c r="CY16" s="261" t="s">
        <v>1317</v>
      </c>
      <c r="DA16" s="270" t="s">
        <v>1378</v>
      </c>
      <c r="DB16" s="217">
        <v>288.75</v>
      </c>
      <c r="DC16" s="218" t="s">
        <v>1204</v>
      </c>
      <c r="DD16" s="467">
        <v>14.37</v>
      </c>
      <c r="DE16" s="204" t="s">
        <v>578</v>
      </c>
      <c r="DG16" s="271" t="s">
        <v>1454</v>
      </c>
      <c r="DH16" s="261">
        <v>100</v>
      </c>
      <c r="DI16" s="483" t="s">
        <v>1058</v>
      </c>
      <c r="DJ16" s="486">
        <v>100.001</v>
      </c>
      <c r="DM16" s="271" t="s">
        <v>1002</v>
      </c>
      <c r="DN16" s="274">
        <f>1800.02+1800.03</f>
        <v>3600.05</v>
      </c>
      <c r="DO16" s="218" t="s">
        <v>1500</v>
      </c>
      <c r="DP16" s="477">
        <f>10000+10000</f>
        <v>20000</v>
      </c>
      <c r="DS16" s="271" t="s">
        <v>1002</v>
      </c>
      <c r="DT16" s="274">
        <v>1800.04</v>
      </c>
      <c r="DU16" s="218" t="s">
        <v>1569</v>
      </c>
      <c r="DV16" s="477">
        <v>10000</v>
      </c>
      <c r="DW16" s="340" t="s">
        <v>1577</v>
      </c>
      <c r="DX16" s="340">
        <v>32.1</v>
      </c>
      <c r="DY16" s="242" t="s">
        <v>1435</v>
      </c>
      <c r="DZ16" s="340">
        <v>64.88</v>
      </c>
      <c r="EA16" s="218" t="s">
        <v>1500</v>
      </c>
      <c r="EB16" s="477">
        <v>10000</v>
      </c>
      <c r="EE16" s="242" t="s">
        <v>1435</v>
      </c>
      <c r="EF16" s="340">
        <v>56.99</v>
      </c>
      <c r="EH16" s="285" t="s">
        <v>1499</v>
      </c>
      <c r="EI16" s="318">
        <v>40000</v>
      </c>
      <c r="EJ16" s="340" t="s">
        <v>1195</v>
      </c>
      <c r="EK16" s="340">
        <v>19.5</v>
      </c>
      <c r="EL16" s="242" t="s">
        <v>1337</v>
      </c>
      <c r="EM16" s="340" t="s">
        <v>1677</v>
      </c>
      <c r="EN16" s="285" t="s">
        <v>1569</v>
      </c>
      <c r="EO16" s="318">
        <v>10000</v>
      </c>
      <c r="EP16" s="204" t="s">
        <v>1499</v>
      </c>
      <c r="EQ16" s="340">
        <v>54.94</v>
      </c>
      <c r="ER16" s="299" t="s">
        <v>1337</v>
      </c>
      <c r="ES16" s="340">
        <v>88.98</v>
      </c>
      <c r="ET16" s="285" t="s">
        <v>1708</v>
      </c>
      <c r="EU16" s="318">
        <v>25000</v>
      </c>
      <c r="EX16" s="299" t="s">
        <v>1655</v>
      </c>
      <c r="EY16" s="340">
        <v>77.72</v>
      </c>
      <c r="EZ16" s="285" t="s">
        <v>1704</v>
      </c>
      <c r="FA16" s="318">
        <v>4000</v>
      </c>
      <c r="FB16" s="340" t="s">
        <v>1766</v>
      </c>
      <c r="FD16" s="299" t="s">
        <v>1337</v>
      </c>
      <c r="FE16" s="340">
        <v>50.06</v>
      </c>
      <c r="FF16" s="285" t="s">
        <v>1704</v>
      </c>
      <c r="FG16" s="318">
        <v>4000</v>
      </c>
      <c r="FH16" s="197" t="s">
        <v>1703</v>
      </c>
      <c r="FI16" s="340">
        <f>15053.39-15000</f>
        <v>53.389999999999418</v>
      </c>
      <c r="FJ16" s="299" t="s">
        <v>1655</v>
      </c>
      <c r="FK16" s="340">
        <v>67.08</v>
      </c>
      <c r="FL16" s="204" t="s">
        <v>1709</v>
      </c>
      <c r="FM16" s="260">
        <v>1000</v>
      </c>
      <c r="FN16" s="340" t="s">
        <v>1820</v>
      </c>
      <c r="FO16" s="340">
        <v>2730</v>
      </c>
      <c r="FP16" s="300" t="s">
        <v>1831</v>
      </c>
      <c r="FQ16" s="340">
        <f>143.5+188.4-28</f>
        <v>303.89999999999998</v>
      </c>
      <c r="FR16" s="285" t="s">
        <v>1700</v>
      </c>
      <c r="FS16" s="318">
        <v>3000</v>
      </c>
      <c r="FT16" s="340" t="s">
        <v>1578</v>
      </c>
      <c r="FV16" s="310" t="s">
        <v>1885</v>
      </c>
      <c r="FW16" s="340">
        <v>3779.24</v>
      </c>
      <c r="FX16" s="285" t="s">
        <v>1625</v>
      </c>
      <c r="FY16" s="340">
        <v>120</v>
      </c>
      <c r="FZ16" s="325" t="s">
        <v>423</v>
      </c>
      <c r="GA16" s="340">
        <v>161.63999999999999</v>
      </c>
      <c r="GB16" s="310" t="s">
        <v>1944</v>
      </c>
      <c r="GC16" s="340">
        <v>378.81</v>
      </c>
      <c r="GD16" s="285" t="s">
        <v>1625</v>
      </c>
      <c r="GE16" s="340">
        <v>130</v>
      </c>
      <c r="GF16" s="340" t="s">
        <v>1608</v>
      </c>
      <c r="GH16" s="310" t="s">
        <v>1947</v>
      </c>
      <c r="GI16" s="340">
        <v>2454.0500000000002</v>
      </c>
      <c r="GJ16" s="319" t="s">
        <v>1412</v>
      </c>
      <c r="GK16" s="204">
        <v>0</v>
      </c>
      <c r="GN16" s="313" t="s">
        <v>2003</v>
      </c>
      <c r="GO16" s="340">
        <v>324.7</v>
      </c>
      <c r="GP16" s="319" t="s">
        <v>1412</v>
      </c>
      <c r="GQ16" s="204">
        <v>0</v>
      </c>
      <c r="GR16" s="340" t="s">
        <v>1608</v>
      </c>
      <c r="GT16" s="243" t="s">
        <v>2026</v>
      </c>
      <c r="GU16" s="340">
        <f>84250</f>
        <v>84250</v>
      </c>
      <c r="GV16" s="285" t="s">
        <v>1625</v>
      </c>
      <c r="GW16" s="340">
        <v>174</v>
      </c>
      <c r="GY16" s="240"/>
      <c r="GZ16" s="300" t="s">
        <v>1027</v>
      </c>
      <c r="HA16" s="340">
        <v>1867.15</v>
      </c>
      <c r="HB16" s="319" t="s">
        <v>1873</v>
      </c>
      <c r="HC16" s="340">
        <v>402</v>
      </c>
      <c r="HE16" s="240"/>
      <c r="HF16" s="243" t="s">
        <v>2040</v>
      </c>
      <c r="HG16" s="444">
        <f>HG20*5</f>
        <v>2104.9333333333334</v>
      </c>
      <c r="HH16" s="285" t="s">
        <v>1625</v>
      </c>
      <c r="HI16" s="340">
        <v>90</v>
      </c>
      <c r="HJ16" s="507">
        <v>-114.61</v>
      </c>
      <c r="HK16" s="340" t="s">
        <v>2111</v>
      </c>
      <c r="HL16" s="299" t="s">
        <v>2171</v>
      </c>
      <c r="HM16" s="340">
        <v>32</v>
      </c>
      <c r="HN16" s="319" t="s">
        <v>1873</v>
      </c>
      <c r="HO16" s="340">
        <v>407</v>
      </c>
      <c r="HP16" s="504"/>
      <c r="HQ16" s="505"/>
      <c r="HR16" s="299" t="s">
        <v>1815</v>
      </c>
      <c r="HS16" s="340">
        <v>113.11</v>
      </c>
      <c r="HT16" s="319" t="s">
        <v>1507</v>
      </c>
      <c r="HU16" s="340">
        <v>0</v>
      </c>
      <c r="HV16" s="504" t="s">
        <v>2236</v>
      </c>
      <c r="HW16" s="327">
        <f>18.8+37.6</f>
        <v>56.400000000000006</v>
      </c>
      <c r="HX16" s="299" t="s">
        <v>2039</v>
      </c>
      <c r="HY16" s="444">
        <f>2525.92/6</f>
        <v>420.98666666666668</v>
      </c>
      <c r="HZ16" s="319" t="s">
        <v>1877</v>
      </c>
      <c r="IA16" s="340">
        <v>606</v>
      </c>
      <c r="IB16" s="508" t="s">
        <v>2265</v>
      </c>
      <c r="IC16" s="322">
        <f>208.9*2</f>
        <v>417.8</v>
      </c>
      <c r="ID16" s="243" t="s">
        <v>2201</v>
      </c>
      <c r="IE16" s="340">
        <v>100</v>
      </c>
      <c r="IF16" s="319" t="s">
        <v>2263</v>
      </c>
      <c r="IG16" s="340">
        <f>10500+2</f>
        <v>10502</v>
      </c>
      <c r="IH16" s="340" t="s">
        <v>2128</v>
      </c>
      <c r="II16" s="320">
        <f>1.64+37.8</f>
        <v>39.44</v>
      </c>
      <c r="IJ16" s="299" t="s">
        <v>2039</v>
      </c>
      <c r="IK16" s="444">
        <f>2750.62/3</f>
        <v>916.87333333333333</v>
      </c>
      <c r="IL16" s="319" t="s">
        <v>1873</v>
      </c>
      <c r="IM16" s="259">
        <v>102</v>
      </c>
      <c r="IN16" s="340" t="s">
        <v>1798</v>
      </c>
      <c r="IO16" s="320">
        <v>1.55</v>
      </c>
      <c r="IP16" s="299" t="s">
        <v>1195</v>
      </c>
      <c r="IQ16" s="202">
        <f>15+6.5</f>
        <v>21.5</v>
      </c>
      <c r="IR16" s="319" t="s">
        <v>2355</v>
      </c>
      <c r="IS16" s="340">
        <f>10502+14002</f>
        <v>24504</v>
      </c>
      <c r="IT16" s="217" t="s">
        <v>2577</v>
      </c>
      <c r="IU16" s="320">
        <v>7.57</v>
      </c>
      <c r="IV16" s="299" t="s">
        <v>2460</v>
      </c>
      <c r="IW16" s="202">
        <v>47.54</v>
      </c>
      <c r="IX16" s="319" t="s">
        <v>2455</v>
      </c>
      <c r="IY16" s="259">
        <v>24</v>
      </c>
      <c r="IZ16" s="340" t="s">
        <v>2659</v>
      </c>
      <c r="JA16" s="320">
        <v>16.05</v>
      </c>
      <c r="JB16" s="243" t="s">
        <v>2521</v>
      </c>
      <c r="JC16" s="240">
        <f>JC17*2</f>
        <v>2116.98</v>
      </c>
      <c r="JD16" s="319" t="s">
        <v>2587</v>
      </c>
      <c r="JE16" s="259">
        <v>89</v>
      </c>
      <c r="JF16" s="504" t="s">
        <v>2615</v>
      </c>
      <c r="JG16" s="327">
        <v>379.39</v>
      </c>
      <c r="JH16" s="299" t="s">
        <v>2637</v>
      </c>
      <c r="JI16" s="202" t="s">
        <v>657</v>
      </c>
      <c r="JJ16" s="319" t="s">
        <v>2587</v>
      </c>
      <c r="JK16" s="259">
        <v>4000</v>
      </c>
      <c r="JL16" s="340" t="s">
        <v>2914</v>
      </c>
      <c r="JM16" s="202">
        <f>25.72</f>
        <v>25.72</v>
      </c>
      <c r="JN16" s="299" t="s">
        <v>2599</v>
      </c>
      <c r="JO16" s="202">
        <v>23.96</v>
      </c>
      <c r="JP16" s="319" t="s">
        <v>2927</v>
      </c>
      <c r="JQ16" s="357">
        <v>2441</v>
      </c>
      <c r="JR16" s="340" t="s">
        <v>2726</v>
      </c>
      <c r="JS16" s="395">
        <v>300</v>
      </c>
      <c r="JT16" s="299" t="s">
        <v>2599</v>
      </c>
      <c r="JU16" s="202">
        <v>129.6</v>
      </c>
      <c r="JV16" s="488" t="s">
        <v>2669</v>
      </c>
      <c r="JW16" s="357"/>
      <c r="JX16" s="340" t="s">
        <v>2821</v>
      </c>
      <c r="JY16" s="395"/>
      <c r="JZ16" s="300" t="s">
        <v>2790</v>
      </c>
      <c r="KA16" s="340">
        <f>6.8+7.8</f>
        <v>14.6</v>
      </c>
      <c r="KB16" s="488" t="s">
        <v>2786</v>
      </c>
      <c r="KC16" s="357"/>
      <c r="KD16" s="496"/>
      <c r="KE16" s="496"/>
      <c r="KF16" s="299" t="s">
        <v>2674</v>
      </c>
      <c r="KG16" s="202">
        <f>14.32+18</f>
        <v>32.32</v>
      </c>
      <c r="KH16" s="285" t="s">
        <v>2876</v>
      </c>
      <c r="KI16" s="341">
        <v>30</v>
      </c>
      <c r="KJ16" s="217" t="s">
        <v>2973</v>
      </c>
      <c r="KK16" s="395">
        <f>7.87+11.3</f>
        <v>19.170000000000002</v>
      </c>
      <c r="KL16" s="243" t="s">
        <v>2894</v>
      </c>
      <c r="KM16" s="320">
        <f>KM19*9</f>
        <v>1272.2760000000001</v>
      </c>
      <c r="KN16" s="319" t="s">
        <v>2905</v>
      </c>
      <c r="KO16" s="259">
        <v>100842</v>
      </c>
      <c r="KP16" s="204" t="s">
        <v>3029</v>
      </c>
      <c r="KQ16" s="340">
        <f>30000*(1-0.9807)</f>
        <v>578.99999999999955</v>
      </c>
      <c r="KR16" s="254" t="s">
        <v>3053</v>
      </c>
      <c r="KS16" s="204">
        <f>111.95+16.63</f>
        <v>128.58000000000001</v>
      </c>
      <c r="KT16" s="319" t="s">
        <v>2905</v>
      </c>
      <c r="KU16" s="259">
        <v>101064</v>
      </c>
      <c r="KV16" s="496" t="s">
        <v>2835</v>
      </c>
      <c r="KW16" s="496"/>
      <c r="KX16" s="254" t="s">
        <v>3112</v>
      </c>
      <c r="KY16" s="611">
        <f>82.2+45.07</f>
        <v>127.27000000000001</v>
      </c>
      <c r="KZ16" s="325" t="s">
        <v>2877</v>
      </c>
      <c r="LA16" s="357"/>
      <c r="LB16" s="619" t="s">
        <v>3069</v>
      </c>
      <c r="LC16" s="395">
        <f>205.48+73.97+65.75+0.51</f>
        <v>345.71</v>
      </c>
      <c r="LD16" s="300" t="s">
        <v>3173</v>
      </c>
      <c r="LE16" s="636">
        <v>69.900000000000006</v>
      </c>
      <c r="LF16" s="626" t="s">
        <v>3077</v>
      </c>
      <c r="LG16" s="469">
        <v>10</v>
      </c>
      <c r="LH16" s="663" t="s">
        <v>2835</v>
      </c>
      <c r="LI16" s="663"/>
      <c r="LJ16" s="300" t="s">
        <v>3227</v>
      </c>
      <c r="LK16" s="636">
        <v>50</v>
      </c>
      <c r="LL16" s="659" t="s">
        <v>3077</v>
      </c>
      <c r="LM16" s="469">
        <v>11</v>
      </c>
      <c r="LN16" s="688" t="s">
        <v>2821</v>
      </c>
      <c r="LO16" s="395"/>
      <c r="LP16" s="256" t="s">
        <v>3246</v>
      </c>
      <c r="LQ16" s="689"/>
      <c r="LR16" s="689" t="s">
        <v>3196</v>
      </c>
      <c r="LS16" s="259">
        <v>-11827</v>
      </c>
      <c r="LT16" s="465">
        <v>45321</v>
      </c>
    </row>
    <row r="17" spans="1:332" ht="12" customHeight="1">
      <c r="A17" s="285" t="s">
        <v>993</v>
      </c>
      <c r="B17" s="286">
        <v>0</v>
      </c>
      <c r="E17" s="166" t="s">
        <v>431</v>
      </c>
      <c r="F17" s="166"/>
      <c r="G17" s="285" t="s">
        <v>993</v>
      </c>
      <c r="H17" s="286">
        <v>0</v>
      </c>
      <c r="K17" s="166" t="s">
        <v>431</v>
      </c>
      <c r="M17" s="218" t="s">
        <v>995</v>
      </c>
      <c r="N17" s="467"/>
      <c r="S17" s="218" t="s">
        <v>995</v>
      </c>
      <c r="T17" s="467"/>
      <c r="U17" s="340" t="s">
        <v>1062</v>
      </c>
      <c r="V17" s="340">
        <v>100</v>
      </c>
      <c r="W17" s="166" t="s">
        <v>365</v>
      </c>
      <c r="X17" s="340">
        <v>288.75</v>
      </c>
      <c r="Y17" s="218" t="s">
        <v>995</v>
      </c>
      <c r="Z17" s="467"/>
      <c r="AA17" s="340" t="s">
        <v>1062</v>
      </c>
      <c r="AB17" s="340">
        <v>0</v>
      </c>
      <c r="AC17" s="242" t="s">
        <v>1027</v>
      </c>
      <c r="AD17" s="204">
        <v>0</v>
      </c>
      <c r="AE17" s="340" t="s">
        <v>423</v>
      </c>
      <c r="AF17" s="202">
        <v>0</v>
      </c>
      <c r="AI17" s="242" t="s">
        <v>1027</v>
      </c>
      <c r="AJ17" s="204">
        <v>0</v>
      </c>
      <c r="AK17" s="340" t="s">
        <v>423</v>
      </c>
      <c r="AL17" s="202">
        <v>0</v>
      </c>
      <c r="AO17" s="166" t="s">
        <v>1138</v>
      </c>
      <c r="AP17" s="204">
        <v>2354.0500000000002</v>
      </c>
      <c r="AQ17" s="340" t="s">
        <v>423</v>
      </c>
      <c r="AR17" s="261">
        <v>0</v>
      </c>
      <c r="AU17" s="192" t="s">
        <v>1174</v>
      </c>
      <c r="AV17" s="204">
        <v>100</v>
      </c>
      <c r="AW17" s="340" t="s">
        <v>423</v>
      </c>
      <c r="AX17" s="261">
        <v>0</v>
      </c>
      <c r="AY17" s="192"/>
      <c r="AZ17" s="204"/>
      <c r="BA17" s="340" t="s">
        <v>423</v>
      </c>
      <c r="BB17" s="467">
        <f t="shared" si="0"/>
        <v>0</v>
      </c>
      <c r="BE17" s="166" t="s">
        <v>1163</v>
      </c>
      <c r="BF17" s="204"/>
      <c r="BG17" s="340" t="s">
        <v>423</v>
      </c>
      <c r="BH17" s="261">
        <v>0</v>
      </c>
      <c r="BK17" s="255"/>
      <c r="BL17" s="204"/>
      <c r="BM17" s="340" t="s">
        <v>423</v>
      </c>
      <c r="BN17" s="261">
        <v>0</v>
      </c>
      <c r="BO17" s="204" t="s">
        <v>1266</v>
      </c>
      <c r="BQ17" s="255"/>
      <c r="BR17" s="204"/>
      <c r="BS17" s="340" t="s">
        <v>423</v>
      </c>
      <c r="BT17" s="260">
        <v>0</v>
      </c>
      <c r="BU17" s="217" t="s">
        <v>1112</v>
      </c>
      <c r="BV17" s="204" t="s">
        <v>686</v>
      </c>
      <c r="BW17" s="255"/>
      <c r="BX17" s="204"/>
      <c r="BY17" s="218" t="s">
        <v>1168</v>
      </c>
      <c r="BZ17" s="467"/>
      <c r="CA17" s="217" t="s">
        <v>1061</v>
      </c>
      <c r="CB17" s="204" t="s">
        <v>686</v>
      </c>
      <c r="CC17" s="255"/>
      <c r="CD17" s="204"/>
      <c r="CE17" s="218" t="s">
        <v>1168</v>
      </c>
      <c r="CF17" s="467"/>
      <c r="CI17" s="255" t="s">
        <v>471</v>
      </c>
      <c r="CJ17" s="204"/>
      <c r="CK17" s="218" t="s">
        <v>1078</v>
      </c>
      <c r="CL17" s="467">
        <v>5920</v>
      </c>
      <c r="CO17" s="255"/>
      <c r="CP17" s="204"/>
      <c r="CQ17" s="218" t="s">
        <v>1168</v>
      </c>
      <c r="CR17" s="467"/>
      <c r="CU17" s="256" t="s">
        <v>1350</v>
      </c>
      <c r="CV17" s="217">
        <v>615.20000000000005</v>
      </c>
      <c r="CW17" s="218" t="s">
        <v>1168</v>
      </c>
      <c r="CX17" s="467"/>
      <c r="CY17" s="261" t="s">
        <v>1399</v>
      </c>
      <c r="CZ17" s="217">
        <v>14</v>
      </c>
      <c r="DA17" s="267" t="s">
        <v>1377</v>
      </c>
      <c r="DB17" s="217">
        <v>1316.1</v>
      </c>
      <c r="DC17" s="483" t="s">
        <v>1058</v>
      </c>
      <c r="DD17" s="486">
        <v>150</v>
      </c>
      <c r="DE17" s="261" t="s">
        <v>1444</v>
      </c>
      <c r="DF17" s="204">
        <v>19.8</v>
      </c>
      <c r="DG17" s="271" t="s">
        <v>1484</v>
      </c>
      <c r="DH17" s="261">
        <v>132.93</v>
      </c>
      <c r="DI17" s="285" t="s">
        <v>1361</v>
      </c>
      <c r="DJ17" s="261" t="s">
        <v>642</v>
      </c>
      <c r="DK17" s="261" t="s">
        <v>1489</v>
      </c>
      <c r="DM17" s="271" t="s">
        <v>1487</v>
      </c>
      <c r="DN17" s="261">
        <v>18</v>
      </c>
      <c r="DO17" s="218" t="s">
        <v>1499</v>
      </c>
      <c r="DP17" s="477">
        <f>40000+10000+10000</f>
        <v>60000</v>
      </c>
      <c r="DQ17" s="261" t="s">
        <v>1489</v>
      </c>
      <c r="DS17" s="271" t="s">
        <v>1325</v>
      </c>
      <c r="DT17" s="261" t="s">
        <v>686</v>
      </c>
      <c r="DU17" s="218" t="s">
        <v>1500</v>
      </c>
      <c r="DV17" s="477">
        <v>10000</v>
      </c>
      <c r="DW17" s="340" t="s">
        <v>1279</v>
      </c>
      <c r="DX17" s="340">
        <v>12.9</v>
      </c>
      <c r="DY17" s="242" t="s">
        <v>1195</v>
      </c>
      <c r="DZ17" s="340">
        <f>6.5+15</f>
        <v>21.5</v>
      </c>
      <c r="EA17" s="218" t="s">
        <v>1499</v>
      </c>
      <c r="EB17" s="477">
        <v>40000</v>
      </c>
      <c r="EE17" s="242" t="s">
        <v>1195</v>
      </c>
      <c r="EF17" s="340">
        <f>15+6.5+97.5</f>
        <v>119</v>
      </c>
      <c r="EH17" s="285" t="s">
        <v>1567</v>
      </c>
      <c r="EI17" s="318">
        <v>20000</v>
      </c>
      <c r="EJ17" s="340" t="s">
        <v>1279</v>
      </c>
      <c r="EK17" s="340">
        <v>3.9</v>
      </c>
      <c r="EL17" s="242" t="s">
        <v>1655</v>
      </c>
      <c r="EM17" s="340">
        <v>73.87</v>
      </c>
      <c r="EN17" s="285" t="s">
        <v>1636</v>
      </c>
      <c r="EO17" s="318">
        <v>5000</v>
      </c>
      <c r="ER17" s="299" t="s">
        <v>1655</v>
      </c>
      <c r="ES17" s="340">
        <v>78.400000000000006</v>
      </c>
      <c r="ET17" s="285" t="s">
        <v>1569</v>
      </c>
      <c r="EU17" s="318">
        <v>10000</v>
      </c>
      <c r="EX17" s="299" t="s">
        <v>1644</v>
      </c>
      <c r="EY17" s="340">
        <v>72</v>
      </c>
      <c r="EZ17" s="285" t="s">
        <v>1708</v>
      </c>
      <c r="FA17" s="318">
        <v>25000</v>
      </c>
      <c r="FB17" s="340" t="s">
        <v>1767</v>
      </c>
      <c r="FC17" s="340">
        <v>1888</v>
      </c>
      <c r="FD17" s="299" t="s">
        <v>1655</v>
      </c>
      <c r="FE17" s="340">
        <v>81.84</v>
      </c>
      <c r="FF17" s="285" t="s">
        <v>1756</v>
      </c>
      <c r="FG17" s="318">
        <v>25000</v>
      </c>
      <c r="FH17" s="340" t="s">
        <v>1702</v>
      </c>
      <c r="FI17" s="340">
        <f>20057.44-20000</f>
        <v>57.43999999999869</v>
      </c>
      <c r="FJ17" s="299" t="s">
        <v>1815</v>
      </c>
      <c r="FK17" s="340">
        <v>140.44999999999999</v>
      </c>
      <c r="FL17" s="204" t="s">
        <v>1738</v>
      </c>
      <c r="FM17" s="260" t="s">
        <v>1892</v>
      </c>
      <c r="FN17" s="340" t="s">
        <v>1843</v>
      </c>
      <c r="FO17" s="340">
        <v>103</v>
      </c>
      <c r="FP17" s="300" t="s">
        <v>1027</v>
      </c>
      <c r="FQ17" s="308">
        <v>1861.8</v>
      </c>
      <c r="FR17" s="204" t="s">
        <v>1709</v>
      </c>
      <c r="FS17" s="260" t="s">
        <v>1079</v>
      </c>
      <c r="FT17" s="340" t="s">
        <v>1900</v>
      </c>
      <c r="FU17" s="240">
        <v>18.399999999999999</v>
      </c>
      <c r="FV17" s="300" t="s">
        <v>1908</v>
      </c>
      <c r="FW17" s="308">
        <v>29.62</v>
      </c>
      <c r="FX17" s="488" t="s">
        <v>1917</v>
      </c>
      <c r="FZ17" s="340" t="s">
        <v>1798</v>
      </c>
      <c r="GA17" s="340">
        <v>13.32</v>
      </c>
      <c r="GB17" s="310" t="s">
        <v>1938</v>
      </c>
      <c r="GC17" s="340">
        <v>134</v>
      </c>
      <c r="GD17" s="488" t="s">
        <v>1917</v>
      </c>
      <c r="GF17" s="325" t="s">
        <v>423</v>
      </c>
      <c r="GG17" s="340">
        <v>130.44999999999999</v>
      </c>
      <c r="GH17" s="313" t="s">
        <v>1520</v>
      </c>
      <c r="GI17" s="340">
        <v>350</v>
      </c>
      <c r="GJ17" s="285" t="s">
        <v>1625</v>
      </c>
      <c r="GK17" s="340">
        <v>160</v>
      </c>
      <c r="GL17" s="340" t="s">
        <v>1578</v>
      </c>
      <c r="GM17" s="240"/>
      <c r="GN17" s="300" t="s">
        <v>1785</v>
      </c>
      <c r="GO17" s="340">
        <v>29.25</v>
      </c>
      <c r="GP17" s="285" t="s">
        <v>1625</v>
      </c>
      <c r="GQ17" s="340">
        <v>156</v>
      </c>
      <c r="GR17" s="325" t="s">
        <v>423</v>
      </c>
      <c r="GS17" s="340">
        <v>141.44999999999999</v>
      </c>
      <c r="GT17" s="243" t="s">
        <v>2025</v>
      </c>
      <c r="GU17" s="340">
        <v>5</v>
      </c>
      <c r="GV17" s="488" t="s">
        <v>2020</v>
      </c>
      <c r="GY17" s="240"/>
      <c r="GZ17" s="314" t="s">
        <v>2085</v>
      </c>
      <c r="HA17" s="204">
        <f>109.5+145</f>
        <v>254.5</v>
      </c>
      <c r="HB17" s="285" t="s">
        <v>1625</v>
      </c>
      <c r="HC17" s="340">
        <v>90</v>
      </c>
      <c r="HD17" s="340" t="s">
        <v>1578</v>
      </c>
      <c r="HF17" s="313" t="s">
        <v>2099</v>
      </c>
      <c r="HG17" s="340">
        <v>48.24</v>
      </c>
      <c r="HH17" s="488" t="s">
        <v>2020</v>
      </c>
      <c r="HJ17" s="506">
        <v>258.44</v>
      </c>
      <c r="HK17" s="505" t="s">
        <v>2103</v>
      </c>
      <c r="HL17" s="299" t="s">
        <v>1954</v>
      </c>
      <c r="HM17" s="340">
        <f>HK7</f>
        <v>30.001000000000001</v>
      </c>
      <c r="HN17" s="319" t="s">
        <v>2167</v>
      </c>
      <c r="HO17" s="340">
        <v>89</v>
      </c>
      <c r="HP17" s="504"/>
      <c r="HQ17" s="505"/>
      <c r="HR17" s="299" t="s">
        <v>1195</v>
      </c>
      <c r="HS17" s="340">
        <f>6.5+15</f>
        <v>21.5</v>
      </c>
      <c r="HT17" s="319" t="s">
        <v>1877</v>
      </c>
      <c r="HU17" s="340">
        <v>659</v>
      </c>
      <c r="HV17" s="337" t="s">
        <v>2237</v>
      </c>
      <c r="HW17" s="240">
        <v>37.6</v>
      </c>
      <c r="HX17" s="299" t="s">
        <v>1919</v>
      </c>
      <c r="HY17" s="444">
        <v>177.48</v>
      </c>
      <c r="HZ17" s="319" t="s">
        <v>1873</v>
      </c>
      <c r="IA17" s="340">
        <v>311</v>
      </c>
      <c r="IB17" s="509" t="s">
        <v>2269</v>
      </c>
      <c r="IC17" s="323">
        <v>835.6</v>
      </c>
      <c r="ID17" s="243" t="s">
        <v>2313</v>
      </c>
      <c r="IE17" s="444">
        <f>IE18*2</f>
        <v>1833.7466666666667</v>
      </c>
      <c r="IF17" s="319" t="s">
        <v>2298</v>
      </c>
      <c r="IG17" s="259" t="s">
        <v>686</v>
      </c>
      <c r="IH17" s="340" t="s">
        <v>1798</v>
      </c>
      <c r="II17" s="320">
        <v>1.67</v>
      </c>
      <c r="IJ17" s="299" t="s">
        <v>1919</v>
      </c>
      <c r="IK17" s="444" t="s">
        <v>2374</v>
      </c>
      <c r="IL17" s="319" t="s">
        <v>2167</v>
      </c>
      <c r="IM17" s="259">
        <v>4000</v>
      </c>
      <c r="IN17" s="340" t="s">
        <v>2401</v>
      </c>
      <c r="IO17" s="320">
        <f>149.59*2</f>
        <v>299.18</v>
      </c>
      <c r="IP17" s="299" t="s">
        <v>2152</v>
      </c>
      <c r="IQ17" s="202">
        <v>18</v>
      </c>
      <c r="IR17" s="319" t="s">
        <v>2404</v>
      </c>
      <c r="IS17" s="240">
        <v>65005</v>
      </c>
      <c r="IT17" s="340" t="s">
        <v>1798</v>
      </c>
      <c r="IU17" s="340">
        <v>13.86</v>
      </c>
      <c r="IV17" s="299" t="s">
        <v>2140</v>
      </c>
      <c r="IW17" s="340">
        <f>30+59.31</f>
        <v>89.31</v>
      </c>
      <c r="IX17" s="319" t="s">
        <v>2404</v>
      </c>
      <c r="IY17" s="240">
        <v>65005</v>
      </c>
      <c r="IZ17" s="340" t="s">
        <v>2905</v>
      </c>
      <c r="JA17" s="340">
        <f>5.9+2.12</f>
        <v>8.02</v>
      </c>
      <c r="JB17" s="299" t="s">
        <v>2449</v>
      </c>
      <c r="JC17" s="240">
        <f>3175.47/3</f>
        <v>1058.49</v>
      </c>
      <c r="JD17" s="319" t="s">
        <v>2404</v>
      </c>
      <c r="JE17" s="259">
        <v>65005</v>
      </c>
      <c r="JF17" s="504" t="s">
        <v>2616</v>
      </c>
      <c r="JG17" s="340">
        <v>442.61</v>
      </c>
      <c r="JH17" s="299" t="s">
        <v>2583</v>
      </c>
      <c r="JI17" s="202">
        <v>59.36</v>
      </c>
      <c r="JJ17" s="319" t="s">
        <v>2613</v>
      </c>
      <c r="JK17" s="259">
        <f>25000.29+90000.29+140000.29+10000</f>
        <v>265000.87</v>
      </c>
      <c r="JL17" s="340" t="s">
        <v>2915</v>
      </c>
      <c r="JM17" s="202">
        <f>180.39+64.94+57.72</f>
        <v>303.04999999999995</v>
      </c>
      <c r="JN17" s="299" t="s">
        <v>2928</v>
      </c>
      <c r="JO17" s="202">
        <v>30</v>
      </c>
      <c r="JP17" s="488" t="s">
        <v>2669</v>
      </c>
      <c r="JQ17" s="357"/>
      <c r="JR17" s="340" t="s">
        <v>2906</v>
      </c>
      <c r="JS17" s="395">
        <v>2.95</v>
      </c>
      <c r="JT17" s="299" t="s">
        <v>2740</v>
      </c>
      <c r="JU17" s="274">
        <v>131.6</v>
      </c>
      <c r="JV17" s="319" t="s">
        <v>2670</v>
      </c>
      <c r="JW17" s="259">
        <v>0</v>
      </c>
      <c r="JX17" s="217" t="s">
        <v>2778</v>
      </c>
      <c r="JY17" s="395">
        <f>1.29+1.15</f>
        <v>2.44</v>
      </c>
      <c r="JZ17" s="300" t="s">
        <v>2782</v>
      </c>
      <c r="KA17" s="340">
        <f>73.44/2</f>
        <v>36.72</v>
      </c>
      <c r="KB17" s="319" t="s">
        <v>2670</v>
      </c>
      <c r="KC17" s="259">
        <v>0</v>
      </c>
      <c r="KD17" s="340" t="s">
        <v>2821</v>
      </c>
      <c r="KE17" s="395"/>
      <c r="KF17" s="299" t="s">
        <v>2929</v>
      </c>
      <c r="KG17" s="202">
        <v>180</v>
      </c>
      <c r="KH17" s="204" t="s">
        <v>2878</v>
      </c>
      <c r="KI17" s="469">
        <f>686-1000</f>
        <v>-314</v>
      </c>
      <c r="KJ17" s="217" t="s">
        <v>2433</v>
      </c>
      <c r="KK17" s="395">
        <v>7.97</v>
      </c>
      <c r="KL17" s="328" t="s">
        <v>2965</v>
      </c>
      <c r="KM17" s="320">
        <f>1388.33-KM18</f>
        <v>1240.58</v>
      </c>
      <c r="KN17" s="319" t="s">
        <v>2990</v>
      </c>
      <c r="KO17" s="259">
        <v>129000</v>
      </c>
      <c r="KP17" s="204" t="s">
        <v>3044</v>
      </c>
      <c r="KQ17" s="340">
        <f>20000*(1-0.9803)</f>
        <v>394.00000000000102</v>
      </c>
      <c r="KR17" s="243" t="s">
        <v>3001</v>
      </c>
      <c r="KS17" s="320">
        <f>1363.36-KS18</f>
        <v>1223.29</v>
      </c>
      <c r="KT17" s="319" t="s">
        <v>2990</v>
      </c>
      <c r="KU17" s="259">
        <v>199369</v>
      </c>
      <c r="KV17" s="217"/>
      <c r="KW17" s="395"/>
      <c r="KX17" s="254" t="s">
        <v>3128</v>
      </c>
      <c r="KY17" s="615">
        <v>52.42</v>
      </c>
      <c r="KZ17" s="285" t="s">
        <v>2994</v>
      </c>
      <c r="LA17" s="318">
        <v>-143</v>
      </c>
      <c r="LB17" s="217" t="s">
        <v>3007</v>
      </c>
      <c r="LC17" s="395">
        <f>33.25+1.5</f>
        <v>34.75</v>
      </c>
      <c r="LD17" s="300" t="s">
        <v>3088</v>
      </c>
      <c r="LE17" s="623">
        <f>5+1.69</f>
        <v>6.6899999999999995</v>
      </c>
      <c r="LF17" s="665" t="s">
        <v>3196</v>
      </c>
      <c r="LG17" s="259">
        <f>LF18-0.99*195000</f>
        <v>-677</v>
      </c>
      <c r="LH17" s="217"/>
      <c r="LI17" s="395"/>
      <c r="LJ17" s="256" t="s">
        <v>2504</v>
      </c>
      <c r="LK17" s="657">
        <f>88.33+39.69</f>
        <v>128.01999999999998</v>
      </c>
      <c r="LL17" s="657" t="s">
        <v>3196</v>
      </c>
      <c r="LM17" s="259">
        <v>-11827</v>
      </c>
      <c r="LN17" s="692" t="s">
        <v>3069</v>
      </c>
      <c r="LO17" s="395"/>
      <c r="LP17" s="256" t="s">
        <v>3246</v>
      </c>
      <c r="LQ17" s="689"/>
      <c r="LR17" s="443"/>
      <c r="LS17" s="690"/>
    </row>
    <row r="18" spans="1:332" ht="12.75" customHeight="1">
      <c r="A18" s="340" t="s">
        <v>423</v>
      </c>
      <c r="B18" s="202">
        <v>0</v>
      </c>
      <c r="E18" s="166" t="s">
        <v>365</v>
      </c>
      <c r="F18" s="166"/>
      <c r="G18" s="340" t="s">
        <v>423</v>
      </c>
      <c r="H18" s="202">
        <v>0</v>
      </c>
      <c r="K18" s="166" t="s">
        <v>365</v>
      </c>
      <c r="M18" s="218" t="s">
        <v>996</v>
      </c>
      <c r="N18" s="467">
        <v>1218</v>
      </c>
      <c r="Q18" s="170"/>
      <c r="S18" s="218" t="s">
        <v>996</v>
      </c>
      <c r="T18" s="467">
        <v>1142</v>
      </c>
      <c r="W18" s="166" t="s">
        <v>369</v>
      </c>
      <c r="Y18" s="218" t="s">
        <v>1078</v>
      </c>
      <c r="Z18" s="467">
        <v>100.54</v>
      </c>
      <c r="AC18" s="143" t="s">
        <v>1080</v>
      </c>
      <c r="AD18" s="340">
        <v>104</v>
      </c>
      <c r="AE18" s="218" t="s">
        <v>995</v>
      </c>
      <c r="AF18" s="467"/>
      <c r="AI18" s="143" t="s">
        <v>1052</v>
      </c>
      <c r="AJ18" s="204">
        <v>0</v>
      </c>
      <c r="AK18" s="218" t="s">
        <v>995</v>
      </c>
      <c r="AL18" s="467"/>
      <c r="AM18" s="340" t="s">
        <v>1061</v>
      </c>
      <c r="AO18" s="166" t="s">
        <v>1139</v>
      </c>
      <c r="AP18" s="204">
        <v>378.81</v>
      </c>
      <c r="AQ18" s="218" t="s">
        <v>995</v>
      </c>
      <c r="AR18" s="467"/>
      <c r="AS18" s="340" t="s">
        <v>1112</v>
      </c>
      <c r="AT18" s="340" t="s">
        <v>686</v>
      </c>
      <c r="AU18" s="166" t="s">
        <v>1163</v>
      </c>
      <c r="AV18" s="204"/>
      <c r="AW18" s="218" t="s">
        <v>1168</v>
      </c>
      <c r="AX18" s="467"/>
      <c r="AY18" s="166"/>
      <c r="AZ18" s="204"/>
      <c r="BA18" s="218" t="s">
        <v>1168</v>
      </c>
      <c r="BB18" s="467">
        <f t="shared" si="0"/>
        <v>0</v>
      </c>
      <c r="BE18" s="242" t="s">
        <v>1126</v>
      </c>
      <c r="BF18" s="204" t="s">
        <v>686</v>
      </c>
      <c r="BG18" s="218" t="s">
        <v>1168</v>
      </c>
      <c r="BH18" s="467"/>
      <c r="BJ18" s="204"/>
      <c r="BK18" s="256" t="s">
        <v>1126</v>
      </c>
      <c r="BL18" s="204">
        <f>172+215</f>
        <v>387</v>
      </c>
      <c r="BM18" s="218" t="s">
        <v>1168</v>
      </c>
      <c r="BN18" s="467"/>
      <c r="BO18" s="204" t="s">
        <v>1235</v>
      </c>
      <c r="BP18" s="204">
        <v>7</v>
      </c>
      <c r="BQ18" s="256" t="s">
        <v>1232</v>
      </c>
      <c r="BR18" s="204">
        <v>172</v>
      </c>
      <c r="BS18" s="218" t="s">
        <v>1168</v>
      </c>
      <c r="BT18" s="377"/>
      <c r="BU18" s="204"/>
      <c r="BV18" s="204"/>
      <c r="BW18" s="256" t="s">
        <v>1255</v>
      </c>
      <c r="BX18" s="204">
        <v>172</v>
      </c>
      <c r="BY18" s="218" t="s">
        <v>1078</v>
      </c>
      <c r="BZ18" s="467">
        <v>1013</v>
      </c>
      <c r="CA18" s="217" t="s">
        <v>1112</v>
      </c>
      <c r="CB18" s="204" t="s">
        <v>686</v>
      </c>
      <c r="CC18" s="256" t="s">
        <v>1272</v>
      </c>
      <c r="CD18" s="204">
        <v>215</v>
      </c>
      <c r="CE18" s="218" t="s">
        <v>1078</v>
      </c>
      <c r="CF18" s="467">
        <v>1014</v>
      </c>
      <c r="CG18" s="261"/>
      <c r="CI18" s="255"/>
      <c r="CJ18" s="204"/>
      <c r="CK18" s="218" t="s">
        <v>996</v>
      </c>
      <c r="CL18" s="467">
        <v>21145.64</v>
      </c>
      <c r="CM18" s="261" t="s">
        <v>1317</v>
      </c>
      <c r="CN18" s="217">
        <f>5+5</f>
        <v>10</v>
      </c>
      <c r="CO18" s="256" t="s">
        <v>1126</v>
      </c>
      <c r="CP18" s="204" t="s">
        <v>686</v>
      </c>
      <c r="CQ18" s="218" t="s">
        <v>1078</v>
      </c>
      <c r="CR18" s="467">
        <v>60</v>
      </c>
      <c r="CS18" s="261" t="s">
        <v>1344</v>
      </c>
      <c r="CT18" s="204"/>
      <c r="CU18" s="256" t="s">
        <v>1026</v>
      </c>
      <c r="CV18" s="204" t="s">
        <v>686</v>
      </c>
      <c r="CW18" s="218" t="s">
        <v>1078</v>
      </c>
      <c r="CX18" s="467">
        <v>60</v>
      </c>
      <c r="CY18" s="204" t="s">
        <v>578</v>
      </c>
      <c r="DA18" s="256" t="s">
        <v>1393</v>
      </c>
      <c r="DB18" s="204">
        <v>115.81</v>
      </c>
      <c r="DC18" s="218" t="s">
        <v>1168</v>
      </c>
      <c r="DD18" s="467"/>
      <c r="DE18" s="261" t="s">
        <v>1445</v>
      </c>
      <c r="DF18" s="204">
        <v>57.6</v>
      </c>
      <c r="DG18" s="271" t="s">
        <v>1414</v>
      </c>
      <c r="DH18" s="261">
        <v>2000</v>
      </c>
      <c r="DI18" s="743" t="s">
        <v>1474</v>
      </c>
      <c r="DJ18" s="744"/>
      <c r="DK18" s="261"/>
      <c r="DM18" s="271" t="s">
        <v>1325</v>
      </c>
      <c r="DN18" s="261"/>
      <c r="DO18" s="218" t="s">
        <v>1498</v>
      </c>
      <c r="DP18" s="477">
        <v>10000</v>
      </c>
      <c r="DQ18" s="261"/>
      <c r="DS18" s="270" t="s">
        <v>1570</v>
      </c>
      <c r="DT18" s="274">
        <v>382</v>
      </c>
      <c r="DU18" s="218" t="s">
        <v>1499</v>
      </c>
      <c r="DV18" s="477">
        <v>40000</v>
      </c>
      <c r="DY18" s="242" t="s">
        <v>1286</v>
      </c>
      <c r="DZ18" s="340">
        <v>140.94999999999999</v>
      </c>
      <c r="EA18" s="218" t="s">
        <v>1567</v>
      </c>
      <c r="EB18" s="477">
        <v>10000</v>
      </c>
      <c r="EE18" s="242" t="s">
        <v>1286</v>
      </c>
      <c r="EF18" s="340">
        <v>140.44999999999999</v>
      </c>
      <c r="EH18" s="285" t="s">
        <v>1497</v>
      </c>
      <c r="EI18" s="318">
        <v>10000</v>
      </c>
      <c r="EJ18" s="340" t="s">
        <v>1279</v>
      </c>
      <c r="EK18" s="340">
        <v>28.7</v>
      </c>
      <c r="EL18" s="242" t="s">
        <v>1644</v>
      </c>
      <c r="EM18" s="340">
        <f>34.42+10.73</f>
        <v>45.150000000000006</v>
      </c>
      <c r="EN18" s="285" t="s">
        <v>1637</v>
      </c>
      <c r="EO18" s="318">
        <v>5000</v>
      </c>
      <c r="ER18" s="299" t="s">
        <v>1644</v>
      </c>
      <c r="ES18" s="340">
        <v>0</v>
      </c>
      <c r="ET18" s="285" t="s">
        <v>1697</v>
      </c>
      <c r="EU18" s="318">
        <v>5000</v>
      </c>
      <c r="EV18" s="197" t="s">
        <v>1579</v>
      </c>
      <c r="EX18" s="299" t="s">
        <v>1195</v>
      </c>
      <c r="EY18" s="340">
        <f>15+6.5</f>
        <v>21.5</v>
      </c>
      <c r="EZ18" s="285" t="s">
        <v>1569</v>
      </c>
      <c r="FA18" s="318">
        <v>15000</v>
      </c>
      <c r="FB18" s="197" t="s">
        <v>1579</v>
      </c>
      <c r="FD18" s="299" t="s">
        <v>1774</v>
      </c>
      <c r="FE18" s="340">
        <v>139.01</v>
      </c>
      <c r="FF18" s="285" t="s">
        <v>1569</v>
      </c>
      <c r="FG18" s="318">
        <v>15000</v>
      </c>
      <c r="FH18" s="204" t="s">
        <v>1470</v>
      </c>
      <c r="FI18" s="244">
        <f>1021.65+992.81-2000</f>
        <v>14.460000000000036</v>
      </c>
      <c r="FJ18" s="299" t="s">
        <v>1195</v>
      </c>
      <c r="FK18" s="340">
        <f>6.5+15+7.2</f>
        <v>28.7</v>
      </c>
      <c r="FL18" s="285" t="s">
        <v>1704</v>
      </c>
      <c r="FM18" s="318">
        <v>4000</v>
      </c>
      <c r="FN18" s="340" t="s">
        <v>1851</v>
      </c>
      <c r="FO18" s="240">
        <v>55</v>
      </c>
      <c r="FP18" s="299" t="s">
        <v>1840</v>
      </c>
      <c r="FQ18" s="340">
        <v>184.77</v>
      </c>
      <c r="FR18" s="204" t="s">
        <v>1893</v>
      </c>
      <c r="FS18" s="260"/>
      <c r="FU18" s="240"/>
      <c r="FV18" s="299" t="s">
        <v>1910</v>
      </c>
      <c r="FW18" s="340">
        <f>3.08+89.15</f>
        <v>92.23</v>
      </c>
      <c r="FX18" s="285" t="s">
        <v>1897</v>
      </c>
      <c r="FY18" s="488">
        <v>748</v>
      </c>
      <c r="GB18" s="300" t="s">
        <v>1862</v>
      </c>
      <c r="GD18" s="285" t="s">
        <v>1897</v>
      </c>
      <c r="GE18" s="488">
        <v>856</v>
      </c>
      <c r="GF18" s="340" t="s">
        <v>1798</v>
      </c>
      <c r="GG18" s="340" t="s">
        <v>686</v>
      </c>
      <c r="GH18" s="300" t="s">
        <v>1437</v>
      </c>
      <c r="GI18" s="340">
        <v>3.87</v>
      </c>
      <c r="GJ18" s="479" t="s">
        <v>1969</v>
      </c>
      <c r="GK18" s="340">
        <v>1200</v>
      </c>
      <c r="GM18" s="240"/>
      <c r="GN18" s="300" t="s">
        <v>2012</v>
      </c>
      <c r="GO18" s="340">
        <v>54.38</v>
      </c>
      <c r="GP18" s="488" t="s">
        <v>2017</v>
      </c>
      <c r="GR18" s="340" t="s">
        <v>1798</v>
      </c>
      <c r="GS18" s="340">
        <v>13.53</v>
      </c>
      <c r="GT18" s="299" t="s">
        <v>1995</v>
      </c>
      <c r="GU18" s="340">
        <v>67.42</v>
      </c>
      <c r="GV18" s="479" t="s">
        <v>1969</v>
      </c>
      <c r="GW18" s="340">
        <v>1001</v>
      </c>
      <c r="GX18" s="197"/>
      <c r="GZ18" s="299" t="s">
        <v>2039</v>
      </c>
      <c r="HA18" s="444">
        <f>2525.92/6</f>
        <v>420.98666666666668</v>
      </c>
      <c r="HB18" s="488" t="s">
        <v>2020</v>
      </c>
      <c r="HD18" s="340" t="s">
        <v>2108</v>
      </c>
      <c r="HE18" s="340">
        <f>1.25*3</f>
        <v>3.75</v>
      </c>
      <c r="HF18" s="300" t="s">
        <v>2088</v>
      </c>
      <c r="HG18" s="340">
        <v>33</v>
      </c>
      <c r="HH18" s="479" t="s">
        <v>1969</v>
      </c>
      <c r="HI18" s="340">
        <v>2041</v>
      </c>
      <c r="HJ18" s="506">
        <v>23.05</v>
      </c>
      <c r="HK18" s="505" t="s">
        <v>2103</v>
      </c>
      <c r="HL18" s="299" t="s">
        <v>1955</v>
      </c>
      <c r="HM18" s="510">
        <f>15.88+15.81+18.55+16.76+17.32+18.76</f>
        <v>103.08</v>
      </c>
      <c r="HN18" s="285" t="s">
        <v>1625</v>
      </c>
      <c r="HO18" s="340">
        <v>150</v>
      </c>
      <c r="HP18" s="511"/>
      <c r="HQ18" s="512"/>
      <c r="HR18" s="299" t="s">
        <v>2152</v>
      </c>
      <c r="HS18" s="340">
        <f>9+10.96</f>
        <v>19.96</v>
      </c>
      <c r="HT18" s="319" t="s">
        <v>1873</v>
      </c>
      <c r="HU18" s="340">
        <v>457</v>
      </c>
      <c r="HV18" s="504" t="s">
        <v>2239</v>
      </c>
      <c r="HW18" s="327">
        <f>18.8*3+56.4</f>
        <v>112.80000000000001</v>
      </c>
      <c r="HX18" s="299" t="s">
        <v>2141</v>
      </c>
      <c r="HY18" s="340">
        <v>96.35</v>
      </c>
      <c r="HZ18" s="319" t="s">
        <v>2167</v>
      </c>
      <c r="IA18" s="340">
        <v>0</v>
      </c>
      <c r="IB18" s="513" t="s">
        <v>2266</v>
      </c>
      <c r="IC18" s="323">
        <f>20.89*3</f>
        <v>62.67</v>
      </c>
      <c r="ID18" s="299" t="s">
        <v>2039</v>
      </c>
      <c r="IE18" s="444">
        <f>2750.62/3</f>
        <v>916.87333333333333</v>
      </c>
      <c r="IF18" s="319" t="s">
        <v>2218</v>
      </c>
      <c r="IG18" s="259">
        <v>295021.18</v>
      </c>
      <c r="IH18" s="340" t="s">
        <v>2388</v>
      </c>
      <c r="II18" s="320">
        <v>17.73</v>
      </c>
      <c r="IJ18" s="299" t="s">
        <v>2140</v>
      </c>
      <c r="IK18" s="340" t="s">
        <v>2374</v>
      </c>
      <c r="IL18" s="488" t="s">
        <v>2356</v>
      </c>
      <c r="IM18" s="259">
        <f>100*(120+1000+330+310)</f>
        <v>176000</v>
      </c>
      <c r="IN18" s="340" t="s">
        <v>2905</v>
      </c>
      <c r="IO18" s="340">
        <v>3</v>
      </c>
      <c r="IP18" s="299" t="s">
        <v>2400</v>
      </c>
      <c r="IQ18" s="202">
        <v>42.65</v>
      </c>
      <c r="IR18" s="319" t="s">
        <v>2905</v>
      </c>
      <c r="IS18" s="259">
        <v>1143</v>
      </c>
      <c r="IT18" s="340" t="s">
        <v>2659</v>
      </c>
      <c r="IU18" s="320">
        <v>14</v>
      </c>
      <c r="IV18" s="299" t="s">
        <v>2526</v>
      </c>
      <c r="IW18" s="274">
        <v>110.02</v>
      </c>
      <c r="IX18" s="319" t="s">
        <v>2934</v>
      </c>
      <c r="IY18" s="357">
        <v>4175</v>
      </c>
      <c r="IZ18" s="504"/>
      <c r="JA18" s="327"/>
      <c r="JB18" s="299" t="s">
        <v>2519</v>
      </c>
      <c r="JC18" s="202">
        <v>110.79</v>
      </c>
      <c r="JD18" s="319" t="s">
        <v>2913</v>
      </c>
      <c r="JE18" s="357">
        <v>3083</v>
      </c>
      <c r="JF18" s="504"/>
      <c r="JG18" s="327"/>
      <c r="JH18" s="299" t="s">
        <v>2908</v>
      </c>
      <c r="JI18" s="202">
        <v>30</v>
      </c>
      <c r="JJ18" s="319" t="s">
        <v>2913</v>
      </c>
      <c r="JK18" s="259">
        <v>99936</v>
      </c>
      <c r="JL18" s="504" t="s">
        <v>2690</v>
      </c>
      <c r="JM18" s="327">
        <f>228.82+344.82+65.55+23.84</f>
        <v>663.03</v>
      </c>
      <c r="JN18" s="299" t="s">
        <v>2524</v>
      </c>
      <c r="JO18" s="274">
        <v>157.54</v>
      </c>
      <c r="JP18" s="319" t="s">
        <v>2670</v>
      </c>
      <c r="JQ18" s="259">
        <v>0</v>
      </c>
      <c r="JR18" s="514" t="s">
        <v>2914</v>
      </c>
      <c r="JS18" s="515">
        <f>28.96</f>
        <v>28.96</v>
      </c>
      <c r="JT18" s="299" t="s">
        <v>1195</v>
      </c>
      <c r="JU18" s="202">
        <f>15+6.5</f>
        <v>21.5</v>
      </c>
      <c r="JV18" s="319" t="s">
        <v>2582</v>
      </c>
      <c r="JW18" s="259">
        <v>15</v>
      </c>
      <c r="JX18" s="217" t="s">
        <v>2763</v>
      </c>
      <c r="JY18" s="395">
        <f>65.16+2.55</f>
        <v>67.709999999999994</v>
      </c>
      <c r="JZ18" s="300" t="s">
        <v>2825</v>
      </c>
      <c r="KA18" s="202">
        <v>5.01</v>
      </c>
      <c r="KB18" s="319" t="s">
        <v>2582</v>
      </c>
      <c r="KC18" s="259">
        <v>14</v>
      </c>
      <c r="KD18" s="217" t="s">
        <v>2763</v>
      </c>
      <c r="KE18" s="395">
        <v>92.26</v>
      </c>
      <c r="KF18" s="299" t="s">
        <v>2724</v>
      </c>
      <c r="KG18" s="202">
        <v>10.8</v>
      </c>
      <c r="KH18" s="204" t="s">
        <v>2888</v>
      </c>
      <c r="KI18" s="469"/>
      <c r="KJ18" s="217" t="s">
        <v>2940</v>
      </c>
      <c r="KK18" s="395">
        <v>12.01</v>
      </c>
      <c r="KL18" s="447" t="s">
        <v>2971</v>
      </c>
      <c r="KM18" s="326">
        <v>147.75</v>
      </c>
      <c r="KN18" s="325" t="s">
        <v>2877</v>
      </c>
      <c r="KO18" s="357"/>
      <c r="KP18" s="217" t="s">
        <v>3026</v>
      </c>
      <c r="KQ18" s="327">
        <v>939.02</v>
      </c>
      <c r="KR18" s="143" t="s">
        <v>3002</v>
      </c>
      <c r="KS18" s="326">
        <v>140.07</v>
      </c>
      <c r="KT18" s="325" t="s">
        <v>2877</v>
      </c>
      <c r="KU18" s="357"/>
      <c r="KV18" s="340" t="s">
        <v>2821</v>
      </c>
      <c r="KW18" s="395"/>
      <c r="KX18" s="254" t="s">
        <v>3137</v>
      </c>
      <c r="KY18" s="611">
        <v>32</v>
      </c>
      <c r="KZ18" s="554" t="s">
        <v>3077</v>
      </c>
      <c r="LA18" s="469">
        <v>-78.540000000000006</v>
      </c>
      <c r="LB18" s="623" t="s">
        <v>3140</v>
      </c>
      <c r="LC18" s="622">
        <v>32.479999999999997</v>
      </c>
      <c r="LD18" s="254" t="s">
        <v>3151</v>
      </c>
      <c r="LE18" s="635">
        <v>51.99</v>
      </c>
      <c r="LF18" s="443">
        <v>192373</v>
      </c>
      <c r="LG18" s="625"/>
      <c r="LH18" s="656" t="s">
        <v>2821</v>
      </c>
      <c r="LI18" s="395"/>
      <c r="LJ18" s="256" t="s">
        <v>3223</v>
      </c>
      <c r="LK18" s="680">
        <v>66</v>
      </c>
      <c r="LL18" s="443">
        <v>176526</v>
      </c>
      <c r="LM18" s="658"/>
      <c r="LN18" s="217" t="s">
        <v>3211</v>
      </c>
      <c r="LO18" s="395">
        <v>34.000999999999998</v>
      </c>
      <c r="LP18" s="256" t="s">
        <v>3246</v>
      </c>
      <c r="LQ18" s="636"/>
      <c r="LR18" s="689" t="s">
        <v>2665</v>
      </c>
      <c r="LS18" s="259">
        <v>2600</v>
      </c>
      <c r="LT18" s="465">
        <v>45322</v>
      </c>
    </row>
    <row r="19" spans="1:332">
      <c r="A19" s="218" t="s">
        <v>995</v>
      </c>
      <c r="B19" s="467"/>
      <c r="E19" s="166" t="s">
        <v>369</v>
      </c>
      <c r="F19" s="166"/>
      <c r="G19" s="218" t="s">
        <v>995</v>
      </c>
      <c r="H19" s="467"/>
      <c r="K19" s="166" t="s">
        <v>369</v>
      </c>
      <c r="M19" s="218" t="s">
        <v>997</v>
      </c>
      <c r="N19" s="467">
        <v>550</v>
      </c>
      <c r="Q19" s="166" t="s">
        <v>1022</v>
      </c>
      <c r="S19" s="218" t="s">
        <v>1045</v>
      </c>
      <c r="T19" s="467">
        <v>550</v>
      </c>
      <c r="W19" s="166" t="s">
        <v>1056</v>
      </c>
      <c r="Y19" s="218" t="s">
        <v>996</v>
      </c>
      <c r="Z19" s="467">
        <v>1142</v>
      </c>
      <c r="AA19" s="340" t="s">
        <v>1086</v>
      </c>
      <c r="AB19" s="340">
        <v>50</v>
      </c>
      <c r="AC19" s="143" t="s">
        <v>1051</v>
      </c>
      <c r="AD19" s="340">
        <v>0</v>
      </c>
      <c r="AE19" s="218" t="s">
        <v>1078</v>
      </c>
      <c r="AF19" s="467">
        <v>10001</v>
      </c>
      <c r="AI19" s="143" t="s">
        <v>1100</v>
      </c>
      <c r="AJ19" s="204">
        <v>56</v>
      </c>
      <c r="AK19" s="218" t="s">
        <v>1078</v>
      </c>
      <c r="AL19" s="467" t="s">
        <v>1079</v>
      </c>
      <c r="AM19" s="397"/>
      <c r="AO19" s="166" t="s">
        <v>1140</v>
      </c>
      <c r="AP19" s="204">
        <v>146</v>
      </c>
      <c r="AQ19" s="218" t="s">
        <v>1078</v>
      </c>
      <c r="AR19" s="467">
        <f>AN21</f>
        <v>2200</v>
      </c>
      <c r="AU19" s="166" t="s">
        <v>1152</v>
      </c>
      <c r="AV19" s="204">
        <v>42.53</v>
      </c>
      <c r="AW19" s="218" t="s">
        <v>1078</v>
      </c>
      <c r="AX19" s="467">
        <f>10000+2200</f>
        <v>12200</v>
      </c>
      <c r="AY19" s="166"/>
      <c r="AZ19" s="204"/>
      <c r="BA19" s="218" t="s">
        <v>1078</v>
      </c>
      <c r="BB19" s="467">
        <f t="shared" si="0"/>
        <v>12200</v>
      </c>
      <c r="BC19" s="340" t="s">
        <v>1188</v>
      </c>
      <c r="BE19" s="242" t="s">
        <v>1154</v>
      </c>
      <c r="BF19" s="204">
        <v>325.27999999999997</v>
      </c>
      <c r="BG19" s="218" t="s">
        <v>1078</v>
      </c>
      <c r="BH19" s="467">
        <v>10000</v>
      </c>
      <c r="BK19" s="256" t="s">
        <v>1154</v>
      </c>
      <c r="BL19" s="217" t="s">
        <v>686</v>
      </c>
      <c r="BM19" s="218" t="s">
        <v>1078</v>
      </c>
      <c r="BN19" s="467">
        <v>10000</v>
      </c>
      <c r="BO19" s="204" t="s">
        <v>1235</v>
      </c>
      <c r="BP19" s="217">
        <v>7</v>
      </c>
      <c r="BQ19" s="256" t="s">
        <v>1239</v>
      </c>
      <c r="BR19" s="217">
        <v>280</v>
      </c>
      <c r="BS19" s="218" t="s">
        <v>1078</v>
      </c>
      <c r="BT19" s="377">
        <v>7025</v>
      </c>
      <c r="BU19" s="204"/>
      <c r="BW19" s="256" t="s">
        <v>1154</v>
      </c>
      <c r="BX19" s="217" t="s">
        <v>686</v>
      </c>
      <c r="BY19" s="218" t="s">
        <v>996</v>
      </c>
      <c r="BZ19" s="467">
        <v>7142</v>
      </c>
      <c r="CA19" s="204"/>
      <c r="CC19" s="256" t="s">
        <v>1154</v>
      </c>
      <c r="CD19" s="217" t="s">
        <v>1304</v>
      </c>
      <c r="CE19" s="218" t="s">
        <v>996</v>
      </c>
      <c r="CF19" s="467">
        <v>11142</v>
      </c>
      <c r="CG19" s="261"/>
      <c r="CI19" s="256" t="s">
        <v>1301</v>
      </c>
      <c r="CJ19" s="204">
        <v>172</v>
      </c>
      <c r="CK19" s="218" t="s">
        <v>1045</v>
      </c>
      <c r="CL19" s="467">
        <v>527.62</v>
      </c>
      <c r="CM19" s="261"/>
      <c r="CO19" s="256" t="s">
        <v>1027</v>
      </c>
      <c r="CP19" s="263" t="s">
        <v>686</v>
      </c>
      <c r="CQ19" s="218" t="s">
        <v>996</v>
      </c>
      <c r="CR19" s="467">
        <v>26991</v>
      </c>
      <c r="CS19" s="217" t="s">
        <v>1061</v>
      </c>
      <c r="CT19" s="204" t="s">
        <v>686</v>
      </c>
      <c r="CU19" s="257" t="s">
        <v>1363</v>
      </c>
      <c r="CV19" s="204">
        <v>70.38</v>
      </c>
      <c r="CW19" s="218" t="s">
        <v>1046</v>
      </c>
      <c r="CX19" s="467">
        <v>17242.32</v>
      </c>
      <c r="CY19" s="261"/>
      <c r="CZ19" s="204"/>
      <c r="DA19" s="256" t="s">
        <v>1395</v>
      </c>
      <c r="DB19" s="204">
        <v>51.41</v>
      </c>
      <c r="DC19" s="218" t="s">
        <v>1078</v>
      </c>
      <c r="DD19" s="467">
        <v>60</v>
      </c>
      <c r="DE19" s="261" t="s">
        <v>1417</v>
      </c>
      <c r="DF19" s="217">
        <v>192.6</v>
      </c>
      <c r="DG19" s="271" t="s">
        <v>1002</v>
      </c>
      <c r="DH19" s="274">
        <v>1800.01</v>
      </c>
      <c r="DI19" s="218" t="s">
        <v>1447</v>
      </c>
      <c r="DJ19" s="377">
        <v>2065</v>
      </c>
      <c r="DM19" s="270" t="s">
        <v>1503</v>
      </c>
      <c r="DN19" s="274">
        <v>2454.0500000000002</v>
      </c>
      <c r="DO19" s="218" t="s">
        <v>1497</v>
      </c>
      <c r="DP19" s="477">
        <v>10000</v>
      </c>
      <c r="DS19" s="256" t="s">
        <v>1337</v>
      </c>
      <c r="DT19" s="261" t="s">
        <v>1564</v>
      </c>
      <c r="DU19" s="218" t="s">
        <v>1567</v>
      </c>
      <c r="DV19" s="477">
        <v>10000</v>
      </c>
      <c r="DY19" s="242" t="s">
        <v>1607</v>
      </c>
      <c r="DZ19" s="340">
        <v>11</v>
      </c>
      <c r="EA19" s="218" t="s">
        <v>1497</v>
      </c>
      <c r="EB19" s="477">
        <v>10000</v>
      </c>
      <c r="EC19" s="197" t="s">
        <v>1579</v>
      </c>
      <c r="ED19" s="340" t="s">
        <v>686</v>
      </c>
      <c r="EE19" s="242" t="s">
        <v>1607</v>
      </c>
      <c r="EF19" s="340">
        <v>11</v>
      </c>
      <c r="EH19" s="285" t="s">
        <v>1469</v>
      </c>
      <c r="EI19" s="318">
        <v>5000</v>
      </c>
      <c r="EL19" s="242" t="s">
        <v>1195</v>
      </c>
      <c r="EM19" s="340">
        <f>15+6.5</f>
        <v>21.5</v>
      </c>
      <c r="EN19" s="285" t="s">
        <v>1638</v>
      </c>
      <c r="EO19" s="318">
        <f>5000+2000</f>
        <v>7000</v>
      </c>
      <c r="ER19" s="299" t="s">
        <v>1195</v>
      </c>
      <c r="ES19" s="340">
        <f>15+6.5</f>
        <v>21.5</v>
      </c>
      <c r="ET19" s="285" t="s">
        <v>1697</v>
      </c>
      <c r="EU19" s="318">
        <v>5000</v>
      </c>
      <c r="EV19" s="204" t="s">
        <v>1567</v>
      </c>
      <c r="EW19" s="340">
        <v>39.85</v>
      </c>
      <c r="EX19" s="299" t="s">
        <v>1286</v>
      </c>
      <c r="EY19" s="340">
        <v>145.44999999999999</v>
      </c>
      <c r="EZ19" s="285" t="s">
        <v>1697</v>
      </c>
      <c r="FA19" s="318">
        <v>0</v>
      </c>
      <c r="FB19" s="197" t="s">
        <v>1786</v>
      </c>
      <c r="FC19" s="340">
        <v>30</v>
      </c>
      <c r="FD19" s="299" t="s">
        <v>1760</v>
      </c>
      <c r="FE19" s="340">
        <f>6.5+15</f>
        <v>21.5</v>
      </c>
      <c r="FF19" s="285" t="s">
        <v>1697</v>
      </c>
      <c r="FG19" s="318">
        <v>1000</v>
      </c>
      <c r="FH19" s="204" t="s">
        <v>1797</v>
      </c>
      <c r="FI19" s="244">
        <v>7.64</v>
      </c>
      <c r="FJ19" s="299" t="s">
        <v>1537</v>
      </c>
      <c r="FK19" s="340">
        <v>64</v>
      </c>
      <c r="FL19" s="285" t="s">
        <v>1756</v>
      </c>
      <c r="FM19" s="318">
        <v>25000</v>
      </c>
      <c r="FN19" s="197" t="s">
        <v>1579</v>
      </c>
      <c r="FP19" s="299" t="s">
        <v>1815</v>
      </c>
      <c r="FQ19" s="340">
        <v>140.44999999999999</v>
      </c>
      <c r="FR19" s="285" t="s">
        <v>1704</v>
      </c>
      <c r="FS19" s="318">
        <v>4000</v>
      </c>
      <c r="FT19" s="197" t="s">
        <v>1883</v>
      </c>
      <c r="FV19" s="299" t="s">
        <v>1815</v>
      </c>
      <c r="FW19" s="340">
        <v>140.44999999999999</v>
      </c>
      <c r="FX19" s="285" t="s">
        <v>1898</v>
      </c>
      <c r="FY19" s="488">
        <v>39</v>
      </c>
      <c r="FZ19" s="197" t="s">
        <v>1882</v>
      </c>
      <c r="GB19" s="299" t="s">
        <v>1919</v>
      </c>
      <c r="GC19" s="340">
        <v>90.65</v>
      </c>
      <c r="GD19" s="285" t="s">
        <v>1898</v>
      </c>
      <c r="GE19" s="488">
        <v>33</v>
      </c>
      <c r="GH19" s="299" t="s">
        <v>1919</v>
      </c>
      <c r="GI19" s="340">
        <v>73.959999999999994</v>
      </c>
      <c r="GJ19" s="488" t="s">
        <v>1972</v>
      </c>
      <c r="GL19" s="197" t="s">
        <v>1971</v>
      </c>
      <c r="GN19" s="300" t="s">
        <v>1986</v>
      </c>
      <c r="GO19" s="340">
        <v>1867</v>
      </c>
      <c r="GP19" s="479" t="s">
        <v>1969</v>
      </c>
      <c r="GQ19" s="340">
        <v>2000.001</v>
      </c>
      <c r="GR19" s="340" t="s">
        <v>2045</v>
      </c>
      <c r="GS19" s="340">
        <v>1.1000000000000001</v>
      </c>
      <c r="GT19" s="299" t="s">
        <v>2073</v>
      </c>
      <c r="GU19" s="340" t="s">
        <v>2023</v>
      </c>
      <c r="GV19" s="285" t="s">
        <v>1897</v>
      </c>
      <c r="GW19" s="488">
        <v>745</v>
      </c>
      <c r="GZ19" s="299" t="s">
        <v>2070</v>
      </c>
      <c r="HA19" s="340">
        <v>77.3</v>
      </c>
      <c r="HB19" s="479" t="s">
        <v>1969</v>
      </c>
      <c r="HC19" s="340">
        <v>2041</v>
      </c>
      <c r="HD19" s="340" t="s">
        <v>2118</v>
      </c>
      <c r="HE19" s="340">
        <v>106.89</v>
      </c>
      <c r="HF19" s="300" t="s">
        <v>2090</v>
      </c>
      <c r="HG19" s="340">
        <v>12</v>
      </c>
      <c r="HH19" s="285" t="s">
        <v>2093</v>
      </c>
      <c r="HI19" s="488" t="s">
        <v>2094</v>
      </c>
      <c r="HJ19" s="516">
        <v>1580.64</v>
      </c>
      <c r="HK19" s="512" t="s">
        <v>2116</v>
      </c>
      <c r="HL19" s="297" t="s">
        <v>2157</v>
      </c>
      <c r="HM19" s="340">
        <v>20</v>
      </c>
      <c r="HN19" s="488" t="s">
        <v>2020</v>
      </c>
      <c r="HR19" s="299" t="s">
        <v>2195</v>
      </c>
      <c r="HS19" s="340">
        <v>160</v>
      </c>
      <c r="HT19" s="319" t="s">
        <v>2167</v>
      </c>
      <c r="HU19" s="340">
        <v>0</v>
      </c>
      <c r="HV19" s="504" t="s">
        <v>2238</v>
      </c>
      <c r="HW19" s="327">
        <v>18.8</v>
      </c>
      <c r="HX19" s="299" t="s">
        <v>1815</v>
      </c>
      <c r="HY19" s="340">
        <v>112.57</v>
      </c>
      <c r="HZ19" s="319" t="s">
        <v>2264</v>
      </c>
      <c r="IA19" s="340">
        <v>12000</v>
      </c>
      <c r="IB19" s="509" t="s">
        <v>2267</v>
      </c>
      <c r="IC19" s="323">
        <v>146.22999999999999</v>
      </c>
      <c r="ID19" s="299" t="s">
        <v>1919</v>
      </c>
      <c r="IE19" s="444">
        <v>16.18</v>
      </c>
      <c r="IF19" s="319" t="s">
        <v>2912</v>
      </c>
      <c r="IG19" s="259">
        <v>2234</v>
      </c>
      <c r="IH19" s="340" t="s">
        <v>2328</v>
      </c>
      <c r="II19" s="320">
        <v>35.67</v>
      </c>
      <c r="IJ19" s="299" t="s">
        <v>2281</v>
      </c>
      <c r="IK19" s="340">
        <v>114.44</v>
      </c>
      <c r="IL19" s="319" t="s">
        <v>2355</v>
      </c>
      <c r="IM19" s="340">
        <f>10502+14002</f>
        <v>24504</v>
      </c>
      <c r="IN19" s="340" t="s">
        <v>2659</v>
      </c>
      <c r="IO19" s="320">
        <v>5</v>
      </c>
      <c r="IP19" s="299" t="s">
        <v>2437</v>
      </c>
      <c r="IQ19" s="202">
        <f>IM29</f>
        <v>21.35</v>
      </c>
      <c r="IR19" s="285" t="s">
        <v>2391</v>
      </c>
      <c r="IS19" s="340">
        <v>170</v>
      </c>
      <c r="IT19" s="511" t="s">
        <v>2528</v>
      </c>
      <c r="IU19" s="327">
        <v>6</v>
      </c>
      <c r="IV19" s="299" t="s">
        <v>2152</v>
      </c>
      <c r="IW19" s="202">
        <f>9</f>
        <v>9</v>
      </c>
      <c r="IX19" s="319" t="s">
        <v>2522</v>
      </c>
      <c r="IY19" s="259">
        <v>10</v>
      </c>
      <c r="JB19" s="299" t="s">
        <v>2599</v>
      </c>
      <c r="JC19" s="202">
        <v>109.57</v>
      </c>
      <c r="JD19" s="319" t="s">
        <v>2569</v>
      </c>
      <c r="JE19" s="259">
        <v>0</v>
      </c>
      <c r="JH19" s="299" t="s">
        <v>2524</v>
      </c>
      <c r="JI19" s="274">
        <v>115.37</v>
      </c>
      <c r="JJ19" s="319" t="s">
        <v>2569</v>
      </c>
      <c r="JK19" s="259">
        <v>0</v>
      </c>
      <c r="JL19" s="340" t="s">
        <v>2687</v>
      </c>
      <c r="JM19" s="340">
        <v>2</v>
      </c>
      <c r="JN19" s="299" t="s">
        <v>1195</v>
      </c>
      <c r="JO19" s="202">
        <f>15+6.5+30</f>
        <v>51.5</v>
      </c>
      <c r="JP19" s="319" t="s">
        <v>2582</v>
      </c>
      <c r="JQ19" s="259">
        <v>14</v>
      </c>
      <c r="JR19" s="220" t="s">
        <v>2915</v>
      </c>
      <c r="JS19" s="517">
        <f>183.29+65.98+58.65</f>
        <v>307.91999999999996</v>
      </c>
      <c r="JT19" s="299" t="s">
        <v>2674</v>
      </c>
      <c r="JU19" s="202">
        <f>9+14.32</f>
        <v>23.32</v>
      </c>
      <c r="JV19" s="285" t="s">
        <v>2579</v>
      </c>
      <c r="JW19" s="259">
        <v>240</v>
      </c>
      <c r="JX19" s="217" t="s">
        <v>2823</v>
      </c>
      <c r="JY19" s="395">
        <v>24.55</v>
      </c>
      <c r="JZ19" s="300" t="s">
        <v>2826</v>
      </c>
      <c r="KA19" s="340">
        <v>10.87</v>
      </c>
      <c r="KB19" s="285" t="s">
        <v>2579</v>
      </c>
      <c r="KC19" s="259">
        <v>220</v>
      </c>
      <c r="KD19" s="217" t="s">
        <v>2824</v>
      </c>
      <c r="KE19" s="395">
        <v>31.03</v>
      </c>
      <c r="KF19" s="299" t="s">
        <v>2309</v>
      </c>
      <c r="KG19" s="202">
        <f>14.89+17.36+13.36+15.59+10+15.78+15.59</f>
        <v>102.57000000000001</v>
      </c>
      <c r="KH19" s="285" t="s">
        <v>1094</v>
      </c>
      <c r="KI19" s="318">
        <v>-1680</v>
      </c>
      <c r="KJ19" s="285" t="s">
        <v>2915</v>
      </c>
      <c r="KK19" s="395">
        <f>135.77+48.88+27.16</f>
        <v>211.81</v>
      </c>
      <c r="KL19" s="143" t="s">
        <v>2966</v>
      </c>
      <c r="KM19" s="326">
        <f>1413.64/10</f>
        <v>141.364</v>
      </c>
      <c r="KN19" s="285" t="s">
        <v>2993</v>
      </c>
      <c r="KO19" s="341">
        <v>-114.8</v>
      </c>
      <c r="KP19" s="217" t="s">
        <v>3008</v>
      </c>
      <c r="KQ19" s="327">
        <v>14.02</v>
      </c>
      <c r="KR19" s="143" t="s">
        <v>3039</v>
      </c>
      <c r="KS19" s="286">
        <v>170.22</v>
      </c>
      <c r="KT19" s="285" t="s">
        <v>2994</v>
      </c>
      <c r="KU19" s="318">
        <v>-479</v>
      </c>
      <c r="KV19" s="285" t="s">
        <v>3069</v>
      </c>
      <c r="KW19" s="395">
        <f>212.33+76.44+67.94</f>
        <v>356.71</v>
      </c>
      <c r="KX19" s="254" t="s">
        <v>3129</v>
      </c>
      <c r="KY19" s="615">
        <f>466.26+15.92</f>
        <v>482.18</v>
      </c>
      <c r="KZ19" s="204" t="s">
        <v>3048</v>
      </c>
      <c r="LA19" s="259">
        <f>KZ20-0.99*195000</f>
        <v>-1722</v>
      </c>
      <c r="LB19" s="623" t="s">
        <v>3139</v>
      </c>
      <c r="LC19" s="622">
        <v>21.18</v>
      </c>
      <c r="LD19" s="254" t="s">
        <v>3163</v>
      </c>
      <c r="LE19" s="643">
        <v>83.17</v>
      </c>
      <c r="LF19" s="623" t="s">
        <v>2665</v>
      </c>
      <c r="LG19" s="175">
        <v>2600</v>
      </c>
      <c r="LH19" s="660" t="s">
        <v>3242</v>
      </c>
      <c r="LI19" s="395">
        <f>212+76+43</f>
        <v>331</v>
      </c>
      <c r="LJ19" s="256" t="s">
        <v>3225</v>
      </c>
      <c r="LK19" s="636">
        <v>491.7</v>
      </c>
      <c r="LL19" s="657" t="s">
        <v>2665</v>
      </c>
      <c r="LM19" s="259">
        <v>2600</v>
      </c>
      <c r="LN19" s="689" t="s">
        <v>3247</v>
      </c>
      <c r="LO19" s="395"/>
      <c r="LP19" s="243" t="s">
        <v>3001</v>
      </c>
      <c r="LQ19" s="395"/>
      <c r="LR19" s="693" t="s">
        <v>2666</v>
      </c>
      <c r="LS19" s="259">
        <v>695</v>
      </c>
      <c r="LT19" s="465">
        <v>45322</v>
      </c>
    </row>
    <row r="20" spans="1:332">
      <c r="A20" s="218" t="s">
        <v>996</v>
      </c>
      <c r="B20" s="467">
        <v>1218</v>
      </c>
      <c r="E20" s="166"/>
      <c r="F20" s="166"/>
      <c r="G20" s="218" t="s">
        <v>996</v>
      </c>
      <c r="H20" s="467">
        <v>1218</v>
      </c>
      <c r="K20" s="166"/>
      <c r="M20" s="218"/>
      <c r="N20" s="467"/>
      <c r="Q20" s="166" t="s">
        <v>431</v>
      </c>
      <c r="S20" s="218" t="s">
        <v>1046</v>
      </c>
      <c r="T20" s="467">
        <v>3800</v>
      </c>
      <c r="W20" s="242" t="s">
        <v>1029</v>
      </c>
      <c r="X20" s="340">
        <v>0</v>
      </c>
      <c r="Y20" s="218" t="s">
        <v>1045</v>
      </c>
      <c r="Z20" s="467">
        <v>550</v>
      </c>
      <c r="AC20" s="143" t="s">
        <v>1016</v>
      </c>
      <c r="AD20" s="340">
        <v>132.35</v>
      </c>
      <c r="AE20" s="218" t="s">
        <v>996</v>
      </c>
      <c r="AF20" s="467">
        <v>1142</v>
      </c>
      <c r="AI20" s="143" t="s">
        <v>1016</v>
      </c>
      <c r="AJ20" s="340">
        <v>250</v>
      </c>
      <c r="AK20" s="218" t="s">
        <v>996</v>
      </c>
      <c r="AL20" s="467">
        <v>1142</v>
      </c>
      <c r="AO20" s="242" t="s">
        <v>1026</v>
      </c>
      <c r="AP20" s="204">
        <v>0</v>
      </c>
      <c r="AQ20" s="218" t="s">
        <v>996</v>
      </c>
      <c r="AR20" s="467">
        <v>1142</v>
      </c>
      <c r="AU20" s="242" t="s">
        <v>1026</v>
      </c>
      <c r="AV20" s="204" t="s">
        <v>686</v>
      </c>
      <c r="AW20" s="218" t="s">
        <v>996</v>
      </c>
      <c r="AX20" s="467">
        <v>1142</v>
      </c>
      <c r="AY20" s="242"/>
      <c r="AZ20" s="204"/>
      <c r="BA20" s="218" t="s">
        <v>996</v>
      </c>
      <c r="BB20" s="467">
        <f t="shared" si="0"/>
        <v>1142</v>
      </c>
      <c r="BC20" s="340" t="s">
        <v>1196</v>
      </c>
      <c r="BD20" s="340">
        <v>34.799999999999997</v>
      </c>
      <c r="BE20" s="242" t="s">
        <v>1027</v>
      </c>
      <c r="BF20" s="204">
        <f>930.9+385.2</f>
        <v>1316.1</v>
      </c>
      <c r="BG20" s="218" t="s">
        <v>996</v>
      </c>
      <c r="BH20" s="467">
        <v>1142</v>
      </c>
      <c r="BI20" s="261"/>
      <c r="BK20" s="256" t="s">
        <v>1027</v>
      </c>
      <c r="BL20" s="204" t="s">
        <v>686</v>
      </c>
      <c r="BM20" s="218" t="s">
        <v>996</v>
      </c>
      <c r="BN20" s="467">
        <v>1142</v>
      </c>
      <c r="BO20" s="261"/>
      <c r="BQ20" s="256" t="s">
        <v>1027</v>
      </c>
      <c r="BR20" s="204" t="s">
        <v>686</v>
      </c>
      <c r="BS20" s="218" t="s">
        <v>996</v>
      </c>
      <c r="BT20" s="377">
        <v>1142</v>
      </c>
      <c r="BU20" s="261"/>
      <c r="BW20" s="256" t="s">
        <v>1027</v>
      </c>
      <c r="BX20" s="204" t="s">
        <v>686</v>
      </c>
      <c r="BY20" s="218" t="s">
        <v>1045</v>
      </c>
      <c r="BZ20" s="467">
        <f>BT21</f>
        <v>527.62</v>
      </c>
      <c r="CA20" s="261"/>
      <c r="CC20" s="256" t="s">
        <v>1027</v>
      </c>
      <c r="CD20" s="204" t="s">
        <v>686</v>
      </c>
      <c r="CE20" s="218" t="s">
        <v>1045</v>
      </c>
      <c r="CF20" s="467">
        <v>527.62</v>
      </c>
      <c r="CI20" s="256" t="s">
        <v>1027</v>
      </c>
      <c r="CJ20" s="263">
        <v>1316.1</v>
      </c>
      <c r="CK20" s="218" t="s">
        <v>1046</v>
      </c>
      <c r="CL20" s="467">
        <v>17242.32</v>
      </c>
      <c r="CO20" s="256" t="s">
        <v>1026</v>
      </c>
      <c r="CP20" s="204" t="s">
        <v>686</v>
      </c>
      <c r="CQ20" s="218" t="s">
        <v>1045</v>
      </c>
      <c r="CR20" s="467">
        <v>527.62</v>
      </c>
      <c r="CS20" s="261" t="s">
        <v>1317</v>
      </c>
      <c r="CU20" s="257" t="s">
        <v>1376</v>
      </c>
      <c r="CV20" s="204">
        <v>45.3</v>
      </c>
      <c r="CW20" s="218" t="s">
        <v>1045</v>
      </c>
      <c r="CX20" s="467">
        <v>527.62</v>
      </c>
      <c r="CY20" s="261"/>
      <c r="DA20" s="256" t="s">
        <v>1195</v>
      </c>
      <c r="DB20" s="204">
        <f>6.5+6.5+12</f>
        <v>25</v>
      </c>
      <c r="DC20" s="218" t="s">
        <v>1046</v>
      </c>
      <c r="DD20" s="467">
        <v>17242</v>
      </c>
      <c r="DE20" s="261" t="s">
        <v>1436</v>
      </c>
      <c r="DF20" s="217">
        <v>100</v>
      </c>
      <c r="DG20" s="271" t="s">
        <v>1408</v>
      </c>
      <c r="DH20" s="274">
        <v>30.01</v>
      </c>
      <c r="DI20" s="218" t="s">
        <v>1466</v>
      </c>
      <c r="DJ20" s="477">
        <v>10000</v>
      </c>
      <c r="DK20" s="478" t="s">
        <v>1490</v>
      </c>
      <c r="DM20" s="270" t="s">
        <v>1520</v>
      </c>
      <c r="DN20" s="274">
        <v>420</v>
      </c>
      <c r="DO20" s="218" t="s">
        <v>1483</v>
      </c>
      <c r="DP20" s="477">
        <v>10000</v>
      </c>
      <c r="DQ20" s="478" t="s">
        <v>1579</v>
      </c>
      <c r="DS20" s="256" t="s">
        <v>1435</v>
      </c>
      <c r="DT20" s="261">
        <v>49.07</v>
      </c>
      <c r="DU20" s="218" t="s">
        <v>1497</v>
      </c>
      <c r="DV20" s="477">
        <v>10000</v>
      </c>
      <c r="DW20" s="197"/>
      <c r="DY20" s="242" t="s">
        <v>1537</v>
      </c>
      <c r="DZ20" s="340" t="s">
        <v>1604</v>
      </c>
      <c r="EA20" s="218"/>
      <c r="EB20" s="477"/>
      <c r="EE20" s="242" t="s">
        <v>1537</v>
      </c>
      <c r="EF20" s="340">
        <v>64</v>
      </c>
      <c r="EH20" s="285" t="s">
        <v>1457</v>
      </c>
      <c r="EI20" s="318">
        <v>5000</v>
      </c>
      <c r="EJ20" s="197" t="s">
        <v>1579</v>
      </c>
      <c r="EL20" s="242" t="s">
        <v>1286</v>
      </c>
      <c r="EM20" s="340">
        <v>158.44999999999999</v>
      </c>
      <c r="EN20" s="285" t="s">
        <v>1639</v>
      </c>
      <c r="EO20" s="318">
        <f>5000+5000</f>
        <v>10000</v>
      </c>
      <c r="ER20" s="299" t="s">
        <v>1286</v>
      </c>
      <c r="ES20" s="340">
        <v>136.79</v>
      </c>
      <c r="ET20" s="285" t="s">
        <v>1637</v>
      </c>
      <c r="EU20" s="318">
        <v>7000</v>
      </c>
      <c r="EV20" s="204" t="s">
        <v>1723</v>
      </c>
      <c r="EW20" s="340">
        <v>15</v>
      </c>
      <c r="EX20" s="299" t="s">
        <v>1607</v>
      </c>
      <c r="EY20" s="340" t="s">
        <v>1743</v>
      </c>
      <c r="EZ20" s="285" t="s">
        <v>1697</v>
      </c>
      <c r="FA20" s="318">
        <v>1000</v>
      </c>
      <c r="FB20" s="340" t="s">
        <v>1723</v>
      </c>
      <c r="FC20" s="340">
        <v>8.7100000000000009</v>
      </c>
      <c r="FD20" s="299" t="s">
        <v>1761</v>
      </c>
      <c r="FE20" s="340">
        <v>32</v>
      </c>
      <c r="FF20" s="285" t="s">
        <v>1697</v>
      </c>
      <c r="FG20" s="318">
        <v>1000</v>
      </c>
      <c r="FH20" s="204"/>
      <c r="FI20" s="244"/>
      <c r="FJ20" s="299" t="s">
        <v>1788</v>
      </c>
      <c r="FK20" s="340">
        <v>12</v>
      </c>
      <c r="FL20" s="285" t="s">
        <v>1569</v>
      </c>
      <c r="FM20" s="318">
        <v>15000</v>
      </c>
      <c r="FN20" s="197" t="s">
        <v>1709</v>
      </c>
      <c r="FO20" s="340">
        <v>6.37</v>
      </c>
      <c r="FP20" s="299" t="s">
        <v>1644</v>
      </c>
      <c r="FQ20" s="340">
        <f>20+20+31</f>
        <v>71</v>
      </c>
      <c r="FR20" s="285" t="s">
        <v>1756</v>
      </c>
      <c r="FS20" s="318">
        <v>25000</v>
      </c>
      <c r="FT20" s="518" t="s">
        <v>1866</v>
      </c>
      <c r="FU20" s="340">
        <v>1200</v>
      </c>
      <c r="FV20" s="299" t="s">
        <v>1195</v>
      </c>
      <c r="FW20" s="340">
        <f>6.5+15</f>
        <v>21.5</v>
      </c>
      <c r="FX20" s="285" t="s">
        <v>1899</v>
      </c>
      <c r="FY20" s="318">
        <v>209</v>
      </c>
      <c r="FZ20" s="340" t="s">
        <v>1943</v>
      </c>
      <c r="GA20" s="340">
        <f>207-202</f>
        <v>5</v>
      </c>
      <c r="GB20" s="299" t="s">
        <v>1937</v>
      </c>
      <c r="GC20" s="340">
        <v>126.93</v>
      </c>
      <c r="GD20" s="285" t="s">
        <v>1899</v>
      </c>
      <c r="GE20" s="318">
        <v>1202</v>
      </c>
      <c r="GF20" s="340" t="s">
        <v>1578</v>
      </c>
      <c r="GG20" s="240"/>
      <c r="GH20" s="299" t="s">
        <v>1937</v>
      </c>
      <c r="GI20" s="340">
        <v>95.54</v>
      </c>
      <c r="GJ20" s="285" t="s">
        <v>1897</v>
      </c>
      <c r="GK20" s="488">
        <v>744</v>
      </c>
      <c r="GL20" s="340" t="s">
        <v>1868</v>
      </c>
      <c r="GM20" s="340">
        <f>1966-2002</f>
        <v>-36</v>
      </c>
      <c r="GN20" s="299" t="s">
        <v>1995</v>
      </c>
      <c r="GO20" s="340" t="s">
        <v>1994</v>
      </c>
      <c r="GP20" s="285" t="s">
        <v>1897</v>
      </c>
      <c r="GQ20" s="488">
        <v>745</v>
      </c>
      <c r="GR20" s="325" t="s">
        <v>2634</v>
      </c>
      <c r="GS20" s="340">
        <v>128.33000000000001</v>
      </c>
      <c r="GT20" s="299" t="s">
        <v>1815</v>
      </c>
      <c r="GU20" s="340">
        <v>140.44999999999999</v>
      </c>
      <c r="GV20" s="285" t="s">
        <v>1898</v>
      </c>
      <c r="GW20" s="488">
        <v>33</v>
      </c>
      <c r="GZ20" s="299" t="s">
        <v>2073</v>
      </c>
      <c r="HA20" s="340">
        <v>97.12</v>
      </c>
      <c r="HB20" s="285" t="s">
        <v>1897</v>
      </c>
      <c r="HC20" s="488">
        <v>827</v>
      </c>
      <c r="HF20" s="299" t="s">
        <v>2039</v>
      </c>
      <c r="HG20" s="444">
        <f>2525.92/6</f>
        <v>420.98666666666668</v>
      </c>
      <c r="HH20" s="285" t="s">
        <v>1982</v>
      </c>
      <c r="HI20" s="318">
        <v>3000</v>
      </c>
      <c r="HJ20" s="519">
        <f>SUM(HJ15:HJ19)</f>
        <v>4926.7800000000007</v>
      </c>
      <c r="HK20" s="512" t="s">
        <v>2120</v>
      </c>
      <c r="HL20" s="297" t="s">
        <v>2122</v>
      </c>
      <c r="HM20" s="340">
        <v>33.5</v>
      </c>
      <c r="HN20" s="479" t="s">
        <v>1969</v>
      </c>
      <c r="HO20" s="340">
        <v>1000</v>
      </c>
      <c r="HR20" s="299" t="s">
        <v>2194</v>
      </c>
      <c r="HS20" s="340">
        <v>42.65</v>
      </c>
      <c r="HT20" s="319" t="s">
        <v>2905</v>
      </c>
      <c r="HU20" s="340">
        <v>2063</v>
      </c>
      <c r="HV20" s="511"/>
      <c r="HW20" s="520"/>
      <c r="HX20" s="299" t="s">
        <v>1195</v>
      </c>
      <c r="HY20" s="340">
        <f>6.5+15+10+6.7</f>
        <v>38.200000000000003</v>
      </c>
      <c r="HZ20" s="319" t="s">
        <v>2263</v>
      </c>
      <c r="IB20" s="521" t="s">
        <v>2268</v>
      </c>
      <c r="IC20" s="324">
        <v>626.70000000000005</v>
      </c>
      <c r="ID20" s="299" t="s">
        <v>2140</v>
      </c>
      <c r="IE20" s="444" t="s">
        <v>2343</v>
      </c>
      <c r="IF20" s="319" t="s">
        <v>2211</v>
      </c>
      <c r="IG20" s="259">
        <v>60000</v>
      </c>
      <c r="IH20" s="340" t="s">
        <v>2331</v>
      </c>
      <c r="II20" s="340">
        <f>18*2</f>
        <v>36</v>
      </c>
      <c r="IJ20" s="299" t="s">
        <v>1195</v>
      </c>
      <c r="IK20" s="340">
        <f>6.5+15</f>
        <v>21.5</v>
      </c>
      <c r="IL20" s="319" t="s">
        <v>2211</v>
      </c>
      <c r="IM20" s="259">
        <v>60000</v>
      </c>
      <c r="IO20" s="320"/>
      <c r="IP20" s="299" t="s">
        <v>2309</v>
      </c>
      <c r="IQ20" s="202">
        <f>17.6+10+15.04+18.67+17.63+10+18.43+12.51+10+16.42</f>
        <v>146.30000000000001</v>
      </c>
      <c r="IR20" s="325" t="s">
        <v>2428</v>
      </c>
      <c r="IT20" s="504"/>
      <c r="IU20" s="327"/>
      <c r="IV20" s="299" t="s">
        <v>2309</v>
      </c>
      <c r="IW20" s="202">
        <f>15.7+10+18.29+10+10+15.09+18.53+17.55+15.01+10+16.79</f>
        <v>156.95999999999998</v>
      </c>
      <c r="IX20" s="285" t="s">
        <v>2451</v>
      </c>
      <c r="IY20" s="340">
        <v>190</v>
      </c>
      <c r="IZ20" s="504"/>
      <c r="JA20" s="327"/>
      <c r="JB20" s="299" t="s">
        <v>2937</v>
      </c>
      <c r="JC20" s="202">
        <f>10+30</f>
        <v>40</v>
      </c>
      <c r="JD20" s="319" t="s">
        <v>2582</v>
      </c>
      <c r="JE20" s="259">
        <v>10</v>
      </c>
      <c r="JF20" s="504"/>
      <c r="JG20" s="327"/>
      <c r="JH20" s="299" t="s">
        <v>1195</v>
      </c>
      <c r="JI20" s="202">
        <f>6.5+15</f>
        <v>21.5</v>
      </c>
      <c r="JJ20" s="319" t="s">
        <v>2642</v>
      </c>
      <c r="JK20" s="341">
        <v>44.23</v>
      </c>
      <c r="JL20" s="504"/>
      <c r="JM20" s="327"/>
      <c r="JN20" s="299" t="s">
        <v>2674</v>
      </c>
      <c r="JO20" s="202">
        <f>9+14.32</f>
        <v>23.32</v>
      </c>
      <c r="JP20" s="285" t="s">
        <v>2579</v>
      </c>
      <c r="JQ20" s="259">
        <v>210</v>
      </c>
      <c r="JR20" s="220" t="s">
        <v>2713</v>
      </c>
      <c r="JS20" s="522">
        <v>15.42</v>
      </c>
      <c r="JT20" s="299" t="s">
        <v>2650</v>
      </c>
      <c r="JU20" s="202">
        <f>64+64+3</f>
        <v>131</v>
      </c>
      <c r="JV20" s="285" t="s">
        <v>2578</v>
      </c>
      <c r="JW20" s="318"/>
      <c r="JX20" s="217" t="s">
        <v>2812</v>
      </c>
      <c r="JY20" s="395">
        <v>27.05</v>
      </c>
      <c r="JZ20" s="243" t="s">
        <v>2717</v>
      </c>
      <c r="KA20" s="320">
        <v>1347.2</v>
      </c>
      <c r="KB20" s="285" t="s">
        <v>2578</v>
      </c>
      <c r="KC20" s="259"/>
      <c r="KD20" s="217" t="s">
        <v>2917</v>
      </c>
      <c r="KE20" s="395" t="s">
        <v>2887</v>
      </c>
      <c r="KF20" s="297" t="s">
        <v>2874</v>
      </c>
      <c r="KG20" s="202">
        <v>10</v>
      </c>
      <c r="KH20" s="204" t="s">
        <v>2880</v>
      </c>
      <c r="KI20" s="340">
        <f>KH21-0.99*195000</f>
        <v>-242</v>
      </c>
      <c r="KJ20" s="217" t="s">
        <v>2998</v>
      </c>
      <c r="KK20" s="395">
        <v>33</v>
      </c>
      <c r="KL20" s="143" t="s">
        <v>3040</v>
      </c>
      <c r="KM20" s="286">
        <v>198.07</v>
      </c>
      <c r="KN20" s="285" t="s">
        <v>2994</v>
      </c>
      <c r="KO20" s="318">
        <v>-425</v>
      </c>
      <c r="KR20" s="143" t="s">
        <v>2460</v>
      </c>
      <c r="KS20" s="202">
        <v>82.42</v>
      </c>
      <c r="KT20" s="204" t="s">
        <v>3048</v>
      </c>
      <c r="KU20" s="259">
        <f>KT21-0.99*195000</f>
        <v>-468</v>
      </c>
      <c r="KV20" s="217" t="s">
        <v>3007</v>
      </c>
      <c r="KW20" s="395">
        <f>34.33+1.58+0.5</f>
        <v>36.409999999999997</v>
      </c>
      <c r="KX20" s="254" t="s">
        <v>3126</v>
      </c>
      <c r="KY20" s="612">
        <v>20.05</v>
      </c>
      <c r="KZ20" s="443">
        <v>191328</v>
      </c>
      <c r="LA20" s="197"/>
      <c r="LB20" s="639" t="s">
        <v>3159</v>
      </c>
      <c r="LC20" s="327">
        <v>35.44</v>
      </c>
      <c r="LD20" s="243" t="s">
        <v>1834</v>
      </c>
      <c r="LE20" s="320">
        <v>10300</v>
      </c>
      <c r="LF20" s="624" t="s">
        <v>2666</v>
      </c>
      <c r="LG20" s="259">
        <v>843</v>
      </c>
      <c r="LH20" s="217" t="s">
        <v>3211</v>
      </c>
      <c r="LI20" s="395">
        <f>34.38+0.62+0.58</f>
        <v>35.58</v>
      </c>
      <c r="LJ20" s="243" t="s">
        <v>3001</v>
      </c>
      <c r="LK20" s="395">
        <f>1291.31-LK21</f>
        <v>1154.33</v>
      </c>
      <c r="LL20" s="661" t="s">
        <v>2666</v>
      </c>
      <c r="LM20" s="259">
        <v>695</v>
      </c>
      <c r="LN20" s="689" t="s">
        <v>3247</v>
      </c>
      <c r="LP20" s="143" t="s">
        <v>3002</v>
      </c>
      <c r="LQ20" s="286"/>
      <c r="LR20" s="693" t="s">
        <v>2667</v>
      </c>
      <c r="LS20" s="334">
        <v>1015</v>
      </c>
      <c r="LT20" s="465" t="s">
        <v>3251</v>
      </c>
    </row>
    <row r="21" spans="1:332">
      <c r="A21" s="218" t="s">
        <v>997</v>
      </c>
      <c r="B21" s="467">
        <v>551</v>
      </c>
      <c r="E21" s="164"/>
      <c r="F21" s="166"/>
      <c r="G21" s="218" t="s">
        <v>997</v>
      </c>
      <c r="H21" s="467">
        <v>551</v>
      </c>
      <c r="K21" s="242" t="s">
        <v>1029</v>
      </c>
      <c r="L21" s="340">
        <v>0</v>
      </c>
      <c r="M21" s="759" t="s">
        <v>507</v>
      </c>
      <c r="N21" s="759"/>
      <c r="Q21" s="166" t="s">
        <v>365</v>
      </c>
      <c r="S21" s="759" t="s">
        <v>507</v>
      </c>
      <c r="T21" s="759"/>
      <c r="W21" s="242" t="s">
        <v>1026</v>
      </c>
      <c r="X21" s="340">
        <v>0</v>
      </c>
      <c r="Y21" s="218" t="s">
        <v>1046</v>
      </c>
      <c r="Z21" s="467">
        <v>13800</v>
      </c>
      <c r="AC21" s="143" t="s">
        <v>1015</v>
      </c>
      <c r="AD21" s="340">
        <v>0</v>
      </c>
      <c r="AE21" s="218" t="s">
        <v>1045</v>
      </c>
      <c r="AF21" s="467">
        <v>527</v>
      </c>
      <c r="AI21" s="143" t="s">
        <v>1015</v>
      </c>
      <c r="AJ21" s="204">
        <v>64</v>
      </c>
      <c r="AK21" s="218" t="s">
        <v>1045</v>
      </c>
      <c r="AL21" s="467">
        <v>527</v>
      </c>
      <c r="AM21" s="340" t="s">
        <v>1112</v>
      </c>
      <c r="AN21" s="340">
        <v>2200</v>
      </c>
      <c r="AO21" s="242" t="s">
        <v>1121</v>
      </c>
      <c r="AP21" s="204">
        <v>325</v>
      </c>
      <c r="AQ21" s="218" t="s">
        <v>1045</v>
      </c>
      <c r="AR21" s="467">
        <v>527</v>
      </c>
      <c r="AU21" s="242" t="s">
        <v>1154</v>
      </c>
      <c r="AV21" s="204" t="s">
        <v>686</v>
      </c>
      <c r="AW21" s="218" t="s">
        <v>1045</v>
      </c>
      <c r="AX21" s="467">
        <v>527.62</v>
      </c>
      <c r="AY21" s="242"/>
      <c r="AZ21" s="204"/>
      <c r="BA21" s="218" t="s">
        <v>1045</v>
      </c>
      <c r="BB21" s="467">
        <f t="shared" si="0"/>
        <v>527.62</v>
      </c>
      <c r="BC21" s="261"/>
      <c r="BE21" s="242" t="s">
        <v>1026</v>
      </c>
      <c r="BF21" s="204"/>
      <c r="BG21" s="218" t="s">
        <v>1045</v>
      </c>
      <c r="BH21" s="467">
        <v>527.62</v>
      </c>
      <c r="BK21" s="256" t="s">
        <v>1026</v>
      </c>
      <c r="BL21" s="204" t="s">
        <v>686</v>
      </c>
      <c r="BM21" s="218" t="s">
        <v>1045</v>
      </c>
      <c r="BN21" s="467">
        <v>527.62</v>
      </c>
      <c r="BO21" s="261" t="s">
        <v>1236</v>
      </c>
      <c r="BP21" s="217">
        <v>4.5</v>
      </c>
      <c r="BQ21" s="256" t="s">
        <v>1026</v>
      </c>
      <c r="BR21" s="204" t="s">
        <v>686</v>
      </c>
      <c r="BS21" s="218" t="s">
        <v>1045</v>
      </c>
      <c r="BT21" s="377">
        <v>527.62</v>
      </c>
      <c r="BU21" s="261"/>
      <c r="BW21" s="256" t="s">
        <v>1026</v>
      </c>
      <c r="BX21" s="204" t="s">
        <v>686</v>
      </c>
      <c r="BY21" s="218" t="s">
        <v>1046</v>
      </c>
      <c r="BZ21" s="467">
        <f>BT22</f>
        <v>22203.86</v>
      </c>
      <c r="CA21" s="261"/>
      <c r="CC21" s="256" t="s">
        <v>1026</v>
      </c>
      <c r="CD21" s="204" t="s">
        <v>686</v>
      </c>
      <c r="CE21" s="218" t="s">
        <v>1046</v>
      </c>
      <c r="CF21" s="467">
        <v>22203.86</v>
      </c>
      <c r="CI21" s="256" t="s">
        <v>1026</v>
      </c>
      <c r="CJ21" s="204" t="s">
        <v>686</v>
      </c>
      <c r="CK21" s="218" t="s">
        <v>1273</v>
      </c>
      <c r="CL21" s="467" t="s">
        <v>686</v>
      </c>
      <c r="CO21" s="257" t="s">
        <v>1337</v>
      </c>
      <c r="CP21" s="204" t="s">
        <v>1336</v>
      </c>
      <c r="CQ21" s="218" t="s">
        <v>1046</v>
      </c>
      <c r="CR21" s="467">
        <v>17242.32</v>
      </c>
      <c r="CS21" s="261"/>
      <c r="CU21" s="257" t="s">
        <v>1195</v>
      </c>
      <c r="CV21" s="204">
        <v>13</v>
      </c>
      <c r="CW21" s="218" t="s">
        <v>996</v>
      </c>
      <c r="CX21" s="467">
        <f>26991+10000</f>
        <v>36991</v>
      </c>
      <c r="DA21" s="256" t="s">
        <v>1286</v>
      </c>
      <c r="DB21" s="204">
        <v>119.11</v>
      </c>
      <c r="DC21" s="218" t="s">
        <v>1045</v>
      </c>
      <c r="DD21" s="467">
        <v>527</v>
      </c>
      <c r="DE21" s="261"/>
      <c r="DF21" s="204"/>
      <c r="DG21" s="271" t="s">
        <v>1325</v>
      </c>
      <c r="DH21" s="261">
        <f>24+2.1</f>
        <v>26.1</v>
      </c>
      <c r="DI21" s="218" t="s">
        <v>1467</v>
      </c>
      <c r="DJ21" s="477">
        <v>10000</v>
      </c>
      <c r="DK21" s="204" t="s">
        <v>1470</v>
      </c>
      <c r="DL21" s="217">
        <f>10027-10000</f>
        <v>27</v>
      </c>
      <c r="DM21" s="267" t="s">
        <v>1377</v>
      </c>
      <c r="DO21" s="218"/>
      <c r="DP21" s="477"/>
      <c r="DQ21" s="204" t="s">
        <v>1499</v>
      </c>
      <c r="DR21" s="261">
        <v>80.19</v>
      </c>
      <c r="DS21" s="256" t="s">
        <v>1560</v>
      </c>
      <c r="DT21" s="261">
        <f>6.5+15+171+12</f>
        <v>204.5</v>
      </c>
      <c r="DU21" s="218"/>
      <c r="DV21" s="477"/>
      <c r="DY21" s="242" t="s">
        <v>1512</v>
      </c>
      <c r="DZ21" s="340">
        <f>15.9+16.73+14.68+13.7+15.31+11.22+16.8+10</f>
        <v>114.34</v>
      </c>
      <c r="EA21" s="218" t="s">
        <v>1469</v>
      </c>
      <c r="EB21" s="477">
        <v>5000</v>
      </c>
      <c r="EE21" s="242" t="s">
        <v>1512</v>
      </c>
      <c r="EF21" s="340">
        <f>12.24+16.64+6.43+4+7.12+8</f>
        <v>54.43</v>
      </c>
      <c r="EH21" s="285" t="s">
        <v>1636</v>
      </c>
      <c r="EI21" s="318">
        <v>5000</v>
      </c>
      <c r="EJ21" s="340" t="s">
        <v>1645</v>
      </c>
      <c r="EK21" s="340">
        <v>57.67</v>
      </c>
      <c r="EL21" s="242" t="s">
        <v>1607</v>
      </c>
      <c r="EM21" s="340">
        <v>11</v>
      </c>
      <c r="EN21" s="285" t="s">
        <v>1500</v>
      </c>
      <c r="EO21" s="318">
        <v>10000</v>
      </c>
      <c r="ER21" s="299" t="s">
        <v>1607</v>
      </c>
      <c r="ES21" s="340">
        <v>11</v>
      </c>
      <c r="ET21" s="285" t="s">
        <v>1698</v>
      </c>
      <c r="EU21" s="318">
        <v>12000</v>
      </c>
      <c r="EV21" s="204" t="s">
        <v>1727</v>
      </c>
      <c r="EW21" s="340">
        <v>18</v>
      </c>
      <c r="EX21" s="299" t="s">
        <v>1537</v>
      </c>
      <c r="EY21" s="340">
        <f>64+64</f>
        <v>128</v>
      </c>
      <c r="EZ21" s="285" t="s">
        <v>1637</v>
      </c>
      <c r="FA21" s="318">
        <v>8000</v>
      </c>
      <c r="FB21" s="204" t="s">
        <v>1751</v>
      </c>
      <c r="FC21" s="746" t="s">
        <v>1749</v>
      </c>
      <c r="FD21" s="299" t="s">
        <v>1012</v>
      </c>
      <c r="FE21" s="340">
        <v>9</v>
      </c>
      <c r="FF21" s="285" t="s">
        <v>1637</v>
      </c>
      <c r="FG21" s="318">
        <v>2000</v>
      </c>
      <c r="FH21" s="204"/>
      <c r="FI21" s="204"/>
      <c r="FJ21" s="299" t="s">
        <v>1012</v>
      </c>
      <c r="FK21" s="340">
        <v>9</v>
      </c>
      <c r="FL21" s="285" t="s">
        <v>1697</v>
      </c>
      <c r="FM21" s="318">
        <v>0</v>
      </c>
      <c r="FN21" s="197" t="s">
        <v>1847</v>
      </c>
      <c r="FO21" s="340">
        <v>4.68</v>
      </c>
      <c r="FP21" s="299" t="s">
        <v>1195</v>
      </c>
      <c r="FQ21" s="340">
        <f>15+6.5</f>
        <v>21.5</v>
      </c>
      <c r="FR21" s="285" t="s">
        <v>1569</v>
      </c>
      <c r="FS21" s="318">
        <v>15000</v>
      </c>
      <c r="FT21" s="197" t="s">
        <v>1867</v>
      </c>
      <c r="FU21" s="340">
        <v>200</v>
      </c>
      <c r="FV21" s="299" t="s">
        <v>1906</v>
      </c>
      <c r="FW21" s="340">
        <v>10.96</v>
      </c>
      <c r="FX21" s="285" t="s">
        <v>1700</v>
      </c>
      <c r="FY21" s="318">
        <v>3000</v>
      </c>
      <c r="FZ21" s="340" t="s">
        <v>1942</v>
      </c>
      <c r="GA21" s="340">
        <f>992-1001</f>
        <v>-9</v>
      </c>
      <c r="GB21" s="299" t="s">
        <v>1815</v>
      </c>
      <c r="GC21" s="340">
        <v>140.44999999999999</v>
      </c>
      <c r="GD21" s="285" t="s">
        <v>1700</v>
      </c>
      <c r="GE21" s="318">
        <v>3000</v>
      </c>
      <c r="GG21" s="240"/>
      <c r="GH21" s="299" t="s">
        <v>1815</v>
      </c>
      <c r="GI21" s="340">
        <v>140.44999999999999</v>
      </c>
      <c r="GJ21" s="285" t="s">
        <v>1898</v>
      </c>
      <c r="GK21" s="488">
        <v>33</v>
      </c>
      <c r="GL21" s="340" t="s">
        <v>1868</v>
      </c>
      <c r="GM21" s="340">
        <f>819.61-808</f>
        <v>11.610000000000014</v>
      </c>
      <c r="GN21" s="299" t="s">
        <v>1937</v>
      </c>
      <c r="GO21" s="340">
        <v>111.54</v>
      </c>
      <c r="GP21" s="285" t="s">
        <v>1898</v>
      </c>
      <c r="GQ21" s="488">
        <v>33</v>
      </c>
      <c r="GR21" s="340" t="s">
        <v>2633</v>
      </c>
      <c r="GS21" s="240"/>
      <c r="GT21" s="299" t="s">
        <v>2123</v>
      </c>
      <c r="GU21" s="340">
        <f>9.01+15+6.5</f>
        <v>30.509999999999998</v>
      </c>
      <c r="GV21" s="285" t="s">
        <v>1899</v>
      </c>
      <c r="GW21" s="318">
        <v>48</v>
      </c>
      <c r="GX21" s="197"/>
      <c r="GZ21" s="299" t="s">
        <v>1815</v>
      </c>
      <c r="HA21" s="340">
        <v>140.44999999999999</v>
      </c>
      <c r="HB21" s="285" t="s">
        <v>1898</v>
      </c>
      <c r="HC21" s="488">
        <v>0</v>
      </c>
      <c r="HD21" s="340" t="s">
        <v>2151</v>
      </c>
      <c r="HF21" s="299" t="s">
        <v>2107</v>
      </c>
      <c r="HG21" s="204">
        <v>85</v>
      </c>
      <c r="HH21" s="285" t="s">
        <v>1983</v>
      </c>
      <c r="HI21" s="318">
        <v>4000</v>
      </c>
      <c r="HK21" s="512"/>
      <c r="HL21" s="297" t="s">
        <v>2133</v>
      </c>
      <c r="HM21" s="340">
        <v>48.88</v>
      </c>
      <c r="HN21" s="285" t="s">
        <v>1982</v>
      </c>
      <c r="HO21" s="318">
        <v>3000</v>
      </c>
      <c r="HR21" s="299" t="s">
        <v>2193</v>
      </c>
      <c r="HS21" s="340">
        <v>64</v>
      </c>
      <c r="HT21" s="319" t="s">
        <v>2169</v>
      </c>
      <c r="HU21" s="340">
        <f>5000+5000+5000</f>
        <v>15000</v>
      </c>
      <c r="HW21" s="520"/>
      <c r="HX21" s="299" t="s">
        <v>1012</v>
      </c>
      <c r="HY21" s="340">
        <f>9</f>
        <v>9</v>
      </c>
      <c r="HZ21" s="319" t="s">
        <v>2218</v>
      </c>
      <c r="IA21" s="326">
        <v>345026.96</v>
      </c>
      <c r="IB21" s="523" t="s">
        <v>2268</v>
      </c>
      <c r="IC21" s="524">
        <v>598.5</v>
      </c>
      <c r="ID21" s="299" t="s">
        <v>2344</v>
      </c>
      <c r="IE21" s="340">
        <v>137.03</v>
      </c>
      <c r="IF21" s="319" t="s">
        <v>2212</v>
      </c>
      <c r="IG21" s="259">
        <v>50001</v>
      </c>
      <c r="IH21" s="340" t="s">
        <v>2337</v>
      </c>
      <c r="II21" s="340">
        <v>18</v>
      </c>
      <c r="IJ21" s="299" t="s">
        <v>2152</v>
      </c>
      <c r="IK21" s="340">
        <v>9</v>
      </c>
      <c r="IL21" s="319" t="s">
        <v>2218</v>
      </c>
      <c r="IM21" s="240">
        <v>65005</v>
      </c>
      <c r="IO21" s="320"/>
      <c r="IP21" s="297" t="s">
        <v>2435</v>
      </c>
      <c r="IQ21" s="202">
        <v>30</v>
      </c>
      <c r="IR21" s="479" t="s">
        <v>2390</v>
      </c>
      <c r="IS21" s="340">
        <v>2007</v>
      </c>
      <c r="IT21" s="511"/>
      <c r="IV21" s="297" t="s">
        <v>2511</v>
      </c>
      <c r="IW21" s="202">
        <v>80</v>
      </c>
      <c r="IX21" s="479" t="s">
        <v>2390</v>
      </c>
      <c r="IY21" s="340">
        <v>2013</v>
      </c>
      <c r="IZ21" s="504"/>
      <c r="JA21" s="327"/>
      <c r="JB21" s="299" t="s">
        <v>2524</v>
      </c>
      <c r="JC21" s="274">
        <v>115.37</v>
      </c>
      <c r="JD21" s="285" t="s">
        <v>2579</v>
      </c>
      <c r="JE21" s="340">
        <v>130</v>
      </c>
      <c r="JF21" s="504"/>
      <c r="JG21" s="327"/>
      <c r="JH21" s="299" t="s">
        <v>2622</v>
      </c>
      <c r="JI21" s="202">
        <v>27</v>
      </c>
      <c r="JJ21" s="319" t="s">
        <v>2582</v>
      </c>
      <c r="JK21" s="357">
        <v>10</v>
      </c>
      <c r="JN21" s="299" t="s">
        <v>2309</v>
      </c>
      <c r="JO21" s="202">
        <f>11.94+10+20.54+17.31+14.45+15.78+10</f>
        <v>100.02</v>
      </c>
      <c r="JP21" s="285" t="s">
        <v>2578</v>
      </c>
      <c r="JQ21" s="259"/>
      <c r="JR21" s="492" t="s">
        <v>2712</v>
      </c>
      <c r="JS21" s="525">
        <f>783.33+1167.38+1493.5+2179.3</f>
        <v>5623.51</v>
      </c>
      <c r="JT21" s="299" t="s">
        <v>2724</v>
      </c>
      <c r="JU21" s="202">
        <v>6.97</v>
      </c>
      <c r="JV21" s="479" t="s">
        <v>2390</v>
      </c>
      <c r="JW21" s="259">
        <v>1000</v>
      </c>
      <c r="JX21" s="217" t="s">
        <v>2918</v>
      </c>
      <c r="JY21" s="395">
        <v>13.23</v>
      </c>
      <c r="JZ21" s="243" t="s">
        <v>2837</v>
      </c>
      <c r="KA21" s="320">
        <v>1322.98</v>
      </c>
      <c r="KB21" s="479" t="s">
        <v>2390</v>
      </c>
      <c r="KC21" s="259">
        <v>1000</v>
      </c>
      <c r="KD21" s="285" t="s">
        <v>2919</v>
      </c>
      <c r="KE21" s="327">
        <f>63.91+71.9+199.73+2.07</f>
        <v>337.60999999999996</v>
      </c>
      <c r="KF21" s="297" t="s">
        <v>2884</v>
      </c>
      <c r="KG21" s="202">
        <v>108.001</v>
      </c>
      <c r="KH21" s="443">
        <v>192808</v>
      </c>
      <c r="KI21" s="197"/>
      <c r="KJ21" s="217" t="s">
        <v>2916</v>
      </c>
      <c r="KK21" s="395">
        <v>20.67</v>
      </c>
      <c r="KL21" s="143" t="s">
        <v>2460</v>
      </c>
      <c r="KM21" s="202">
        <v>81.91</v>
      </c>
      <c r="KN21" s="204" t="s">
        <v>2893</v>
      </c>
      <c r="KO21" s="259">
        <f>KN22-0.99*195000</f>
        <v>-55900</v>
      </c>
      <c r="KP21" s="204" t="s">
        <v>3049</v>
      </c>
      <c r="KQ21" s="340">
        <v>1895.66</v>
      </c>
      <c r="KR21" s="143" t="s">
        <v>3017</v>
      </c>
      <c r="KS21" s="202">
        <v>30</v>
      </c>
      <c r="KT21" s="443">
        <v>192582</v>
      </c>
      <c r="KU21" s="197"/>
      <c r="KV21" s="590" t="s">
        <v>3103</v>
      </c>
      <c r="KW21" s="340">
        <v>546.92999999999995</v>
      </c>
      <c r="KX21" s="254" t="s">
        <v>3130</v>
      </c>
      <c r="KY21" s="615">
        <v>399.3</v>
      </c>
      <c r="KZ21" s="204" t="s">
        <v>2665</v>
      </c>
      <c r="LA21" s="259">
        <v>2600</v>
      </c>
      <c r="LB21" s="631" t="s">
        <v>3160</v>
      </c>
      <c r="LC21" s="622">
        <f>611.37+8.86</f>
        <v>620.23</v>
      </c>
      <c r="LD21" s="243" t="s">
        <v>3001</v>
      </c>
      <c r="LE21" s="395">
        <f>1314-LE22</f>
        <v>1179</v>
      </c>
      <c r="LF21" s="624" t="s">
        <v>2667</v>
      </c>
      <c r="LG21" s="651">
        <v>1832</v>
      </c>
      <c r="LH21" s="676" t="s">
        <v>3210</v>
      </c>
      <c r="LI21" s="395">
        <v>676.21</v>
      </c>
      <c r="LJ21" s="143" t="s">
        <v>3002</v>
      </c>
      <c r="LK21" s="286">
        <v>136.97999999999999</v>
      </c>
      <c r="LL21" s="661" t="s">
        <v>2667</v>
      </c>
      <c r="LM21" s="334">
        <v>282</v>
      </c>
      <c r="LN21" s="689" t="s">
        <v>3087</v>
      </c>
      <c r="LP21" s="143" t="s">
        <v>2460</v>
      </c>
      <c r="LQ21" s="202"/>
      <c r="LR21" s="693" t="s">
        <v>2938</v>
      </c>
      <c r="LS21" s="259">
        <v>10</v>
      </c>
      <c r="LT21" s="465">
        <v>45321</v>
      </c>
    </row>
    <row r="22" spans="1:332">
      <c r="A22" s="218"/>
      <c r="B22" s="467"/>
      <c r="E22" s="165" t="s">
        <v>446</v>
      </c>
      <c r="F22" s="166"/>
      <c r="G22" s="218"/>
      <c r="H22" s="467"/>
      <c r="K22" s="242" t="s">
        <v>1026</v>
      </c>
      <c r="L22" s="340">
        <v>0</v>
      </c>
      <c r="M22" s="754" t="s">
        <v>990</v>
      </c>
      <c r="N22" s="754"/>
      <c r="Q22" s="166" t="s">
        <v>369</v>
      </c>
      <c r="S22" s="754" t="s">
        <v>990</v>
      </c>
      <c r="T22" s="754"/>
      <c r="W22" s="242" t="s">
        <v>1019</v>
      </c>
      <c r="X22" s="340">
        <v>0</v>
      </c>
      <c r="Y22" s="759" t="s">
        <v>507</v>
      </c>
      <c r="Z22" s="759"/>
      <c r="AC22" s="143" t="s">
        <v>1014</v>
      </c>
      <c r="AD22" s="340">
        <v>80.001000000000005</v>
      </c>
      <c r="AE22" s="218" t="s">
        <v>1046</v>
      </c>
      <c r="AF22" s="467" t="s">
        <v>1079</v>
      </c>
      <c r="AI22" s="143" t="s">
        <v>1014</v>
      </c>
      <c r="AJ22" s="204">
        <v>150</v>
      </c>
      <c r="AK22" s="218" t="s">
        <v>1046</v>
      </c>
      <c r="AL22" s="467" t="s">
        <v>1079</v>
      </c>
      <c r="AO22" s="242" t="s">
        <v>1126</v>
      </c>
      <c r="AP22" s="204">
        <v>0</v>
      </c>
      <c r="AQ22" s="218" t="s">
        <v>1046</v>
      </c>
      <c r="AR22" s="467">
        <v>20000</v>
      </c>
      <c r="AU22" s="242" t="s">
        <v>1126</v>
      </c>
      <c r="AV22" s="204">
        <f>200+150+172</f>
        <v>522</v>
      </c>
      <c r="AW22" s="218" t="s">
        <v>1046</v>
      </c>
      <c r="AX22" s="364">
        <v>19203.86</v>
      </c>
      <c r="AY22" s="242"/>
      <c r="AZ22" s="204"/>
      <c r="BA22" s="218" t="s">
        <v>1046</v>
      </c>
      <c r="BB22" s="467">
        <f t="shared" si="0"/>
        <v>19203.86</v>
      </c>
      <c r="BE22" s="242" t="s">
        <v>1029</v>
      </c>
      <c r="BG22" s="218" t="s">
        <v>1046</v>
      </c>
      <c r="BH22" s="364">
        <v>19203.86</v>
      </c>
      <c r="BK22" s="256" t="s">
        <v>1029</v>
      </c>
      <c r="BL22" s="217" t="s">
        <v>686</v>
      </c>
      <c r="BM22" s="218" t="s">
        <v>1046</v>
      </c>
      <c r="BN22" s="364">
        <v>19203.86</v>
      </c>
      <c r="BQ22" s="256" t="s">
        <v>1029</v>
      </c>
      <c r="BR22" s="217" t="s">
        <v>686</v>
      </c>
      <c r="BS22" s="218" t="s">
        <v>1046</v>
      </c>
      <c r="BT22" s="377">
        <v>22203.86</v>
      </c>
      <c r="BW22" s="256" t="s">
        <v>1029</v>
      </c>
      <c r="BX22" s="217" t="s">
        <v>686</v>
      </c>
      <c r="BY22" s="218" t="s">
        <v>1262</v>
      </c>
      <c r="BZ22" s="467">
        <f>10000+4000</f>
        <v>14000</v>
      </c>
      <c r="CC22" s="256" t="s">
        <v>1029</v>
      </c>
      <c r="CD22" s="217" t="s">
        <v>686</v>
      </c>
      <c r="CE22" s="218" t="s">
        <v>1273</v>
      </c>
      <c r="CF22" s="467">
        <v>10000</v>
      </c>
      <c r="CI22" s="257" t="s">
        <v>1324</v>
      </c>
      <c r="CJ22" s="204">
        <v>91.86</v>
      </c>
      <c r="CK22" s="526" t="s">
        <v>1268</v>
      </c>
      <c r="CL22" s="527">
        <v>-20000</v>
      </c>
      <c r="CO22" s="257" t="s">
        <v>1351</v>
      </c>
      <c r="CP22" s="204">
        <v>57.34</v>
      </c>
      <c r="CQ22" s="526" t="s">
        <v>1268</v>
      </c>
      <c r="CR22" s="527">
        <v>-20000</v>
      </c>
      <c r="CS22" s="261" t="s">
        <v>1372</v>
      </c>
      <c r="CT22" s="261" t="s">
        <v>1373</v>
      </c>
      <c r="CU22" s="257" t="s">
        <v>1286</v>
      </c>
      <c r="CV22" s="204">
        <v>136.53</v>
      </c>
      <c r="CW22" s="526" t="s">
        <v>1268</v>
      </c>
      <c r="CX22" s="527">
        <v>-20000</v>
      </c>
      <c r="DA22" s="256" t="s">
        <v>1334</v>
      </c>
      <c r="DB22" s="204">
        <v>53.24</v>
      </c>
      <c r="DC22" s="218" t="s">
        <v>996</v>
      </c>
      <c r="DD22" s="467">
        <v>45991</v>
      </c>
      <c r="DF22" s="204"/>
      <c r="DG22" s="271" t="s">
        <v>1415</v>
      </c>
      <c r="DH22" s="261" t="s">
        <v>686</v>
      </c>
      <c r="DI22" s="218" t="s">
        <v>1458</v>
      </c>
      <c r="DJ22" s="477">
        <v>10000</v>
      </c>
      <c r="DM22" s="267" t="s">
        <v>1517</v>
      </c>
      <c r="DN22" s="277">
        <v>189.2</v>
      </c>
      <c r="DO22" s="218" t="s">
        <v>1469</v>
      </c>
      <c r="DP22" s="477">
        <v>5000</v>
      </c>
      <c r="DQ22" s="204" t="s">
        <v>1500</v>
      </c>
      <c r="DR22" s="217">
        <v>10.51</v>
      </c>
      <c r="DS22" s="256" t="s">
        <v>1286</v>
      </c>
      <c r="DT22" s="261">
        <v>140.44999999999999</v>
      </c>
      <c r="DU22" s="218" t="s">
        <v>1469</v>
      </c>
      <c r="DV22" s="477">
        <v>5000</v>
      </c>
      <c r="EA22" s="218" t="s">
        <v>1457</v>
      </c>
      <c r="EB22" s="477">
        <v>5000</v>
      </c>
      <c r="EE22" s="297" t="s">
        <v>1640</v>
      </c>
      <c r="EF22" s="340">
        <v>10</v>
      </c>
      <c r="EH22" s="285" t="s">
        <v>1637</v>
      </c>
      <c r="EI22" s="318">
        <v>10000</v>
      </c>
      <c r="EJ22" s="340" t="s">
        <v>1646</v>
      </c>
      <c r="EK22" s="340">
        <v>33.71</v>
      </c>
      <c r="EL22" s="242" t="s">
        <v>1537</v>
      </c>
      <c r="EM22" s="340">
        <f>64+32</f>
        <v>96</v>
      </c>
      <c r="EN22" s="285" t="s">
        <v>1499</v>
      </c>
      <c r="EO22" s="318">
        <v>30000</v>
      </c>
      <c r="ER22" s="299" t="s">
        <v>1537</v>
      </c>
      <c r="ES22" s="340">
        <v>0</v>
      </c>
      <c r="ET22" s="285" t="s">
        <v>1699</v>
      </c>
      <c r="EU22" s="318">
        <v>13000</v>
      </c>
      <c r="EV22" s="204" t="s">
        <v>1735</v>
      </c>
      <c r="EW22" s="340">
        <f>4074+4965-9000</f>
        <v>39</v>
      </c>
      <c r="EX22" s="299" t="s">
        <v>1512</v>
      </c>
      <c r="EY22" s="340">
        <f>5.2+0.88+2.24+16.2+10+1.44+10.21+16.7+1.31+15.1+2.62+2.62+2.53+2.62+2.62+4.71</f>
        <v>97</v>
      </c>
      <c r="EZ22" s="285" t="s">
        <v>1698</v>
      </c>
      <c r="FA22" s="318">
        <v>2000</v>
      </c>
      <c r="FB22" s="204"/>
      <c r="FC22" s="746"/>
      <c r="FD22" s="299" t="s">
        <v>1512</v>
      </c>
      <c r="FE22" s="340">
        <f>2.62+4.71+2.62+13.99+15.65+7.92+10.66+6.21</f>
        <v>64.38</v>
      </c>
      <c r="FF22" s="285" t="s">
        <v>1698</v>
      </c>
      <c r="FG22" s="318">
        <v>2000</v>
      </c>
      <c r="FH22" s="204"/>
      <c r="FJ22" s="299" t="s">
        <v>1512</v>
      </c>
      <c r="FK22" s="340">
        <f>8.69+8.74+7.36+10.96+7.08+7.26</f>
        <v>50.089999999999996</v>
      </c>
      <c r="FL22" s="285" t="s">
        <v>1697</v>
      </c>
      <c r="FM22" s="318">
        <v>0</v>
      </c>
      <c r="FP22" s="299" t="s">
        <v>1537</v>
      </c>
      <c r="FQ22" s="340">
        <v>64</v>
      </c>
      <c r="FR22" s="285" t="s">
        <v>1637</v>
      </c>
      <c r="FS22" s="318" t="s">
        <v>1079</v>
      </c>
      <c r="FT22" s="340" t="s">
        <v>1881</v>
      </c>
      <c r="FU22" s="340">
        <v>1193.8599999999999</v>
      </c>
      <c r="FV22" s="299" t="s">
        <v>1537</v>
      </c>
      <c r="FW22" s="340" t="s">
        <v>657</v>
      </c>
      <c r="FX22" s="285" t="s">
        <v>1704</v>
      </c>
      <c r="FY22" s="318">
        <v>4000</v>
      </c>
      <c r="FZ22" s="197"/>
      <c r="GB22" s="299" t="s">
        <v>1195</v>
      </c>
      <c r="GC22" s="340" t="s">
        <v>686</v>
      </c>
      <c r="GD22" s="285" t="s">
        <v>1704</v>
      </c>
      <c r="GE22" s="318">
        <v>4000</v>
      </c>
      <c r="GF22" s="197" t="s">
        <v>1971</v>
      </c>
      <c r="GH22" s="299" t="s">
        <v>1195</v>
      </c>
      <c r="GI22" s="340">
        <f>13+30</f>
        <v>43</v>
      </c>
      <c r="GJ22" s="285" t="s">
        <v>1899</v>
      </c>
      <c r="GK22" s="318">
        <v>182</v>
      </c>
      <c r="GL22" s="197"/>
      <c r="GN22" s="299" t="s">
        <v>1815</v>
      </c>
      <c r="GO22" s="340">
        <v>140.44999999999999</v>
      </c>
      <c r="GP22" s="285" t="s">
        <v>1899</v>
      </c>
      <c r="GQ22" s="318">
        <v>2148</v>
      </c>
      <c r="GS22" s="240"/>
      <c r="GT22" s="299" t="s">
        <v>1906</v>
      </c>
      <c r="GU22" s="340">
        <v>10.96</v>
      </c>
      <c r="GV22" s="285" t="s">
        <v>1982</v>
      </c>
      <c r="GW22" s="318">
        <v>3000</v>
      </c>
      <c r="GZ22" s="299" t="s">
        <v>2124</v>
      </c>
      <c r="HA22" s="340">
        <f>10.96+9.01+6.5+15</f>
        <v>41.47</v>
      </c>
      <c r="HB22" s="285" t="s">
        <v>1899</v>
      </c>
      <c r="HC22" s="318">
        <v>0</v>
      </c>
      <c r="HD22" s="197" t="s">
        <v>2095</v>
      </c>
      <c r="HE22" s="340">
        <v>10</v>
      </c>
      <c r="HF22" s="299" t="s">
        <v>2073</v>
      </c>
      <c r="HG22" s="340">
        <v>16.71</v>
      </c>
      <c r="HH22" s="285" t="s">
        <v>1984</v>
      </c>
      <c r="HI22" s="318">
        <v>25000</v>
      </c>
      <c r="HK22" s="512"/>
      <c r="HL22" s="297" t="s">
        <v>2143</v>
      </c>
      <c r="HM22" s="340">
        <v>115.9</v>
      </c>
      <c r="HN22" s="285" t="s">
        <v>2136</v>
      </c>
      <c r="HO22" s="318">
        <v>4000</v>
      </c>
      <c r="HR22" s="299" t="s">
        <v>2198</v>
      </c>
      <c r="HS22" s="340">
        <v>10</v>
      </c>
      <c r="HT22" s="319" t="s">
        <v>2170</v>
      </c>
      <c r="HU22" s="340">
        <f>5002+10000+5002+10002+5000</f>
        <v>35006</v>
      </c>
      <c r="HW22" s="512"/>
      <c r="HX22" s="299" t="s">
        <v>2214</v>
      </c>
      <c r="HY22" s="340">
        <v>64</v>
      </c>
      <c r="HZ22" s="319" t="s">
        <v>2905</v>
      </c>
      <c r="IA22" s="318">
        <v>2000</v>
      </c>
      <c r="IB22" s="528" t="s">
        <v>2266</v>
      </c>
      <c r="IC22" s="529">
        <f>19.95*3</f>
        <v>59.849999999999994</v>
      </c>
      <c r="ID22" s="299" t="s">
        <v>2281</v>
      </c>
      <c r="IE22" s="340">
        <v>167</v>
      </c>
      <c r="IF22" s="285" t="s">
        <v>2228</v>
      </c>
      <c r="IG22" s="318">
        <v>-80000</v>
      </c>
      <c r="IH22" s="340" t="s">
        <v>2930</v>
      </c>
      <c r="II22" s="340">
        <f>9.86*4</f>
        <v>39.44</v>
      </c>
      <c r="IJ22" s="299" t="s">
        <v>2208</v>
      </c>
      <c r="IK22" s="340">
        <v>64</v>
      </c>
      <c r="IL22" s="319" t="s">
        <v>2912</v>
      </c>
      <c r="IM22" s="259">
        <v>2190</v>
      </c>
      <c r="IO22" s="320"/>
      <c r="IP22" s="297" t="s">
        <v>2411</v>
      </c>
      <c r="IQ22" s="202">
        <v>10</v>
      </c>
      <c r="IR22" s="325" t="s">
        <v>2414</v>
      </c>
      <c r="IT22" s="738" t="s">
        <v>2135</v>
      </c>
      <c r="IU22" s="738"/>
      <c r="IV22" s="297" t="s">
        <v>2503</v>
      </c>
      <c r="IW22" s="202">
        <v>42.51</v>
      </c>
      <c r="IX22" s="325" t="s">
        <v>2414</v>
      </c>
      <c r="IZ22" s="504"/>
      <c r="JA22" s="327"/>
      <c r="JB22" s="299" t="s">
        <v>1195</v>
      </c>
      <c r="JC22" s="202">
        <f>13+30</f>
        <v>43</v>
      </c>
      <c r="JD22" s="285" t="s">
        <v>2578</v>
      </c>
      <c r="JH22" s="299" t="s">
        <v>2152</v>
      </c>
      <c r="JI22" s="202">
        <f>9+14.32</f>
        <v>23.32</v>
      </c>
      <c r="JJ22" s="285" t="s">
        <v>2579</v>
      </c>
      <c r="JK22" s="340">
        <v>230</v>
      </c>
      <c r="JL22" s="504"/>
      <c r="JM22" s="327"/>
      <c r="JN22" s="297" t="s">
        <v>2931</v>
      </c>
      <c r="JO22" s="259">
        <v>2953</v>
      </c>
      <c r="JP22" s="479" t="s">
        <v>2390</v>
      </c>
      <c r="JQ22" s="259">
        <v>1000</v>
      </c>
      <c r="JR22" s="492" t="s">
        <v>2719</v>
      </c>
      <c r="JS22" s="525"/>
      <c r="JT22" s="299" t="s">
        <v>2309</v>
      </c>
      <c r="JU22" s="202">
        <f>17.57+15.78+10+10+16.81+16.4+1.52+17.15+1.19+10.85</f>
        <v>117.26999999999998</v>
      </c>
      <c r="JV22" s="325" t="s">
        <v>2414</v>
      </c>
      <c r="JW22" s="202"/>
      <c r="JX22" s="217" t="s">
        <v>2920</v>
      </c>
      <c r="JY22" s="395">
        <v>31.96</v>
      </c>
      <c r="JZ22" s="243" t="s">
        <v>2827</v>
      </c>
      <c r="KA22" s="320">
        <v>1730.87</v>
      </c>
      <c r="KB22" s="325" t="s">
        <v>2408</v>
      </c>
      <c r="KC22" s="202"/>
      <c r="KD22" s="204" t="s">
        <v>2882</v>
      </c>
      <c r="KE22" s="327">
        <f>7000*(1-98.14%)</f>
        <v>130.19999999999965</v>
      </c>
      <c r="KF22" s="297" t="s">
        <v>2862</v>
      </c>
      <c r="KG22" s="340">
        <v>135.69999999999999</v>
      </c>
      <c r="KH22" s="204" t="s">
        <v>2665</v>
      </c>
      <c r="KI22" s="259">
        <v>2600</v>
      </c>
      <c r="KJ22" s="217" t="s">
        <v>2891</v>
      </c>
      <c r="KK22" s="327">
        <v>380.32</v>
      </c>
      <c r="KL22" s="143" t="s">
        <v>1195</v>
      </c>
      <c r="KM22" s="202">
        <f>6.5+15</f>
        <v>21.5</v>
      </c>
      <c r="KN22" s="443">
        <v>137150</v>
      </c>
      <c r="KO22" s="197"/>
      <c r="KP22" s="204" t="s">
        <v>3050</v>
      </c>
      <c r="KQ22" s="444">
        <v>2121.2199999999998</v>
      </c>
      <c r="KR22" s="143" t="s">
        <v>3010</v>
      </c>
      <c r="KS22" s="202">
        <v>100</v>
      </c>
      <c r="KT22" s="204" t="s">
        <v>2665</v>
      </c>
      <c r="KU22" s="259">
        <v>2600</v>
      </c>
      <c r="KV22" s="590" t="s">
        <v>3104</v>
      </c>
      <c r="KW22" s="340">
        <v>297.89999999999998</v>
      </c>
      <c r="KX22" s="254" t="s">
        <v>3131</v>
      </c>
      <c r="KY22" s="609">
        <f>388.8-248.41</f>
        <v>140.39000000000001</v>
      </c>
      <c r="KZ22" s="319" t="s">
        <v>2666</v>
      </c>
      <c r="LA22" s="259">
        <v>656</v>
      </c>
      <c r="LB22" s="623" t="s">
        <v>3087</v>
      </c>
      <c r="LC22" s="622">
        <v>93.25</v>
      </c>
      <c r="LD22" s="143" t="s">
        <v>3002</v>
      </c>
      <c r="LE22" s="286">
        <v>135</v>
      </c>
      <c r="LF22" s="624" t="s">
        <v>2938</v>
      </c>
      <c r="LG22" s="259">
        <v>10</v>
      </c>
      <c r="LH22" s="657" t="s">
        <v>3202</v>
      </c>
      <c r="LI22" s="656">
        <v>9.26</v>
      </c>
      <c r="LJ22" s="143" t="s">
        <v>3070</v>
      </c>
      <c r="LK22" s="261">
        <v>42.95</v>
      </c>
      <c r="LL22" s="661" t="s">
        <v>2938</v>
      </c>
      <c r="LM22" s="259">
        <v>10</v>
      </c>
      <c r="LN22" s="689"/>
      <c r="LO22" s="395"/>
      <c r="LP22" s="143" t="s">
        <v>3218</v>
      </c>
      <c r="LQ22" s="202"/>
      <c r="LR22" s="692" t="s">
        <v>3047</v>
      </c>
      <c r="LS22" s="259">
        <v>210</v>
      </c>
      <c r="LT22" s="465">
        <v>45322</v>
      </c>
    </row>
    <row r="23" spans="1:332">
      <c r="A23" s="759" t="s">
        <v>507</v>
      </c>
      <c r="B23" s="759"/>
      <c r="E23" s="164" t="s">
        <v>237</v>
      </c>
      <c r="F23" s="166"/>
      <c r="G23" s="759" t="s">
        <v>507</v>
      </c>
      <c r="H23" s="759"/>
      <c r="K23" s="242" t="s">
        <v>1019</v>
      </c>
      <c r="L23" s="340">
        <v>0</v>
      </c>
      <c r="M23" s="751"/>
      <c r="N23" s="751"/>
      <c r="Q23" s="166" t="s">
        <v>1056</v>
      </c>
      <c r="S23" s="751"/>
      <c r="T23" s="751"/>
      <c r="W23" s="242" t="s">
        <v>1027</v>
      </c>
      <c r="X23" s="204">
        <v>0</v>
      </c>
      <c r="Y23" s="754" t="s">
        <v>990</v>
      </c>
      <c r="Z23" s="754"/>
      <c r="AE23" s="759" t="s">
        <v>507</v>
      </c>
      <c r="AF23" s="759"/>
      <c r="AK23" s="759" t="s">
        <v>507</v>
      </c>
      <c r="AL23" s="759"/>
      <c r="AO23" s="242" t="s">
        <v>1029</v>
      </c>
      <c r="AP23" s="340">
        <v>140</v>
      </c>
      <c r="AQ23" s="483" t="s">
        <v>507</v>
      </c>
      <c r="AR23" s="483"/>
      <c r="AU23" s="242" t="s">
        <v>1029</v>
      </c>
      <c r="AV23" s="340" t="s">
        <v>686</v>
      </c>
      <c r="AW23" s="483" t="s">
        <v>507</v>
      </c>
      <c r="AX23" s="526"/>
      <c r="AY23" s="242"/>
      <c r="BA23" s="526" t="s">
        <v>347</v>
      </c>
      <c r="BB23" s="526">
        <v>-30000</v>
      </c>
      <c r="BE23" s="143" t="s">
        <v>1052</v>
      </c>
      <c r="BF23" s="204" t="s">
        <v>657</v>
      </c>
      <c r="BG23" s="526" t="s">
        <v>347</v>
      </c>
      <c r="BH23" s="526">
        <v>-30000</v>
      </c>
      <c r="BK23" s="257" t="s">
        <v>1052</v>
      </c>
      <c r="BL23" s="204" t="s">
        <v>657</v>
      </c>
      <c r="BM23" s="526" t="s">
        <v>347</v>
      </c>
      <c r="BN23" s="526">
        <v>-30000</v>
      </c>
      <c r="BQ23" s="257" t="s">
        <v>1257</v>
      </c>
      <c r="BR23" s="204">
        <v>121.05</v>
      </c>
      <c r="BS23" s="526" t="s">
        <v>1229</v>
      </c>
      <c r="BT23" s="531">
        <v>-20000</v>
      </c>
      <c r="BW23" s="257" t="s">
        <v>1052</v>
      </c>
      <c r="BX23" s="204" t="s">
        <v>657</v>
      </c>
      <c r="BY23" s="526" t="s">
        <v>1268</v>
      </c>
      <c r="BZ23" s="527">
        <v>-20000</v>
      </c>
      <c r="CC23" s="257" t="s">
        <v>1052</v>
      </c>
      <c r="CD23" s="204">
        <v>47.12</v>
      </c>
      <c r="CE23" s="526" t="s">
        <v>1268</v>
      </c>
      <c r="CF23" s="527">
        <v>-20000</v>
      </c>
      <c r="CI23" s="257" t="s">
        <v>1311</v>
      </c>
      <c r="CJ23" s="204">
        <v>72.42</v>
      </c>
      <c r="CK23" s="204" t="s">
        <v>1313</v>
      </c>
      <c r="CL23" s="335">
        <v>802</v>
      </c>
      <c r="CO23" s="257" t="s">
        <v>1195</v>
      </c>
      <c r="CP23" s="204">
        <v>13</v>
      </c>
      <c r="CQ23" s="325" t="s">
        <v>1313</v>
      </c>
      <c r="CR23" s="325">
        <f>802-791</f>
        <v>11</v>
      </c>
      <c r="CU23" s="257" t="s">
        <v>1334</v>
      </c>
      <c r="CV23" s="204">
        <v>53.24</v>
      </c>
      <c r="CW23" s="532" t="s">
        <v>1313</v>
      </c>
      <c r="CX23" s="467"/>
      <c r="DA23" s="256" t="s">
        <v>1303</v>
      </c>
      <c r="DB23" s="204">
        <v>64</v>
      </c>
      <c r="DC23" s="526" t="s">
        <v>1268</v>
      </c>
      <c r="DD23" s="527">
        <v>-20000</v>
      </c>
      <c r="DE23" s="261" t="s">
        <v>1439</v>
      </c>
      <c r="DF23" s="217">
        <f>7.1+13</f>
        <v>20.100000000000001</v>
      </c>
      <c r="DG23" s="270" t="s">
        <v>1461</v>
      </c>
      <c r="DH23" s="274">
        <v>35.630000000000003</v>
      </c>
      <c r="DI23" s="218" t="s">
        <v>1459</v>
      </c>
      <c r="DJ23" s="477">
        <v>10000</v>
      </c>
      <c r="DK23" s="204"/>
      <c r="DM23" s="267"/>
      <c r="DN23" s="261"/>
      <c r="DO23" s="218" t="s">
        <v>1457</v>
      </c>
      <c r="DP23" s="477">
        <v>5000</v>
      </c>
      <c r="DQ23" s="204"/>
      <c r="DS23" s="256" t="s">
        <v>1334</v>
      </c>
      <c r="DT23" s="261">
        <v>11</v>
      </c>
      <c r="DU23" s="218" t="s">
        <v>1457</v>
      </c>
      <c r="DV23" s="477">
        <v>5000</v>
      </c>
      <c r="DY23" s="297" t="s">
        <v>1602</v>
      </c>
      <c r="DZ23" s="340">
        <v>25</v>
      </c>
      <c r="EA23" s="218" t="s">
        <v>1494</v>
      </c>
      <c r="EB23" s="477">
        <v>5000</v>
      </c>
      <c r="EE23" s="745" t="s">
        <v>1536</v>
      </c>
      <c r="EF23" s="745"/>
      <c r="EH23" s="285" t="s">
        <v>1638</v>
      </c>
      <c r="EI23" s="318">
        <v>5000</v>
      </c>
      <c r="EL23" s="242" t="s">
        <v>1512</v>
      </c>
      <c r="EM23" s="340">
        <f>5.43+3.52+5.66+9.02+8.26</f>
        <v>31.89</v>
      </c>
      <c r="EN23" s="285" t="s">
        <v>1567</v>
      </c>
      <c r="EO23" s="318">
        <v>20000</v>
      </c>
      <c r="ER23" s="299" t="s">
        <v>1512</v>
      </c>
      <c r="ES23" s="340">
        <f>7.48+6.15+3.6+2.24+10+2.24</f>
        <v>31.71</v>
      </c>
      <c r="ET23" s="285" t="s">
        <v>1703</v>
      </c>
      <c r="EU23" s="318">
        <v>10000</v>
      </c>
      <c r="EV23" s="204" t="s">
        <v>1750</v>
      </c>
      <c r="EW23" s="746" t="s">
        <v>1749</v>
      </c>
      <c r="EX23" s="297" t="s">
        <v>1726</v>
      </c>
      <c r="EY23" s="340">
        <f>6+3.65</f>
        <v>9.65</v>
      </c>
      <c r="EZ23" s="285" t="s">
        <v>1699</v>
      </c>
      <c r="FA23" s="318">
        <v>3000</v>
      </c>
      <c r="FB23" s="204"/>
      <c r="FC23" s="746"/>
      <c r="FD23" s="297" t="s">
        <v>1757</v>
      </c>
      <c r="FE23" s="340">
        <v>10</v>
      </c>
      <c r="FF23" s="285" t="s">
        <v>1699</v>
      </c>
      <c r="FG23" s="318">
        <v>3000</v>
      </c>
      <c r="FJ23" s="297" t="s">
        <v>1792</v>
      </c>
      <c r="FK23" s="340">
        <v>70</v>
      </c>
      <c r="FL23" s="285" t="s">
        <v>1637</v>
      </c>
      <c r="FM23" s="318">
        <v>2000</v>
      </c>
      <c r="FN23" s="204"/>
      <c r="FO23" s="244"/>
      <c r="FP23" s="299" t="s">
        <v>1788</v>
      </c>
      <c r="FQ23" s="340">
        <v>12</v>
      </c>
      <c r="FR23" s="285" t="s">
        <v>1698</v>
      </c>
      <c r="FS23" s="318">
        <v>2000</v>
      </c>
      <c r="FT23" s="197" t="s">
        <v>1882</v>
      </c>
      <c r="FV23" s="299" t="s">
        <v>1788</v>
      </c>
      <c r="FW23" s="340">
        <v>12</v>
      </c>
      <c r="FX23" s="285" t="s">
        <v>1756</v>
      </c>
      <c r="FY23" s="318">
        <v>25000</v>
      </c>
      <c r="GB23" s="299" t="s">
        <v>1906</v>
      </c>
      <c r="GC23" s="340">
        <v>10.96</v>
      </c>
      <c r="GD23" s="285" t="s">
        <v>1756</v>
      </c>
      <c r="GE23" s="318">
        <v>25000</v>
      </c>
      <c r="GF23" s="340" t="s">
        <v>1868</v>
      </c>
      <c r="GG23" s="340">
        <f>990.58-1001</f>
        <v>-10.419999999999959</v>
      </c>
      <c r="GH23" s="299" t="s">
        <v>1906</v>
      </c>
      <c r="GI23" s="340">
        <v>10.96</v>
      </c>
      <c r="GJ23" s="285" t="s">
        <v>1700</v>
      </c>
      <c r="GK23" s="318">
        <v>3000</v>
      </c>
      <c r="GN23" s="299" t="s">
        <v>1195</v>
      </c>
      <c r="GO23" s="340">
        <f>15+6.5+25.7</f>
        <v>47.2</v>
      </c>
      <c r="GP23" s="285" t="s">
        <v>1982</v>
      </c>
      <c r="GQ23" s="318">
        <v>3000</v>
      </c>
      <c r="GR23" s="197" t="s">
        <v>2019</v>
      </c>
      <c r="GT23" s="299" t="s">
        <v>1537</v>
      </c>
      <c r="GU23" s="340">
        <v>64</v>
      </c>
      <c r="GV23" s="285" t="s">
        <v>1983</v>
      </c>
      <c r="GW23" s="318">
        <v>4000</v>
      </c>
      <c r="GZ23" s="299" t="s">
        <v>2125</v>
      </c>
      <c r="HA23" s="340">
        <f>10+2.2</f>
        <v>12.2</v>
      </c>
      <c r="HB23" s="285" t="s">
        <v>1982</v>
      </c>
      <c r="HC23" s="318">
        <v>3000</v>
      </c>
      <c r="HD23" s="340" t="s">
        <v>2114</v>
      </c>
      <c r="HF23" s="299" t="s">
        <v>1815</v>
      </c>
      <c r="HG23" s="340">
        <v>140.44999999999999</v>
      </c>
      <c r="HH23" s="285" t="s">
        <v>1638</v>
      </c>
      <c r="HI23" s="318">
        <v>2000</v>
      </c>
      <c r="HJ23" s="738" t="s">
        <v>2135</v>
      </c>
      <c r="HK23" s="738"/>
      <c r="HL23" s="297" t="s">
        <v>2142</v>
      </c>
      <c r="HM23" s="340">
        <v>57.3</v>
      </c>
      <c r="HN23" s="285" t="s">
        <v>1984</v>
      </c>
      <c r="HO23" s="318">
        <v>25000</v>
      </c>
      <c r="HR23" s="299" t="s">
        <v>1955</v>
      </c>
      <c r="HS23" s="510">
        <f>16.5+14.09+10+1.34+13.21+16.39+15.89+17.3</f>
        <v>104.72</v>
      </c>
      <c r="HT23" s="319" t="s">
        <v>2180</v>
      </c>
      <c r="HU23" s="340">
        <f>5002+10000+10000+5000</f>
        <v>30002</v>
      </c>
      <c r="HV23" s="738" t="s">
        <v>2135</v>
      </c>
      <c r="HW23" s="738"/>
      <c r="HX23" s="299" t="s">
        <v>2250</v>
      </c>
      <c r="HY23" s="340">
        <v>30</v>
      </c>
      <c r="HZ23" s="319" t="s">
        <v>2211</v>
      </c>
      <c r="IA23" s="259">
        <v>60000.04</v>
      </c>
      <c r="IB23" s="511"/>
      <c r="ID23" s="299" t="s">
        <v>1195</v>
      </c>
      <c r="IE23" s="340">
        <f>15+6.5</f>
        <v>21.5</v>
      </c>
      <c r="IF23" s="285" t="s">
        <v>509</v>
      </c>
      <c r="IG23" s="340">
        <v>80</v>
      </c>
      <c r="IH23" s="340" t="s">
        <v>2911</v>
      </c>
      <c r="II23" s="340">
        <f>2.74+2.52+1.19*2</f>
        <v>7.64</v>
      </c>
      <c r="IJ23" s="299" t="s">
        <v>2309</v>
      </c>
      <c r="IK23" s="510">
        <f>20.75+15.85+16.8+10+21.56+17.42+14.05+10</f>
        <v>126.43</v>
      </c>
      <c r="IL23" s="285" t="s">
        <v>2386</v>
      </c>
      <c r="IM23" s="340">
        <v>150</v>
      </c>
      <c r="IO23" s="320"/>
      <c r="IP23" s="297" t="s">
        <v>1871</v>
      </c>
      <c r="IQ23" s="202">
        <v>80</v>
      </c>
      <c r="IR23" s="325" t="s">
        <v>2408</v>
      </c>
      <c r="IS23" s="332"/>
      <c r="IT23" s="305" t="s">
        <v>1928</v>
      </c>
      <c r="IU23" s="260">
        <f>SUM(IW7:IW9)</f>
        <v>3911.02</v>
      </c>
      <c r="IV23" s="297" t="s">
        <v>2518</v>
      </c>
      <c r="IW23" s="202">
        <v>45.98</v>
      </c>
      <c r="IX23" s="325"/>
      <c r="IZ23" s="511"/>
      <c r="JB23" s="299" t="s">
        <v>2152</v>
      </c>
      <c r="JC23" s="202">
        <f>9+14.32</f>
        <v>23.32</v>
      </c>
      <c r="JD23" s="479" t="s">
        <v>2390</v>
      </c>
      <c r="JE23" s="340">
        <v>1000</v>
      </c>
      <c r="JF23" s="504"/>
      <c r="JG23" s="327"/>
      <c r="JH23" s="391" t="s">
        <v>2623</v>
      </c>
      <c r="JI23" s="335">
        <v>4.05</v>
      </c>
      <c r="JJ23" s="285" t="s">
        <v>2578</v>
      </c>
      <c r="JL23" s="504"/>
      <c r="JM23" s="327"/>
      <c r="JN23" s="297" t="s">
        <v>2649</v>
      </c>
      <c r="JO23" s="202">
        <v>50.23</v>
      </c>
      <c r="JP23" s="325" t="s">
        <v>2414</v>
      </c>
      <c r="JQ23" s="259"/>
      <c r="JS23" s="327"/>
      <c r="JT23" s="297" t="s">
        <v>2714</v>
      </c>
      <c r="JU23" s="202">
        <v>10</v>
      </c>
      <c r="JV23" s="325" t="s">
        <v>2408</v>
      </c>
      <c r="JW23" s="202"/>
      <c r="JX23" s="285" t="s">
        <v>2921</v>
      </c>
      <c r="JY23" s="395">
        <f>85.99+30.96</f>
        <v>116.94999999999999</v>
      </c>
      <c r="JZ23" s="243" t="s">
        <v>2813</v>
      </c>
      <c r="KA23" s="320">
        <v>1713.69</v>
      </c>
      <c r="KB23" s="325" t="s">
        <v>2414</v>
      </c>
      <c r="KC23" s="202"/>
      <c r="KD23" s="204" t="s">
        <v>2883</v>
      </c>
      <c r="KE23" s="340">
        <f>1660.5+1107</f>
        <v>2767.5</v>
      </c>
      <c r="KF23" s="297" t="s">
        <v>2907</v>
      </c>
      <c r="KG23" s="335">
        <v>10</v>
      </c>
      <c r="KH23" s="319" t="s">
        <v>2666</v>
      </c>
      <c r="KI23" s="259">
        <v>1</v>
      </c>
      <c r="KJ23" s="217" t="s">
        <v>2890</v>
      </c>
      <c r="KK23" s="327">
        <v>5.68</v>
      </c>
      <c r="KL23" s="143" t="s">
        <v>2674</v>
      </c>
      <c r="KM23" s="202">
        <f>14.32+9*2</f>
        <v>32.32</v>
      </c>
      <c r="KN23" s="204" t="s">
        <v>2665</v>
      </c>
      <c r="KO23" s="259">
        <v>2600</v>
      </c>
      <c r="KP23" s="204" t="s">
        <v>3051</v>
      </c>
      <c r="KQ23" s="444">
        <v>2597.87</v>
      </c>
      <c r="KR23" s="143" t="s">
        <v>3067</v>
      </c>
      <c r="KS23" s="274">
        <v>109.75</v>
      </c>
      <c r="KT23" s="319" t="s">
        <v>2666</v>
      </c>
      <c r="KU23" s="259">
        <v>1238</v>
      </c>
      <c r="KV23" s="595" t="s">
        <v>3087</v>
      </c>
      <c r="KW23" s="594">
        <f>5000*(1-0.9813)</f>
        <v>93.500000000000256</v>
      </c>
      <c r="KX23" s="243" t="s">
        <v>3001</v>
      </c>
      <c r="KY23" s="320">
        <f>1338.94-KY24</f>
        <v>1196.72</v>
      </c>
      <c r="KZ23" s="319" t="s">
        <v>2667</v>
      </c>
      <c r="LA23" s="334">
        <v>1072</v>
      </c>
      <c r="LB23" s="642" t="s">
        <v>3161</v>
      </c>
      <c r="LC23" s="641">
        <v>93</v>
      </c>
      <c r="LD23" s="143" t="s">
        <v>3187</v>
      </c>
      <c r="LE23" s="286">
        <v>176.86</v>
      </c>
      <c r="LF23" s="619" t="s">
        <v>3047</v>
      </c>
      <c r="LG23" s="259">
        <v>160</v>
      </c>
      <c r="LH23" s="673" t="s">
        <v>3087</v>
      </c>
      <c r="LI23" s="672">
        <v>93.25</v>
      </c>
      <c r="LJ23" s="143" t="s">
        <v>2460</v>
      </c>
      <c r="LK23" s="202">
        <v>40.950000000000003</v>
      </c>
      <c r="LL23" s="660" t="s">
        <v>3047</v>
      </c>
      <c r="LM23" s="259">
        <v>210</v>
      </c>
      <c r="LN23" s="689"/>
      <c r="LP23" s="143" t="s">
        <v>3248</v>
      </c>
      <c r="LQ23" s="274"/>
      <c r="LR23" s="694" t="s">
        <v>2390</v>
      </c>
      <c r="LS23" s="259">
        <v>1000</v>
      </c>
    </row>
    <row r="24" spans="1:332">
      <c r="A24" s="754" t="s">
        <v>990</v>
      </c>
      <c r="B24" s="754"/>
      <c r="E24" s="164" t="s">
        <v>139</v>
      </c>
      <c r="F24" s="166"/>
      <c r="G24" s="754" t="s">
        <v>990</v>
      </c>
      <c r="H24" s="754"/>
      <c r="K24" s="242" t="s">
        <v>1027</v>
      </c>
      <c r="L24" s="204">
        <v>0</v>
      </c>
      <c r="M24" s="751"/>
      <c r="N24" s="751"/>
      <c r="Q24" s="242" t="s">
        <v>1029</v>
      </c>
      <c r="R24" s="340">
        <v>0</v>
      </c>
      <c r="S24" s="751"/>
      <c r="T24" s="751"/>
      <c r="W24" s="242" t="s">
        <v>1050</v>
      </c>
      <c r="X24" s="340">
        <v>910.17</v>
      </c>
      <c r="Y24" s="751"/>
      <c r="Z24" s="751"/>
      <c r="AC24" s="245" t="s">
        <v>1083</v>
      </c>
      <c r="AD24" s="340">
        <v>90</v>
      </c>
      <c r="AE24" s="754" t="s">
        <v>990</v>
      </c>
      <c r="AF24" s="754"/>
      <c r="AI24" s="243" t="s">
        <v>1101</v>
      </c>
      <c r="AJ24" s="340">
        <v>30</v>
      </c>
      <c r="AK24" s="754" t="s">
        <v>990</v>
      </c>
      <c r="AL24" s="754"/>
      <c r="AO24" s="242" t="s">
        <v>1027</v>
      </c>
      <c r="AP24" s="204">
        <v>0</v>
      </c>
      <c r="AQ24" s="204" t="s">
        <v>1146</v>
      </c>
      <c r="AR24" s="204"/>
      <c r="AU24" s="242" t="s">
        <v>1027</v>
      </c>
      <c r="AV24" s="204" t="s">
        <v>686</v>
      </c>
      <c r="AW24" s="204" t="s">
        <v>347</v>
      </c>
      <c r="AY24" s="242"/>
      <c r="AZ24" s="204"/>
      <c r="BE24" s="143" t="s">
        <v>1051</v>
      </c>
      <c r="BF24" s="204">
        <v>54.83</v>
      </c>
      <c r="BG24" s="754"/>
      <c r="BH24" s="754"/>
      <c r="BK24" s="257" t="s">
        <v>1222</v>
      </c>
      <c r="BL24" s="204">
        <v>48.54</v>
      </c>
      <c r="BM24" s="754"/>
      <c r="BN24" s="754"/>
      <c r="BQ24" s="257" t="s">
        <v>1051</v>
      </c>
      <c r="BR24" s="204">
        <v>50.15</v>
      </c>
      <c r="BS24" s="754" t="s">
        <v>1245</v>
      </c>
      <c r="BT24" s="754"/>
      <c r="BW24" s="257" t="s">
        <v>1051</v>
      </c>
      <c r="BX24" s="204">
        <v>48.54</v>
      </c>
      <c r="BY24" s="754"/>
      <c r="BZ24" s="754"/>
      <c r="CC24" s="257" t="s">
        <v>1051</v>
      </c>
      <c r="CD24" s="204">
        <v>142.91</v>
      </c>
      <c r="CE24" s="754"/>
      <c r="CF24" s="754"/>
      <c r="CI24" s="257" t="s">
        <v>1312</v>
      </c>
      <c r="CJ24" s="204">
        <v>35.049999999999997</v>
      </c>
      <c r="CK24" s="751"/>
      <c r="CL24" s="751"/>
      <c r="CO24" s="257" t="s">
        <v>1286</v>
      </c>
      <c r="CP24" s="204">
        <v>153.41</v>
      </c>
      <c r="CQ24" s="751" t="s">
        <v>1327</v>
      </c>
      <c r="CR24" s="751"/>
      <c r="CU24" s="257" t="s">
        <v>1303</v>
      </c>
      <c r="CV24" s="204">
        <v>32</v>
      </c>
      <c r="CW24" s="532" t="s">
        <v>1352</v>
      </c>
      <c r="CX24" s="532" t="s">
        <v>1367</v>
      </c>
      <c r="DA24" s="256" t="s">
        <v>1402</v>
      </c>
      <c r="DB24" s="204">
        <v>0</v>
      </c>
      <c r="DC24" s="532" t="s">
        <v>1313</v>
      </c>
      <c r="DD24" s="467"/>
      <c r="DE24" s="261" t="s">
        <v>1418</v>
      </c>
      <c r="DF24" s="217">
        <v>14</v>
      </c>
      <c r="DG24" s="270" t="s">
        <v>1559</v>
      </c>
      <c r="DH24" s="274">
        <v>152</v>
      </c>
      <c r="DI24" s="218" t="s">
        <v>1468</v>
      </c>
      <c r="DJ24" s="477">
        <v>40000</v>
      </c>
      <c r="DK24" s="204"/>
      <c r="DM24" s="256" t="s">
        <v>1565</v>
      </c>
      <c r="DN24" s="261">
        <v>118.12</v>
      </c>
      <c r="DO24" s="218" t="s">
        <v>1494</v>
      </c>
      <c r="DP24" s="477">
        <v>5000</v>
      </c>
      <c r="DQ24" s="204"/>
      <c r="DS24" s="256" t="s">
        <v>1528</v>
      </c>
      <c r="DT24" s="261">
        <v>10340.549999999999</v>
      </c>
      <c r="DU24" s="218" t="s">
        <v>1494</v>
      </c>
      <c r="DV24" s="477">
        <v>5000</v>
      </c>
      <c r="DY24" s="297" t="s">
        <v>1612</v>
      </c>
      <c r="DZ24" s="340">
        <v>20.100000000000001</v>
      </c>
      <c r="EA24" s="218" t="s">
        <v>1495</v>
      </c>
      <c r="EB24" s="477">
        <v>5000</v>
      </c>
      <c r="EE24" s="533">
        <v>100</v>
      </c>
      <c r="EF24" s="281">
        <f>EB11+EE24-EI9</f>
        <v>50</v>
      </c>
      <c r="EH24" s="285" t="s">
        <v>1639</v>
      </c>
      <c r="EI24" s="318">
        <v>5000</v>
      </c>
      <c r="EL24" s="297" t="s">
        <v>1647</v>
      </c>
      <c r="EM24" s="340">
        <v>70</v>
      </c>
      <c r="EN24" s="285" t="s">
        <v>1497</v>
      </c>
      <c r="EO24" s="318">
        <v>10000</v>
      </c>
      <c r="ER24" s="297" t="s">
        <v>1657</v>
      </c>
      <c r="ES24" s="340">
        <v>0</v>
      </c>
      <c r="ET24" s="204" t="s">
        <v>1701</v>
      </c>
      <c r="EU24" s="318">
        <v>0</v>
      </c>
      <c r="EW24" s="746"/>
      <c r="EX24" s="297" t="s">
        <v>1736</v>
      </c>
      <c r="EY24" s="340">
        <v>10</v>
      </c>
      <c r="EZ24" s="285" t="s">
        <v>1699</v>
      </c>
      <c r="FA24" s="318">
        <v>1000</v>
      </c>
      <c r="FB24" s="204"/>
      <c r="FC24" s="204"/>
      <c r="FD24" s="297" t="s">
        <v>1778</v>
      </c>
      <c r="FE24" s="340">
        <f>8*2</f>
        <v>16</v>
      </c>
      <c r="FF24" s="285" t="s">
        <v>1699</v>
      </c>
      <c r="FG24" s="318">
        <v>1000</v>
      </c>
      <c r="FJ24" s="297" t="s">
        <v>1793</v>
      </c>
      <c r="FK24" s="340">
        <v>60.14</v>
      </c>
      <c r="FL24" s="285" t="s">
        <v>1698</v>
      </c>
      <c r="FM24" s="318">
        <v>2000</v>
      </c>
      <c r="FN24" s="204"/>
      <c r="FO24" s="244"/>
      <c r="FP24" s="299" t="s">
        <v>1012</v>
      </c>
      <c r="FQ24" s="340">
        <v>9</v>
      </c>
      <c r="FR24" s="285" t="s">
        <v>1699</v>
      </c>
      <c r="FS24" s="318">
        <v>3000</v>
      </c>
      <c r="FT24" s="340" t="s">
        <v>1905</v>
      </c>
      <c r="FU24" s="340">
        <v>15.000999999999999</v>
      </c>
      <c r="FV24" s="299" t="s">
        <v>1981</v>
      </c>
      <c r="FW24" s="340">
        <v>18</v>
      </c>
      <c r="FX24" s="285" t="s">
        <v>1698</v>
      </c>
      <c r="FY24" s="318">
        <v>2000</v>
      </c>
      <c r="GB24" s="299" t="s">
        <v>1957</v>
      </c>
      <c r="GC24" s="340">
        <v>64</v>
      </c>
      <c r="GD24" s="285" t="s">
        <v>1698</v>
      </c>
      <c r="GE24" s="318">
        <v>2000</v>
      </c>
      <c r="GF24" s="340" t="s">
        <v>1952</v>
      </c>
      <c r="GG24" s="340">
        <f>989.5-1001</f>
        <v>-11.5</v>
      </c>
      <c r="GH24" s="299" t="s">
        <v>1537</v>
      </c>
      <c r="GI24" s="340">
        <v>64</v>
      </c>
      <c r="GJ24" s="285" t="s">
        <v>1704</v>
      </c>
      <c r="GK24" s="318">
        <v>4000</v>
      </c>
      <c r="GN24" s="299" t="s">
        <v>1906</v>
      </c>
      <c r="GO24" s="340">
        <v>10.96</v>
      </c>
      <c r="GP24" s="285" t="s">
        <v>1983</v>
      </c>
      <c r="GQ24" s="318">
        <v>4000</v>
      </c>
      <c r="GT24" s="299" t="s">
        <v>1954</v>
      </c>
      <c r="GU24" s="340">
        <f>10+10</f>
        <v>20</v>
      </c>
      <c r="GV24" s="285" t="s">
        <v>1984</v>
      </c>
      <c r="GW24" s="318">
        <v>25000</v>
      </c>
      <c r="GZ24" s="299" t="s">
        <v>1955</v>
      </c>
      <c r="HA24" s="340">
        <f>15.19+14.56+13.54+14.83+17.61+15.15</f>
        <v>90.88</v>
      </c>
      <c r="HB24" s="285" t="s">
        <v>1983</v>
      </c>
      <c r="HC24" s="318">
        <v>4000</v>
      </c>
      <c r="HD24" s="340" t="s">
        <v>2117</v>
      </c>
      <c r="HF24" s="299" t="s">
        <v>1195</v>
      </c>
      <c r="HG24" s="340">
        <f>6.5+15+90</f>
        <v>111.5</v>
      </c>
      <c r="HH24" s="285" t="s">
        <v>1639</v>
      </c>
      <c r="HI24" s="318">
        <v>4000</v>
      </c>
      <c r="HJ24" s="306" t="s">
        <v>1928</v>
      </c>
      <c r="HK24" s="263">
        <f>SUM(HM7:HM7)</f>
        <v>1900.08</v>
      </c>
      <c r="HL24" s="340" t="s">
        <v>2162</v>
      </c>
      <c r="HM24" s="204">
        <v>130</v>
      </c>
      <c r="HN24" s="285" t="s">
        <v>1638</v>
      </c>
      <c r="HO24" s="318">
        <v>2000</v>
      </c>
      <c r="HQ24" s="512"/>
      <c r="HR24" s="297" t="s">
        <v>2174</v>
      </c>
      <c r="HS24" s="340">
        <v>20</v>
      </c>
      <c r="HT24" s="285" t="s">
        <v>1625</v>
      </c>
      <c r="HU24" s="340">
        <v>150</v>
      </c>
      <c r="HV24" s="305" t="s">
        <v>1928</v>
      </c>
      <c r="HW24" s="263">
        <f>SUM(HY8:HY8)</f>
        <v>1900.1</v>
      </c>
      <c r="HX24" s="299" t="s">
        <v>1955</v>
      </c>
      <c r="HY24" s="510">
        <f>17.86+15.16+7.54+15.3+16.45+13.02</f>
        <v>85.33</v>
      </c>
      <c r="HZ24" s="319" t="s">
        <v>2212</v>
      </c>
      <c r="IA24" s="259">
        <v>160001.65</v>
      </c>
      <c r="IB24" s="511"/>
      <c r="ID24" s="299" t="s">
        <v>1012</v>
      </c>
      <c r="IE24" s="340">
        <f>9</f>
        <v>9</v>
      </c>
      <c r="IF24" s="479" t="s">
        <v>1969</v>
      </c>
      <c r="IG24" s="340">
        <v>1002</v>
      </c>
      <c r="IJ24" s="297" t="s">
        <v>2370</v>
      </c>
      <c r="IK24" s="340">
        <v>60</v>
      </c>
      <c r="IL24" s="479" t="s">
        <v>2390</v>
      </c>
      <c r="IM24" s="340">
        <v>1004</v>
      </c>
      <c r="IO24" s="320"/>
      <c r="IP24" s="297" t="s">
        <v>2409</v>
      </c>
      <c r="IQ24" s="202">
        <v>40.5</v>
      </c>
      <c r="IR24" s="479" t="s">
        <v>2416</v>
      </c>
      <c r="IS24" s="340">
        <v>28</v>
      </c>
      <c r="IT24" s="243" t="s">
        <v>1929</v>
      </c>
      <c r="IU24" s="260">
        <f>SUM(IW14:IW14)</f>
        <v>2116.9666666666667</v>
      </c>
      <c r="IV24" s="297" t="s">
        <v>2772</v>
      </c>
      <c r="IW24" s="202">
        <v>45.2</v>
      </c>
      <c r="IX24" s="325" t="s">
        <v>2361</v>
      </c>
      <c r="JB24" s="299" t="s">
        <v>2400</v>
      </c>
      <c r="JC24" s="202">
        <v>96</v>
      </c>
      <c r="JD24" s="325"/>
      <c r="JF24" s="504"/>
      <c r="JG24" s="327"/>
      <c r="JH24" s="299" t="s">
        <v>2309</v>
      </c>
      <c r="JI24" s="202">
        <f>15.55+10+15.6+17.36+16.4+10+14.01+16.99+15.65</f>
        <v>131.56</v>
      </c>
      <c r="JJ24" s="479" t="s">
        <v>2390</v>
      </c>
      <c r="JK24" s="340">
        <v>1000</v>
      </c>
      <c r="JL24" s="511"/>
      <c r="JN24" s="297" t="s">
        <v>2656</v>
      </c>
      <c r="JO24" s="202">
        <f>9+2</f>
        <v>11</v>
      </c>
      <c r="JP24" s="325" t="s">
        <v>2682</v>
      </c>
      <c r="JQ24" s="259">
        <v>14.8</v>
      </c>
      <c r="JR24" s="462" t="s">
        <v>2654</v>
      </c>
      <c r="JS24" s="462"/>
      <c r="JT24" s="297" t="s">
        <v>2739</v>
      </c>
      <c r="JU24" s="202">
        <v>48.2</v>
      </c>
      <c r="JV24" s="325" t="s">
        <v>2707</v>
      </c>
      <c r="JW24" s="202">
        <v>453.6</v>
      </c>
      <c r="JY24" s="327"/>
      <c r="JZ24" s="299" t="s">
        <v>2460</v>
      </c>
      <c r="KA24" s="202">
        <f>69.21+73.35</f>
        <v>142.56</v>
      </c>
      <c r="KB24" s="325" t="s">
        <v>2806</v>
      </c>
      <c r="KC24" s="202">
        <v>1.64</v>
      </c>
      <c r="KD24" s="340">
        <f>150000*(1-0.98155)</f>
        <v>2767.499999999995</v>
      </c>
      <c r="KE24" s="340" t="s">
        <v>2972</v>
      </c>
      <c r="KF24" s="297" t="s">
        <v>2851</v>
      </c>
      <c r="KG24" s="335">
        <v>38</v>
      </c>
      <c r="KH24" s="319" t="s">
        <v>2667</v>
      </c>
      <c r="KI24" s="334">
        <v>408</v>
      </c>
      <c r="KJ24" s="204" t="s">
        <v>2978</v>
      </c>
      <c r="KK24" s="340">
        <f>20000*(1-0.9814)</f>
        <v>371.99999999999898</v>
      </c>
      <c r="KL24" s="143" t="s">
        <v>2724</v>
      </c>
      <c r="KM24" s="202">
        <v>10.8</v>
      </c>
      <c r="KN24" s="319" t="s">
        <v>2666</v>
      </c>
      <c r="KO24" s="259">
        <v>520</v>
      </c>
      <c r="KP24" s="204" t="s">
        <v>3052</v>
      </c>
      <c r="KQ24" s="444">
        <v>2650.71</v>
      </c>
      <c r="KR24" s="143" t="s">
        <v>3009</v>
      </c>
      <c r="KS24" s="274">
        <v>131.87</v>
      </c>
      <c r="KT24" s="319" t="s">
        <v>2667</v>
      </c>
      <c r="KU24" s="334">
        <v>41061</v>
      </c>
      <c r="KV24" s="608" t="s">
        <v>3110</v>
      </c>
      <c r="KW24" s="327">
        <f>5000*2*(1-0.98105)</f>
        <v>189.50000000000023</v>
      </c>
      <c r="KX24" s="143" t="s">
        <v>3002</v>
      </c>
      <c r="KY24" s="326">
        <v>142.22</v>
      </c>
      <c r="KZ24" s="319" t="s">
        <v>2938</v>
      </c>
      <c r="LA24" s="259">
        <v>10</v>
      </c>
      <c r="LC24" s="619"/>
      <c r="LD24" s="143" t="s">
        <v>2460</v>
      </c>
      <c r="LE24" s="202">
        <v>72.06</v>
      </c>
      <c r="LF24" s="627" t="s">
        <v>2390</v>
      </c>
      <c r="LG24" s="259">
        <v>1000</v>
      </c>
      <c r="LH24" s="679" t="s">
        <v>3215</v>
      </c>
      <c r="LI24" s="395">
        <v>92.25</v>
      </c>
      <c r="LJ24" s="143" t="s">
        <v>3231</v>
      </c>
      <c r="LK24" s="274">
        <v>152.15</v>
      </c>
      <c r="LL24" s="662" t="s">
        <v>2390</v>
      </c>
      <c r="LM24" s="259">
        <v>1000</v>
      </c>
      <c r="LP24" s="143" t="s">
        <v>1195</v>
      </c>
      <c r="LQ24" s="202"/>
      <c r="LR24" s="691" t="s">
        <v>2361</v>
      </c>
      <c r="LS24" s="202"/>
    </row>
    <row r="25" spans="1:332">
      <c r="A25" s="751"/>
      <c r="B25" s="751"/>
      <c r="E25" s="197" t="s">
        <v>362</v>
      </c>
      <c r="F25" s="170"/>
      <c r="G25" s="751"/>
      <c r="H25" s="751"/>
      <c r="K25" s="242" t="s">
        <v>1018</v>
      </c>
      <c r="L25" s="340">
        <f>910+40</f>
        <v>950</v>
      </c>
      <c r="M25" s="751"/>
      <c r="N25" s="751"/>
      <c r="Q25" s="242" t="s">
        <v>1026</v>
      </c>
      <c r="R25" s="340">
        <v>0</v>
      </c>
      <c r="S25" s="751"/>
      <c r="T25" s="751"/>
      <c r="W25" s="143" t="s">
        <v>1085</v>
      </c>
      <c r="X25" s="340">
        <v>110.58</v>
      </c>
      <c r="Y25" s="751"/>
      <c r="Z25" s="751"/>
      <c r="AE25" s="751"/>
      <c r="AF25" s="751"/>
      <c r="AK25" s="751"/>
      <c r="AL25" s="751"/>
      <c r="AO25" s="143" t="s">
        <v>1122</v>
      </c>
      <c r="AP25" s="204">
        <v>33</v>
      </c>
      <c r="AR25" s="340"/>
      <c r="AU25" s="143" t="s">
        <v>1155</v>
      </c>
      <c r="AV25" s="204">
        <v>172.57</v>
      </c>
      <c r="AW25" s="751"/>
      <c r="AX25" s="751"/>
      <c r="AY25" s="143"/>
      <c r="AZ25" s="204"/>
      <c r="BA25" s="751"/>
      <c r="BB25" s="751"/>
      <c r="BE25" s="143" t="s">
        <v>1195</v>
      </c>
      <c r="BF25" s="204">
        <f>6.5*2</f>
        <v>13</v>
      </c>
      <c r="BG25" s="751"/>
      <c r="BH25" s="751"/>
      <c r="BK25" s="257" t="s">
        <v>1195</v>
      </c>
      <c r="BL25" s="204">
        <f>6.5*2</f>
        <v>13</v>
      </c>
      <c r="BM25" s="751"/>
      <c r="BN25" s="751"/>
      <c r="BQ25" s="257" t="s">
        <v>1195</v>
      </c>
      <c r="BR25" s="204">
        <v>13</v>
      </c>
      <c r="BS25" s="751"/>
      <c r="BT25" s="751"/>
      <c r="BW25" s="257" t="s">
        <v>1195</v>
      </c>
      <c r="BX25" s="204">
        <v>13</v>
      </c>
      <c r="BY25" s="751"/>
      <c r="BZ25" s="751"/>
      <c r="CC25" s="257" t="s">
        <v>1195</v>
      </c>
      <c r="CD25" s="204">
        <v>13</v>
      </c>
      <c r="CE25" s="751"/>
      <c r="CF25" s="751"/>
      <c r="CI25" s="257" t="s">
        <v>1195</v>
      </c>
      <c r="CJ25" s="204">
        <v>13</v>
      </c>
      <c r="CK25" s="197" t="s">
        <v>506</v>
      </c>
      <c r="CL25" s="534"/>
      <c r="CO25" s="257" t="s">
        <v>1334</v>
      </c>
      <c r="CP25" s="204">
        <v>53.24</v>
      </c>
      <c r="CQ25" s="325"/>
      <c r="CR25" s="325"/>
      <c r="CU25" s="257" t="s">
        <v>1014</v>
      </c>
      <c r="CV25" s="204">
        <v>100.001</v>
      </c>
      <c r="CW25" s="532" t="s">
        <v>1387</v>
      </c>
      <c r="CX25" s="532" t="s">
        <v>1366</v>
      </c>
      <c r="DA25" s="269" t="s">
        <v>1101</v>
      </c>
      <c r="DB25" s="217">
        <v>52.3</v>
      </c>
      <c r="DC25" s="532" t="s">
        <v>1389</v>
      </c>
      <c r="DD25" s="532">
        <v>81</v>
      </c>
      <c r="DG25" s="270" t="s">
        <v>1462</v>
      </c>
      <c r="DH25" s="274">
        <v>378.81</v>
      </c>
      <c r="DI25" s="218" t="s">
        <v>1448</v>
      </c>
      <c r="DJ25" s="477">
        <v>10000</v>
      </c>
      <c r="DM25" s="256" t="s">
        <v>1435</v>
      </c>
      <c r="DN25" s="261"/>
      <c r="DO25" s="218" t="s">
        <v>1495</v>
      </c>
      <c r="DP25" s="477">
        <v>5000</v>
      </c>
      <c r="DS25" s="256" t="s">
        <v>1537</v>
      </c>
      <c r="DT25" s="261">
        <v>64</v>
      </c>
      <c r="DU25" s="218" t="s">
        <v>1495</v>
      </c>
      <c r="DV25" s="477">
        <v>5000</v>
      </c>
      <c r="DY25" s="749" t="s">
        <v>1536</v>
      </c>
      <c r="DZ25" s="750"/>
      <c r="EA25" s="218" t="s">
        <v>1493</v>
      </c>
      <c r="EB25" s="477">
        <v>5000</v>
      </c>
      <c r="EE25" s="535" t="s">
        <v>1623</v>
      </c>
      <c r="EF25" s="309"/>
      <c r="EH25" s="285" t="s">
        <v>1633</v>
      </c>
      <c r="EI25" s="318">
        <v>0</v>
      </c>
      <c r="EL25" s="297" t="s">
        <v>1657</v>
      </c>
      <c r="EM25" s="340">
        <v>7</v>
      </c>
      <c r="EN25" s="285" t="s">
        <v>1633</v>
      </c>
      <c r="EO25" s="318">
        <v>0</v>
      </c>
      <c r="ER25" s="745" t="s">
        <v>1536</v>
      </c>
      <c r="ES25" s="745"/>
      <c r="ET25" s="285" t="s">
        <v>1702</v>
      </c>
      <c r="EU25" s="318">
        <v>20000</v>
      </c>
      <c r="EW25" s="746"/>
      <c r="EX25" s="297" t="s">
        <v>1728</v>
      </c>
      <c r="EY25" s="340">
        <v>40.299999999999997</v>
      </c>
      <c r="EZ25" s="285" t="s">
        <v>1703</v>
      </c>
      <c r="FA25" s="318">
        <v>10000</v>
      </c>
      <c r="FB25" s="204"/>
      <c r="FD25" s="297" t="s">
        <v>1755</v>
      </c>
      <c r="FE25" s="340">
        <v>33.9</v>
      </c>
      <c r="FF25" s="285" t="s">
        <v>1703</v>
      </c>
      <c r="FG25" s="318">
        <v>15000</v>
      </c>
      <c r="FJ25" s="297" t="s">
        <v>1823</v>
      </c>
      <c r="FK25" s="340">
        <v>7.3</v>
      </c>
      <c r="FL25" s="285" t="s">
        <v>1699</v>
      </c>
      <c r="FM25" s="318">
        <v>3000</v>
      </c>
      <c r="FN25" s="204"/>
      <c r="FO25" s="244"/>
      <c r="FP25" s="299" t="s">
        <v>1512</v>
      </c>
      <c r="FQ25" s="340">
        <f>7.74+13.99+8.86+10.74+6.17</f>
        <v>47.5</v>
      </c>
      <c r="FR25" s="285" t="s">
        <v>1699</v>
      </c>
      <c r="FS25" s="318">
        <v>1000</v>
      </c>
      <c r="FT25" s="340" t="s">
        <v>1866</v>
      </c>
      <c r="FU25" s="340">
        <f>1346.59-FU20</f>
        <v>146.58999999999992</v>
      </c>
      <c r="FV25" s="299" t="s">
        <v>1512</v>
      </c>
      <c r="FW25" s="340">
        <f>15.09+8.94+6.74+13.3+10+14.76</f>
        <v>68.830000000000013</v>
      </c>
      <c r="FX25" s="285" t="s">
        <v>1699</v>
      </c>
      <c r="FY25" s="318">
        <v>3000</v>
      </c>
      <c r="GB25" s="299" t="s">
        <v>1924</v>
      </c>
      <c r="GC25" s="340">
        <v>6</v>
      </c>
      <c r="GD25" s="285" t="s">
        <v>1699</v>
      </c>
      <c r="GE25" s="318">
        <v>3000</v>
      </c>
      <c r="GF25" s="197"/>
      <c r="GH25" s="299" t="s">
        <v>1973</v>
      </c>
      <c r="GI25" s="340">
        <v>11.24</v>
      </c>
      <c r="GJ25" s="285" t="s">
        <v>1756</v>
      </c>
      <c r="GK25" s="318">
        <v>25000</v>
      </c>
      <c r="GN25" s="299" t="s">
        <v>1537</v>
      </c>
      <c r="GO25" s="340" t="s">
        <v>1604</v>
      </c>
      <c r="GP25" s="285" t="s">
        <v>1984</v>
      </c>
      <c r="GQ25" s="318">
        <v>25000</v>
      </c>
      <c r="GT25" s="299" t="s">
        <v>1955</v>
      </c>
      <c r="GU25" s="340">
        <f>19.42+13.02+12.12+17.99+16.7+14.44</f>
        <v>93.69</v>
      </c>
      <c r="GV25" s="285" t="s">
        <v>1638</v>
      </c>
      <c r="GW25" s="318">
        <v>2000</v>
      </c>
      <c r="GX25" s="204"/>
      <c r="GZ25" s="297" t="s">
        <v>2083</v>
      </c>
      <c r="HA25" s="340">
        <f>35+4</f>
        <v>39</v>
      </c>
      <c r="HB25" s="285" t="s">
        <v>1984</v>
      </c>
      <c r="HC25" s="318">
        <v>25000</v>
      </c>
      <c r="HD25" s="340" t="s">
        <v>2113</v>
      </c>
      <c r="HF25" s="299" t="s">
        <v>2132</v>
      </c>
      <c r="HG25" s="340">
        <f>9+10.96</f>
        <v>19.96</v>
      </c>
      <c r="HH25" s="204" t="s">
        <v>1810</v>
      </c>
      <c r="HI25" s="318" t="s">
        <v>1079</v>
      </c>
      <c r="HJ25" s="312" t="s">
        <v>1929</v>
      </c>
      <c r="HK25" s="263">
        <f>SUM(HM8:HM9)</f>
        <v>2450.5333333333333</v>
      </c>
      <c r="HL25" s="217" t="s">
        <v>2161</v>
      </c>
      <c r="HM25" s="217">
        <v>530</v>
      </c>
      <c r="HN25" s="285" t="s">
        <v>1639</v>
      </c>
      <c r="HO25" s="318">
        <v>4000</v>
      </c>
      <c r="HQ25" s="512"/>
      <c r="HR25" s="297" t="s">
        <v>2186</v>
      </c>
      <c r="HS25" s="340">
        <v>26.6</v>
      </c>
      <c r="HT25" s="488" t="s">
        <v>2187</v>
      </c>
      <c r="HV25" s="243" t="s">
        <v>1929</v>
      </c>
      <c r="HW25" s="263">
        <f>SUM(HY10:HY15)</f>
        <v>185426.5633333333</v>
      </c>
      <c r="HX25" s="297" t="s">
        <v>2249</v>
      </c>
      <c r="HY25" s="340">
        <f>10+10</f>
        <v>20</v>
      </c>
      <c r="HZ25" s="285" t="s">
        <v>2213</v>
      </c>
      <c r="IA25" s="318">
        <v>-13000</v>
      </c>
      <c r="IB25" s="738" t="s">
        <v>2135</v>
      </c>
      <c r="IC25" s="738"/>
      <c r="ID25" s="299" t="s">
        <v>2208</v>
      </c>
      <c r="IE25" s="340">
        <v>32</v>
      </c>
      <c r="IF25" s="479" t="s">
        <v>2392</v>
      </c>
      <c r="IG25" s="340">
        <v>4</v>
      </c>
      <c r="IH25" s="340" t="s">
        <v>2272</v>
      </c>
      <c r="II25" s="320"/>
      <c r="IJ25" s="297" t="s">
        <v>2330</v>
      </c>
      <c r="IK25" s="340">
        <v>10</v>
      </c>
      <c r="IL25" s="479" t="s">
        <v>2392</v>
      </c>
      <c r="IM25" s="340">
        <v>4</v>
      </c>
      <c r="IO25" s="320"/>
      <c r="IP25" s="297" t="s">
        <v>2420</v>
      </c>
      <c r="IQ25" s="202">
        <v>88.51</v>
      </c>
      <c r="IR25" s="479" t="s">
        <v>2432</v>
      </c>
      <c r="IS25" s="340" t="s">
        <v>2441</v>
      </c>
      <c r="IT25" s="310" t="s">
        <v>1392</v>
      </c>
      <c r="IU25" s="311">
        <f>SUM(IW10:IW12)</f>
        <v>2514.06</v>
      </c>
      <c r="IV25" s="297" t="s">
        <v>2773</v>
      </c>
      <c r="IW25" s="202">
        <v>54.7</v>
      </c>
      <c r="IX25" s="325"/>
      <c r="IY25" s="325"/>
      <c r="IZ25" s="504"/>
      <c r="JA25" s="327"/>
      <c r="JB25" s="299" t="s">
        <v>2309</v>
      </c>
      <c r="JC25" s="202">
        <f>17.98+13.67+17.8+15.37+10+15+12.85</f>
        <v>102.67</v>
      </c>
      <c r="JD25" s="325"/>
      <c r="JF25" s="511"/>
      <c r="JH25" s="297" t="s">
        <v>2636</v>
      </c>
      <c r="JI25" s="202">
        <v>20</v>
      </c>
      <c r="JJ25" s="325" t="s">
        <v>2408</v>
      </c>
      <c r="JN25" s="297" t="s">
        <v>2660</v>
      </c>
      <c r="JO25" s="202">
        <v>16.100000000000001</v>
      </c>
      <c r="JP25" s="325" t="s">
        <v>2408</v>
      </c>
      <c r="JQ25" s="259"/>
      <c r="JR25" s="414" t="s">
        <v>1928</v>
      </c>
      <c r="JS25" s="260">
        <f>SUM(JU6:JU7)</f>
        <v>3900.06</v>
      </c>
      <c r="JT25" s="297" t="s">
        <v>2722</v>
      </c>
      <c r="JU25" s="202">
        <v>68.900000000000006</v>
      </c>
      <c r="JV25" s="325" t="s">
        <v>2361</v>
      </c>
      <c r="JW25" s="202"/>
      <c r="JZ25" s="299" t="s">
        <v>2811</v>
      </c>
      <c r="KA25" s="202">
        <v>219</v>
      </c>
      <c r="KB25" s="325"/>
      <c r="KC25" s="202"/>
      <c r="KF25" s="297" t="s">
        <v>2855</v>
      </c>
      <c r="KG25" s="335">
        <v>25.9</v>
      </c>
      <c r="KH25" s="319" t="s">
        <v>2670</v>
      </c>
      <c r="KI25" s="259" t="s">
        <v>2094</v>
      </c>
      <c r="KJ25" s="204" t="s">
        <v>2979</v>
      </c>
      <c r="KK25" s="340">
        <f>20000*(1-0.97971)</f>
        <v>405.80000000000058</v>
      </c>
      <c r="KL25" s="143" t="s">
        <v>2309</v>
      </c>
      <c r="KM25" s="202">
        <f>13.32+12.76+19.15+15.12+10.3+10</f>
        <v>80.649999999999991</v>
      </c>
      <c r="KN25" s="319" t="s">
        <v>2667</v>
      </c>
      <c r="KO25" s="334">
        <v>1334</v>
      </c>
      <c r="KP25" s="519">
        <f>SUM(KQ21:KQ24)</f>
        <v>9265.4599999999991</v>
      </c>
      <c r="KQ25" s="536" t="s">
        <v>3109</v>
      </c>
      <c r="KR25" s="143" t="s">
        <v>1195</v>
      </c>
      <c r="KS25" s="202">
        <f>15+6.5</f>
        <v>21.5</v>
      </c>
      <c r="KT25" s="319" t="s">
        <v>2938</v>
      </c>
      <c r="KU25" s="259">
        <v>10</v>
      </c>
      <c r="KV25" s="204"/>
      <c r="KX25" s="143" t="s">
        <v>3070</v>
      </c>
      <c r="KY25" s="286">
        <v>176.15</v>
      </c>
      <c r="KZ25" s="285" t="s">
        <v>3047</v>
      </c>
      <c r="LA25" s="259">
        <v>90</v>
      </c>
      <c r="LB25" s="645"/>
      <c r="LC25" s="645"/>
      <c r="LD25" s="143" t="s">
        <v>3142</v>
      </c>
      <c r="LE25" s="202">
        <v>30</v>
      </c>
      <c r="LF25" s="633" t="s">
        <v>2942</v>
      </c>
      <c r="LG25" s="259"/>
      <c r="LH25" s="689"/>
      <c r="LI25" s="688"/>
      <c r="LJ25" s="143" t="s">
        <v>3232</v>
      </c>
      <c r="LK25" s="274">
        <v>153.1</v>
      </c>
      <c r="LL25" s="659" t="s">
        <v>2361</v>
      </c>
      <c r="LM25" s="202"/>
      <c r="LP25" s="143" t="s">
        <v>3193</v>
      </c>
      <c r="LQ25" s="202"/>
      <c r="LR25" s="694" t="s">
        <v>3254</v>
      </c>
      <c r="LS25" s="259">
        <v>5000</v>
      </c>
    </row>
    <row r="26" spans="1:332">
      <c r="A26" s="751"/>
      <c r="B26" s="751"/>
      <c r="F26" s="194"/>
      <c r="G26" s="751"/>
      <c r="H26" s="751"/>
      <c r="M26" s="755" t="s">
        <v>506</v>
      </c>
      <c r="N26" s="755"/>
      <c r="Q26" s="242" t="s">
        <v>1019</v>
      </c>
      <c r="R26" s="340">
        <v>0</v>
      </c>
      <c r="S26" s="755" t="s">
        <v>506</v>
      </c>
      <c r="T26" s="755"/>
      <c r="W26" s="143" t="s">
        <v>1051</v>
      </c>
      <c r="X26" s="340">
        <v>60.75</v>
      </c>
      <c r="Y26" s="751"/>
      <c r="Z26" s="751"/>
      <c r="AC26" s="218" t="s">
        <v>1092</v>
      </c>
      <c r="AD26" s="218"/>
      <c r="AE26" s="755" t="s">
        <v>506</v>
      </c>
      <c r="AF26" s="755"/>
      <c r="AI26" s="204" t="s">
        <v>1103</v>
      </c>
      <c r="AJ26" s="340">
        <v>210</v>
      </c>
      <c r="AK26" s="197" t="s">
        <v>506</v>
      </c>
      <c r="AL26" s="197" t="s">
        <v>506</v>
      </c>
      <c r="AO26" s="143" t="s">
        <v>1129</v>
      </c>
      <c r="AP26" s="204">
        <v>28.94</v>
      </c>
      <c r="AQ26" s="197" t="s">
        <v>506</v>
      </c>
      <c r="AR26" s="197"/>
      <c r="AU26" s="143" t="s">
        <v>1160</v>
      </c>
      <c r="AV26" s="204" t="s">
        <v>657</v>
      </c>
      <c r="AW26" s="197" t="s">
        <v>506</v>
      </c>
      <c r="AX26" s="197"/>
      <c r="AY26" s="143"/>
      <c r="AZ26" s="204"/>
      <c r="BA26" s="197" t="s">
        <v>506</v>
      </c>
      <c r="BB26" s="197"/>
      <c r="BE26" s="143" t="s">
        <v>1016</v>
      </c>
      <c r="BF26" s="204">
        <v>155.44999999999999</v>
      </c>
      <c r="BG26" s="197" t="s">
        <v>506</v>
      </c>
      <c r="BH26" s="197"/>
      <c r="BK26" s="257" t="s">
        <v>1016</v>
      </c>
      <c r="BL26" s="204">
        <v>134.08000000000001</v>
      </c>
      <c r="BM26" s="197" t="s">
        <v>506</v>
      </c>
      <c r="BN26" s="197"/>
      <c r="BQ26" s="257" t="s">
        <v>1016</v>
      </c>
      <c r="BR26" s="204">
        <v>130.34</v>
      </c>
      <c r="BS26" s="197" t="s">
        <v>506</v>
      </c>
      <c r="BT26" s="537"/>
      <c r="BW26" s="257" t="s">
        <v>1016</v>
      </c>
      <c r="BX26" s="204">
        <v>138.9</v>
      </c>
      <c r="BY26" s="197" t="s">
        <v>506</v>
      </c>
      <c r="BZ26" s="534"/>
      <c r="CC26" s="257" t="s">
        <v>1286</v>
      </c>
      <c r="CD26" s="204">
        <v>138.30000000000001</v>
      </c>
      <c r="CE26" s="197" t="s">
        <v>506</v>
      </c>
      <c r="CF26" s="534"/>
      <c r="CI26" s="257" t="s">
        <v>1286</v>
      </c>
      <c r="CJ26" s="204">
        <v>137.85</v>
      </c>
      <c r="CK26" s="325" t="s">
        <v>1297</v>
      </c>
      <c r="CL26" s="261"/>
      <c r="CO26" s="257" t="s">
        <v>1303</v>
      </c>
      <c r="CP26" s="204">
        <v>64</v>
      </c>
      <c r="CQ26" s="197" t="s">
        <v>506</v>
      </c>
      <c r="CR26" s="534"/>
      <c r="CU26" s="264" t="s">
        <v>1356</v>
      </c>
      <c r="CV26" s="204">
        <f>16.33+8.5</f>
        <v>24.83</v>
      </c>
      <c r="CW26" s="532" t="s">
        <v>1353</v>
      </c>
      <c r="CX26" s="538" t="s">
        <v>1364</v>
      </c>
      <c r="DA26" s="269" t="s">
        <v>1384</v>
      </c>
      <c r="DB26" s="217">
        <v>43.31</v>
      </c>
      <c r="DC26" s="532" t="s">
        <v>1388</v>
      </c>
      <c r="DD26" s="532">
        <v>101</v>
      </c>
      <c r="DG26" s="267" t="s">
        <v>1377</v>
      </c>
      <c r="DH26" s="274">
        <f>395.9+637.65</f>
        <v>1033.55</v>
      </c>
      <c r="DI26" s="218" t="s">
        <v>1455</v>
      </c>
      <c r="DJ26" s="377" t="s">
        <v>1079</v>
      </c>
      <c r="DM26" s="256" t="s">
        <v>1195</v>
      </c>
      <c r="DN26" s="261">
        <f>13+30</f>
        <v>43</v>
      </c>
      <c r="DO26" s="218" t="s">
        <v>1493</v>
      </c>
      <c r="DP26" s="477">
        <v>5000</v>
      </c>
      <c r="DS26" s="256" t="s">
        <v>1566</v>
      </c>
      <c r="DT26" s="261">
        <v>35</v>
      </c>
      <c r="DU26" s="218" t="s">
        <v>1493</v>
      </c>
      <c r="DV26" s="477">
        <v>5000</v>
      </c>
      <c r="DY26" s="533">
        <v>100</v>
      </c>
      <c r="DZ26" s="281">
        <f>DV12+DY26-EB11</f>
        <v>140</v>
      </c>
      <c r="EA26" s="218" t="s">
        <v>1496</v>
      </c>
      <c r="EB26" s="477">
        <v>5000</v>
      </c>
      <c r="EE26" s="218" t="s">
        <v>1620</v>
      </c>
      <c r="EF26" s="218"/>
      <c r="EG26" s="472"/>
      <c r="EH26" s="488" t="s">
        <v>1632</v>
      </c>
      <c r="EI26" s="488"/>
      <c r="EL26" s="297" t="s">
        <v>1651</v>
      </c>
      <c r="EM26" s="340">
        <v>9.9</v>
      </c>
      <c r="EN26" s="488" t="s">
        <v>1632</v>
      </c>
      <c r="EO26" s="488"/>
      <c r="ER26" s="539">
        <f>200+250</f>
        <v>450</v>
      </c>
      <c r="ES26" s="307">
        <f>EO9+ER26-EU9</f>
        <v>260</v>
      </c>
      <c r="ET26" s="285" t="s">
        <v>1567</v>
      </c>
      <c r="EU26" s="318">
        <v>10000</v>
      </c>
      <c r="EX26" s="745" t="s">
        <v>1536</v>
      </c>
      <c r="EY26" s="745"/>
      <c r="EZ26" s="285" t="s">
        <v>1702</v>
      </c>
      <c r="FA26" s="318">
        <v>30000</v>
      </c>
      <c r="FD26" s="297" t="s">
        <v>1765</v>
      </c>
      <c r="FE26" s="340">
        <v>57.12</v>
      </c>
      <c r="FF26" s="285" t="s">
        <v>1702</v>
      </c>
      <c r="FG26" s="318">
        <v>30000</v>
      </c>
      <c r="FJ26" s="297" t="s">
        <v>1807</v>
      </c>
      <c r="FK26" s="340">
        <f>40.89-20</f>
        <v>20.89</v>
      </c>
      <c r="FL26" s="285" t="s">
        <v>1699</v>
      </c>
      <c r="FM26" s="318">
        <v>1000</v>
      </c>
      <c r="FN26" s="204"/>
      <c r="FO26" s="204"/>
      <c r="FP26" s="297" t="s">
        <v>1856</v>
      </c>
      <c r="FQ26" s="340">
        <v>49.7</v>
      </c>
      <c r="FR26" s="285" t="s">
        <v>1702</v>
      </c>
      <c r="FS26" s="318">
        <v>10000</v>
      </c>
      <c r="FT26" s="197" t="s">
        <v>1867</v>
      </c>
      <c r="FU26" s="340">
        <f>242.32-FU21</f>
        <v>42.319999999999993</v>
      </c>
      <c r="FV26" s="297" t="s">
        <v>1871</v>
      </c>
      <c r="FW26" s="340">
        <v>70</v>
      </c>
      <c r="FX26" s="285" t="s">
        <v>1699</v>
      </c>
      <c r="FY26" s="318">
        <v>1000</v>
      </c>
      <c r="FZ26" s="204"/>
      <c r="GB26" s="299" t="s">
        <v>1981</v>
      </c>
      <c r="GC26" s="340">
        <v>9</v>
      </c>
      <c r="GD26" s="285" t="s">
        <v>1699</v>
      </c>
      <c r="GE26" s="318">
        <v>1000</v>
      </c>
      <c r="GH26" s="299" t="s">
        <v>1981</v>
      </c>
      <c r="GI26" s="340">
        <v>9</v>
      </c>
      <c r="GJ26" s="285" t="s">
        <v>1698</v>
      </c>
      <c r="GK26" s="318">
        <v>2000</v>
      </c>
      <c r="GL26" s="204"/>
      <c r="GN26" s="299" t="s">
        <v>1981</v>
      </c>
      <c r="GO26" s="340">
        <v>9</v>
      </c>
      <c r="GP26" s="285" t="s">
        <v>1638</v>
      </c>
      <c r="GQ26" s="318">
        <v>2000</v>
      </c>
      <c r="GR26" s="197"/>
      <c r="GT26" s="297" t="s">
        <v>2021</v>
      </c>
      <c r="GU26" s="340">
        <v>8</v>
      </c>
      <c r="GV26" s="285" t="s">
        <v>1639</v>
      </c>
      <c r="GW26" s="318">
        <v>4000</v>
      </c>
      <c r="GX26" s="285"/>
      <c r="GY26" s="244"/>
      <c r="GZ26" s="297" t="s">
        <v>2079</v>
      </c>
      <c r="HA26" s="340">
        <v>20</v>
      </c>
      <c r="HB26" s="285" t="s">
        <v>1638</v>
      </c>
      <c r="HC26" s="318">
        <v>2000</v>
      </c>
      <c r="HD26" s="325"/>
      <c r="HF26" s="299" t="s">
        <v>1537</v>
      </c>
      <c r="HG26" s="340">
        <v>64</v>
      </c>
      <c r="HH26" s="488" t="s">
        <v>1632</v>
      </c>
      <c r="HI26" s="332"/>
      <c r="HJ26" s="304" t="s">
        <v>1392</v>
      </c>
      <c r="HK26" s="340">
        <v>0</v>
      </c>
      <c r="HL26" s="540">
        <v>32.770000000000003</v>
      </c>
      <c r="HM26" s="217" t="s">
        <v>2160</v>
      </c>
      <c r="HN26" s="488" t="s">
        <v>1632</v>
      </c>
      <c r="HO26" s="332"/>
      <c r="HP26" s="738" t="s">
        <v>2135</v>
      </c>
      <c r="HQ26" s="738"/>
      <c r="HR26" s="297" t="s">
        <v>2192</v>
      </c>
      <c r="HS26" s="340">
        <v>10</v>
      </c>
      <c r="HT26" s="479" t="s">
        <v>2392</v>
      </c>
      <c r="HU26" s="340">
        <v>4</v>
      </c>
      <c r="HV26" s="300" t="s">
        <v>2130</v>
      </c>
      <c r="HW26" s="340">
        <f>SUM(HY9:HY9)</f>
        <v>535</v>
      </c>
      <c r="HX26" s="297" t="s">
        <v>2311</v>
      </c>
      <c r="HY26" s="340">
        <v>46.73</v>
      </c>
      <c r="HZ26" s="285" t="s">
        <v>2228</v>
      </c>
      <c r="IA26" s="318">
        <v>-70000</v>
      </c>
      <c r="IB26" s="305" t="s">
        <v>1928</v>
      </c>
      <c r="IC26" s="263">
        <f>SUM(IE7:IE7)</f>
        <v>1900.11</v>
      </c>
      <c r="ID26" s="299" t="s">
        <v>2309</v>
      </c>
      <c r="IE26" s="510">
        <f>11.74+10+9.21+17.04+10+12.34+15.71+10+15.63+10</f>
        <v>121.66999999999999</v>
      </c>
      <c r="IF26" s="204" t="s">
        <v>2285</v>
      </c>
      <c r="IG26" s="318"/>
      <c r="IH26" s="511" t="s">
        <v>2332</v>
      </c>
      <c r="II26" s="327">
        <v>19.45</v>
      </c>
      <c r="IJ26" s="297" t="s">
        <v>2383</v>
      </c>
      <c r="IK26" s="340">
        <f>91.7+12</f>
        <v>103.7</v>
      </c>
      <c r="IL26" s="325" t="s">
        <v>2206</v>
      </c>
      <c r="IM26" s="332"/>
      <c r="IN26" s="511"/>
      <c r="IO26" s="327"/>
      <c r="IP26" s="336" t="s">
        <v>2134</v>
      </c>
      <c r="IQ26" s="202">
        <v>58.4</v>
      </c>
      <c r="IR26" s="325" t="s">
        <v>2418</v>
      </c>
      <c r="IS26" s="340">
        <v>1000</v>
      </c>
      <c r="IT26" s="300" t="s">
        <v>2130</v>
      </c>
      <c r="IU26" s="311">
        <f>SUM(IW13:IW13)</f>
        <v>170</v>
      </c>
      <c r="IV26" s="340" t="s">
        <v>2935</v>
      </c>
      <c r="IW26" s="261">
        <f>2+59+11+23</f>
        <v>95</v>
      </c>
      <c r="IX26" s="325"/>
      <c r="IZ26" s="504"/>
      <c r="JA26" s="327"/>
      <c r="JB26" s="297" t="s">
        <v>2591</v>
      </c>
      <c r="JC26" s="202">
        <v>10</v>
      </c>
      <c r="JD26" s="479"/>
      <c r="JH26" s="297" t="s">
        <v>2619</v>
      </c>
      <c r="JI26" s="202">
        <v>30</v>
      </c>
      <c r="JJ26" s="325" t="s">
        <v>2361</v>
      </c>
      <c r="JL26" s="462" t="s">
        <v>2654</v>
      </c>
      <c r="JM26" s="462"/>
      <c r="JN26" s="297" t="s">
        <v>2774</v>
      </c>
      <c r="JO26" s="335">
        <v>42.9</v>
      </c>
      <c r="JP26" s="325" t="s">
        <v>2661</v>
      </c>
      <c r="JQ26" s="259">
        <v>15</v>
      </c>
      <c r="JR26" s="312" t="s">
        <v>2720</v>
      </c>
      <c r="JS26" s="260">
        <f>SUM(JU11:JU13)</f>
        <v>5390.235999999999</v>
      </c>
      <c r="JT26" s="297" t="s">
        <v>2770</v>
      </c>
      <c r="JU26" s="202">
        <v>41.5</v>
      </c>
      <c r="JV26" s="325"/>
      <c r="JW26" s="202"/>
      <c r="JZ26" s="299" t="s">
        <v>2908</v>
      </c>
      <c r="KA26" s="202">
        <v>30</v>
      </c>
      <c r="KB26" s="325" t="s">
        <v>2361</v>
      </c>
      <c r="KC26" s="202"/>
      <c r="KF26" s="297" t="s">
        <v>2865</v>
      </c>
      <c r="KG26" s="335">
        <v>63.1</v>
      </c>
      <c r="KH26" s="319" t="s">
        <v>2582</v>
      </c>
      <c r="KI26" s="259">
        <v>15</v>
      </c>
      <c r="KL26" s="297" t="s">
        <v>2970</v>
      </c>
      <c r="KM26" s="202">
        <f>80+115</f>
        <v>195</v>
      </c>
      <c r="KN26" s="488" t="s">
        <v>2995</v>
      </c>
      <c r="KO26" s="334"/>
      <c r="KP26" s="530"/>
      <c r="KQ26" s="543"/>
      <c r="KR26" s="143" t="s">
        <v>2674</v>
      </c>
      <c r="KS26" s="202">
        <f>14.32+9+9</f>
        <v>32.32</v>
      </c>
      <c r="KT26" s="285" t="s">
        <v>3047</v>
      </c>
      <c r="KU26" s="259">
        <v>100</v>
      </c>
      <c r="KV26" s="604"/>
      <c r="KW26" s="603"/>
      <c r="KX26" s="143" t="s">
        <v>2460</v>
      </c>
      <c r="KY26" s="202">
        <v>62.98</v>
      </c>
      <c r="KZ26" s="479" t="s">
        <v>2390</v>
      </c>
      <c r="LA26" s="259">
        <v>1000</v>
      </c>
      <c r="LB26" s="645"/>
      <c r="LC26" s="645"/>
      <c r="LD26" s="143" t="s">
        <v>3143</v>
      </c>
      <c r="LE26" s="202">
        <v>250</v>
      </c>
      <c r="LF26" s="626" t="s">
        <v>2408</v>
      </c>
      <c r="LG26" s="202"/>
      <c r="LH26" s="688"/>
      <c r="LI26" s="688"/>
      <c r="LJ26" s="143" t="s">
        <v>2674</v>
      </c>
      <c r="LK26" s="202">
        <f>13.57+9*2</f>
        <v>31.57</v>
      </c>
      <c r="LL26" s="677"/>
      <c r="LM26" s="259"/>
      <c r="LP26" s="143" t="s">
        <v>2674</v>
      </c>
      <c r="LQ26" s="202"/>
      <c r="LR26" s="694" t="s">
        <v>3252</v>
      </c>
      <c r="LS26" s="259">
        <v>1272</v>
      </c>
    </row>
    <row r="27" spans="1:332" ht="12.75" customHeight="1">
      <c r="A27" s="751"/>
      <c r="B27" s="751"/>
      <c r="E27" s="193" t="s">
        <v>360</v>
      </c>
      <c r="F27" s="194"/>
      <c r="G27" s="751"/>
      <c r="H27" s="751"/>
      <c r="K27" s="143" t="s">
        <v>1017</v>
      </c>
      <c r="L27" s="340">
        <f>60</f>
        <v>60</v>
      </c>
      <c r="M27" s="755" t="s">
        <v>992</v>
      </c>
      <c r="N27" s="755"/>
      <c r="Q27" s="242" t="s">
        <v>1073</v>
      </c>
      <c r="R27" s="204">
        <v>200</v>
      </c>
      <c r="S27" s="755" t="s">
        <v>992</v>
      </c>
      <c r="T27" s="755"/>
      <c r="W27" s="143" t="s">
        <v>1016</v>
      </c>
      <c r="X27" s="340">
        <v>61.35</v>
      </c>
      <c r="Y27" s="755" t="s">
        <v>506</v>
      </c>
      <c r="Z27" s="755"/>
      <c r="AC27" s="218" t="s">
        <v>1088</v>
      </c>
      <c r="AD27" s="218">
        <f>53+207+63</f>
        <v>323</v>
      </c>
      <c r="AE27" s="755" t="s">
        <v>992</v>
      </c>
      <c r="AF27" s="755"/>
      <c r="AI27" s="340" t="s">
        <v>1676</v>
      </c>
      <c r="AJ27" s="340">
        <f>299+19</f>
        <v>318</v>
      </c>
      <c r="AK27" s="197" t="s">
        <v>992</v>
      </c>
      <c r="AL27" s="197" t="s">
        <v>992</v>
      </c>
      <c r="AO27" s="143" t="s">
        <v>1162</v>
      </c>
      <c r="AP27" s="204">
        <v>43.86</v>
      </c>
      <c r="AQ27" s="197" t="s">
        <v>992</v>
      </c>
      <c r="AR27" s="197"/>
      <c r="AU27" s="143" t="s">
        <v>1161</v>
      </c>
      <c r="AV27" s="204">
        <f>13+13</f>
        <v>26</v>
      </c>
      <c r="AW27" s="197" t="s">
        <v>992</v>
      </c>
      <c r="AX27" s="197"/>
      <c r="AY27" s="143"/>
      <c r="AZ27" s="204"/>
      <c r="BA27" s="197" t="s">
        <v>992</v>
      </c>
      <c r="BB27" s="197"/>
      <c r="BE27" s="143" t="s">
        <v>1143</v>
      </c>
      <c r="BF27" s="204" t="s">
        <v>657</v>
      </c>
      <c r="BG27" s="197" t="s">
        <v>992</v>
      </c>
      <c r="BH27" s="197"/>
      <c r="BK27" s="257" t="s">
        <v>1143</v>
      </c>
      <c r="BL27" s="204">
        <v>11</v>
      </c>
      <c r="BM27" s="197" t="s">
        <v>992</v>
      </c>
      <c r="BN27" s="197"/>
      <c r="BQ27" s="257" t="s">
        <v>1246</v>
      </c>
      <c r="BR27" s="204">
        <v>11</v>
      </c>
      <c r="BS27" s="197" t="s">
        <v>992</v>
      </c>
      <c r="BT27" s="537"/>
      <c r="BW27" s="257" t="s">
        <v>1281</v>
      </c>
      <c r="BX27" s="204">
        <v>11</v>
      </c>
      <c r="BY27" s="197" t="s">
        <v>992</v>
      </c>
      <c r="BZ27" s="534"/>
      <c r="CC27" s="257" t="s">
        <v>1143</v>
      </c>
      <c r="CD27" s="204">
        <v>11</v>
      </c>
      <c r="CE27" s="197" t="s">
        <v>992</v>
      </c>
      <c r="CF27" s="534"/>
      <c r="CI27" s="257" t="s">
        <v>1308</v>
      </c>
      <c r="CJ27" s="204">
        <v>53.24</v>
      </c>
      <c r="CK27" s="197" t="s">
        <v>992</v>
      </c>
      <c r="CL27" s="534"/>
      <c r="CO27" s="257" t="s">
        <v>1014</v>
      </c>
      <c r="CP27" s="204">
        <v>100.001</v>
      </c>
      <c r="CQ27" s="197" t="s">
        <v>992</v>
      </c>
      <c r="CR27" s="534"/>
      <c r="CU27" s="264" t="s">
        <v>1369</v>
      </c>
      <c r="CV27" s="217">
        <f>72+11+5.8</f>
        <v>88.8</v>
      </c>
      <c r="CW27" s="532" t="s">
        <v>1357</v>
      </c>
      <c r="CX27" s="538" t="s">
        <v>1365</v>
      </c>
      <c r="DA27" s="269" t="s">
        <v>1379</v>
      </c>
      <c r="DB27" s="204">
        <v>60</v>
      </c>
      <c r="DC27" s="532"/>
      <c r="DD27" s="538"/>
      <c r="DE27" s="217" t="s">
        <v>1420</v>
      </c>
      <c r="DG27" s="267" t="s">
        <v>1437</v>
      </c>
      <c r="DH27" s="277">
        <v>13.57</v>
      </c>
      <c r="DI27" s="218" t="s">
        <v>1449</v>
      </c>
      <c r="DJ27" s="377" t="s">
        <v>1079</v>
      </c>
      <c r="DM27" s="256" t="s">
        <v>1286</v>
      </c>
      <c r="DN27" s="261">
        <v>134.44999999999999</v>
      </c>
      <c r="DO27" s="218" t="s">
        <v>1496</v>
      </c>
      <c r="DP27" s="477">
        <v>5000</v>
      </c>
      <c r="DS27" s="256" t="s">
        <v>1512</v>
      </c>
      <c r="DT27" s="261">
        <f>12.32+17.25+(1.31*2)+9.98+13.82+14.98+2.1+2.02</f>
        <v>75.089999999999989</v>
      </c>
      <c r="DU27" s="218" t="s">
        <v>1496</v>
      </c>
      <c r="DV27" s="477">
        <v>5000</v>
      </c>
      <c r="DY27" s="535" t="s">
        <v>1617</v>
      </c>
      <c r="DZ27" s="309"/>
      <c r="EA27" s="218" t="s">
        <v>1485</v>
      </c>
      <c r="EB27" s="377" t="s">
        <v>686</v>
      </c>
      <c r="EE27" s="218" t="s">
        <v>1634</v>
      </c>
      <c r="EF27" s="218"/>
      <c r="EG27" s="298"/>
      <c r="EH27" s="285"/>
      <c r="EI27" s="285"/>
      <c r="EL27" s="297" t="s">
        <v>1648</v>
      </c>
      <c r="EM27" s="340">
        <v>64.849999999999994</v>
      </c>
      <c r="EN27" s="325" t="s">
        <v>1663</v>
      </c>
      <c r="EO27" s="263">
        <v>807.9</v>
      </c>
      <c r="ER27" s="309" t="s">
        <v>1715</v>
      </c>
      <c r="ES27" s="309"/>
      <c r="ET27" s="285" t="s">
        <v>1497</v>
      </c>
      <c r="EU27" s="318">
        <v>10000</v>
      </c>
      <c r="EX27" s="539">
        <v>200</v>
      </c>
      <c r="EY27" s="307">
        <f>EU9+EW13+EX27-FA9</f>
        <v>291.60000000000002</v>
      </c>
      <c r="EZ27" s="285" t="s">
        <v>1567</v>
      </c>
      <c r="FA27" s="318">
        <v>11010</v>
      </c>
      <c r="FD27" s="745" t="s">
        <v>1746</v>
      </c>
      <c r="FE27" s="745"/>
      <c r="FF27" s="285" t="s">
        <v>1567</v>
      </c>
      <c r="FG27" s="318">
        <v>11010</v>
      </c>
      <c r="FJ27" s="297" t="s">
        <v>1818</v>
      </c>
      <c r="FK27" s="340">
        <v>8</v>
      </c>
      <c r="FL27" s="204" t="s">
        <v>1794</v>
      </c>
      <c r="FM27" s="318" t="s">
        <v>1079</v>
      </c>
      <c r="FN27" s="204"/>
      <c r="FP27" s="297" t="s">
        <v>1830</v>
      </c>
      <c r="FQ27" s="340">
        <v>17.399999999999999</v>
      </c>
      <c r="FR27" s="285" t="s">
        <v>1567</v>
      </c>
      <c r="FS27" s="318">
        <v>1010</v>
      </c>
      <c r="FT27" s="340" t="s">
        <v>1881</v>
      </c>
      <c r="FU27" s="340">
        <f>1227.41-FU22</f>
        <v>33.550000000000182</v>
      </c>
      <c r="FV27" s="297" t="s">
        <v>1101</v>
      </c>
      <c r="FW27" s="340">
        <v>49.8</v>
      </c>
      <c r="FX27" s="204" t="s">
        <v>1810</v>
      </c>
      <c r="FY27" s="318">
        <v>100</v>
      </c>
      <c r="FZ27" s="285"/>
      <c r="GA27" s="244"/>
      <c r="GB27" s="299" t="s">
        <v>1512</v>
      </c>
      <c r="GC27" s="340">
        <f>16.06+16.53+14.35+15.3+15.91+1.41+13.3</f>
        <v>92.86</v>
      </c>
      <c r="GD27" s="204" t="s">
        <v>1810</v>
      </c>
      <c r="GE27" s="318">
        <v>200</v>
      </c>
      <c r="GH27" s="299" t="s">
        <v>1954</v>
      </c>
      <c r="GI27" s="340">
        <v>20</v>
      </c>
      <c r="GJ27" s="285" t="s">
        <v>1699</v>
      </c>
      <c r="GK27" s="318">
        <v>4000</v>
      </c>
      <c r="GL27" s="285"/>
      <c r="GM27" s="244"/>
      <c r="GN27" s="299" t="s">
        <v>2006</v>
      </c>
      <c r="GO27" s="340">
        <f>20+40+10+10</f>
        <v>80</v>
      </c>
      <c r="GP27" s="285" t="s">
        <v>1639</v>
      </c>
      <c r="GQ27" s="318">
        <v>4000</v>
      </c>
      <c r="GT27" s="297" t="s">
        <v>2036</v>
      </c>
      <c r="GU27" s="340">
        <f>15.74+43.21</f>
        <v>58.95</v>
      </c>
      <c r="GV27" s="204" t="s">
        <v>1810</v>
      </c>
      <c r="GW27" s="318">
        <v>300</v>
      </c>
      <c r="GZ27" s="297" t="s">
        <v>2091</v>
      </c>
      <c r="HA27" s="340">
        <v>20</v>
      </c>
      <c r="HB27" s="285" t="s">
        <v>1639</v>
      </c>
      <c r="HC27" s="318">
        <v>4000</v>
      </c>
      <c r="HD27" s="325"/>
      <c r="HE27" s="244"/>
      <c r="HF27" s="299" t="s">
        <v>1955</v>
      </c>
      <c r="HG27" s="340">
        <f>12.57+14.64+15.52+10+15.22+15.49+15.3</f>
        <v>98.74</v>
      </c>
      <c r="HH27" s="325" t="s">
        <v>2115</v>
      </c>
      <c r="HI27" s="335">
        <v>74.900000000000006</v>
      </c>
      <c r="HJ27" s="301" t="s">
        <v>2130</v>
      </c>
      <c r="HK27" s="340">
        <v>0</v>
      </c>
      <c r="HL27" s="541" t="s">
        <v>2158</v>
      </c>
      <c r="HM27" s="542">
        <f>HI16+HK31-HO18</f>
        <v>240</v>
      </c>
      <c r="HN27" s="505" t="s">
        <v>2154</v>
      </c>
      <c r="HO27" s="332">
        <v>21</v>
      </c>
      <c r="HP27" s="305" t="s">
        <v>1928</v>
      </c>
      <c r="HQ27" s="263">
        <f>SUM(HS6:HS6)</f>
        <v>1900.09</v>
      </c>
      <c r="HR27" s="297" t="s">
        <v>2190</v>
      </c>
      <c r="HS27" s="340">
        <v>10</v>
      </c>
      <c r="HT27" s="479" t="s">
        <v>1969</v>
      </c>
      <c r="HU27" s="340">
        <v>1000</v>
      </c>
      <c r="HV27" s="299" t="s">
        <v>2131</v>
      </c>
      <c r="HW27" s="510">
        <f>SUM(HY16:HY24)</f>
        <v>1033.9166666666667</v>
      </c>
      <c r="HX27" s="297" t="s">
        <v>2251</v>
      </c>
      <c r="HY27" s="340">
        <f>32.37+27.07</f>
        <v>59.44</v>
      </c>
      <c r="HZ27" s="479" t="s">
        <v>2231</v>
      </c>
      <c r="IA27" s="260">
        <v>0</v>
      </c>
      <c r="IB27" s="243" t="s">
        <v>1929</v>
      </c>
      <c r="IC27" s="263">
        <f>SUM(IE10:IE17)</f>
        <v>51233.746666666666</v>
      </c>
      <c r="ID27" s="297" t="s">
        <v>2303</v>
      </c>
      <c r="IE27" s="340">
        <v>30</v>
      </c>
      <c r="IF27" s="325" t="s">
        <v>2300</v>
      </c>
      <c r="IG27" s="332">
        <v>127</v>
      </c>
      <c r="IH27" s="511" t="s">
        <v>2333</v>
      </c>
      <c r="II27" s="327">
        <v>19.45</v>
      </c>
      <c r="IJ27" s="297" t="s">
        <v>2371</v>
      </c>
      <c r="IK27" s="340">
        <v>6.8</v>
      </c>
      <c r="IL27" s="325" t="s">
        <v>2347</v>
      </c>
      <c r="IM27" s="340">
        <v>41</v>
      </c>
      <c r="IN27" s="511"/>
      <c r="IO27" s="327"/>
      <c r="IP27" s="297" t="s">
        <v>2419</v>
      </c>
      <c r="IQ27" s="202">
        <v>23.42</v>
      </c>
      <c r="IR27" s="325" t="s">
        <v>2415</v>
      </c>
      <c r="IS27" s="202">
        <v>260</v>
      </c>
      <c r="IT27" s="299" t="s">
        <v>2131</v>
      </c>
      <c r="IU27" s="311">
        <f>SUM(IW15:IW20)</f>
        <v>1471.3133333333333</v>
      </c>
      <c r="IV27" s="217" t="s">
        <v>2161</v>
      </c>
      <c r="IW27" s="274">
        <f>70+106+167+164+22.7</f>
        <v>529.70000000000005</v>
      </c>
      <c r="IX27" s="325"/>
      <c r="IZ27" s="511"/>
      <c r="JB27" s="297" t="s">
        <v>2596</v>
      </c>
      <c r="JC27" s="202">
        <v>7</v>
      </c>
      <c r="JD27" s="479"/>
      <c r="JF27" s="462" t="s">
        <v>2603</v>
      </c>
      <c r="JG27" s="462"/>
      <c r="JH27" s="297" t="s">
        <v>2638</v>
      </c>
      <c r="JI27" s="202">
        <f>55.72+65.82</f>
        <v>121.53999999999999</v>
      </c>
      <c r="JJ27" s="325" t="s">
        <v>2624</v>
      </c>
      <c r="JK27" s="340">
        <v>59.4</v>
      </c>
      <c r="JL27" s="192" t="s">
        <v>1928</v>
      </c>
      <c r="JM27" s="260">
        <f>SUM(JO6:JO7)</f>
        <v>2900.12</v>
      </c>
      <c r="JN27" s="297" t="s">
        <v>2691</v>
      </c>
      <c r="JO27" s="335">
        <v>131</v>
      </c>
      <c r="JP27" s="325" t="s">
        <v>2361</v>
      </c>
      <c r="JQ27" s="259"/>
      <c r="JR27" s="304" t="s">
        <v>1392</v>
      </c>
      <c r="JS27" s="259">
        <f>SUM(JU8:JU8)</f>
        <v>1476</v>
      </c>
      <c r="JT27" s="297" t="s">
        <v>2736</v>
      </c>
      <c r="JU27" s="335">
        <v>11</v>
      </c>
      <c r="JV27" s="325"/>
      <c r="JW27" s="202"/>
      <c r="JZ27" s="299" t="s">
        <v>2840</v>
      </c>
      <c r="KA27" s="274">
        <f>131.87*2</f>
        <v>263.74</v>
      </c>
      <c r="KB27" s="325"/>
      <c r="KC27" s="325"/>
      <c r="KF27" s="297" t="s">
        <v>2869</v>
      </c>
      <c r="KG27" s="335">
        <v>45.74</v>
      </c>
      <c r="KH27" s="285" t="s">
        <v>2579</v>
      </c>
      <c r="KI27" s="259">
        <v>130</v>
      </c>
      <c r="KK27" s="285"/>
      <c r="KL27" s="297" t="s">
        <v>2950</v>
      </c>
      <c r="KM27" s="202">
        <v>30</v>
      </c>
      <c r="KN27" s="319" t="s">
        <v>2938</v>
      </c>
      <c r="KO27" s="259">
        <v>12</v>
      </c>
      <c r="KQ27" s="395"/>
      <c r="KR27" s="143" t="s">
        <v>2309</v>
      </c>
      <c r="KS27" s="202">
        <f>10+18.51+10+16.63+15.78+16.9+10+16.2+16.87+10+10+20.2+10+10</f>
        <v>191.08999999999997</v>
      </c>
      <c r="KT27" s="479" t="s">
        <v>2390</v>
      </c>
      <c r="KU27" s="259">
        <v>1000</v>
      </c>
      <c r="KV27" s="604"/>
      <c r="KW27" s="603"/>
      <c r="KX27" s="143" t="s">
        <v>3017</v>
      </c>
      <c r="KY27" s="202">
        <v>30</v>
      </c>
      <c r="KZ27" s="340" t="s">
        <v>3125</v>
      </c>
      <c r="LA27" s="340">
        <f>240-15.97</f>
        <v>224.03</v>
      </c>
      <c r="LB27" s="645"/>
      <c r="LC27" s="645"/>
      <c r="LD27" s="143" t="s">
        <v>3135</v>
      </c>
      <c r="LE27" s="274">
        <v>151.85</v>
      </c>
      <c r="LF27" s="644" t="s">
        <v>3174</v>
      </c>
      <c r="LG27" s="259">
        <v>58.2</v>
      </c>
      <c r="LJ27" s="143" t="s">
        <v>2309</v>
      </c>
      <c r="LK27" s="202">
        <f>20.76+15.66+10+17.14+10+17.5</f>
        <v>91.06</v>
      </c>
      <c r="LL27" s="667"/>
      <c r="LM27" s="202"/>
      <c r="LP27" s="143" t="s">
        <v>2309</v>
      </c>
      <c r="LQ27" s="202"/>
      <c r="LR27" s="696" t="s">
        <v>3268</v>
      </c>
      <c r="LS27" s="259" t="s">
        <v>3269</v>
      </c>
    </row>
    <row r="28" spans="1:332">
      <c r="A28" s="755" t="s">
        <v>506</v>
      </c>
      <c r="B28" s="755"/>
      <c r="E28" s="193" t="s">
        <v>282</v>
      </c>
      <c r="F28" s="194"/>
      <c r="G28" s="755" t="s">
        <v>506</v>
      </c>
      <c r="H28" s="755"/>
      <c r="K28" s="143" t="s">
        <v>1016</v>
      </c>
      <c r="L28" s="340">
        <v>0</v>
      </c>
      <c r="M28" s="757" t="s">
        <v>93</v>
      </c>
      <c r="N28" s="757"/>
      <c r="Q28" s="242" t="s">
        <v>1050</v>
      </c>
      <c r="R28" s="340">
        <v>0</v>
      </c>
      <c r="S28" s="757" t="s">
        <v>93</v>
      </c>
      <c r="T28" s="757"/>
      <c r="W28" s="143" t="s">
        <v>1015</v>
      </c>
      <c r="X28" s="340">
        <v>64</v>
      </c>
      <c r="Y28" s="755" t="s">
        <v>992</v>
      </c>
      <c r="Z28" s="755"/>
      <c r="AC28" s="218" t="s">
        <v>1089</v>
      </c>
      <c r="AD28" s="218">
        <f>63+46</f>
        <v>109</v>
      </c>
      <c r="AE28" s="757" t="s">
        <v>93</v>
      </c>
      <c r="AF28" s="757"/>
      <c r="AI28" s="340" t="s">
        <v>1147</v>
      </c>
      <c r="AJ28" s="340">
        <v>50</v>
      </c>
      <c r="AK28" s="285" t="s">
        <v>93</v>
      </c>
      <c r="AL28" s="285" t="s">
        <v>93</v>
      </c>
      <c r="AO28" s="143" t="s">
        <v>1016</v>
      </c>
      <c r="AP28" s="204">
        <v>167.6</v>
      </c>
      <c r="AQ28" s="285" t="s">
        <v>93</v>
      </c>
      <c r="AR28" s="285"/>
      <c r="AU28" s="143" t="s">
        <v>1164</v>
      </c>
      <c r="AV28" s="204">
        <v>156.66</v>
      </c>
      <c r="AW28" s="285" t="s">
        <v>93</v>
      </c>
      <c r="AX28" s="285"/>
      <c r="AY28" s="143"/>
      <c r="AZ28" s="204"/>
      <c r="BA28" s="285" t="s">
        <v>93</v>
      </c>
      <c r="BB28" s="285"/>
      <c r="BE28" s="143" t="s">
        <v>1015</v>
      </c>
      <c r="BF28" s="204">
        <v>64</v>
      </c>
      <c r="BG28" s="285" t="s">
        <v>93</v>
      </c>
      <c r="BH28" s="285"/>
      <c r="BK28" s="257" t="s">
        <v>1015</v>
      </c>
      <c r="BL28" s="204" t="s">
        <v>1224</v>
      </c>
      <c r="BM28" s="285" t="s">
        <v>93</v>
      </c>
      <c r="BN28" s="285"/>
      <c r="BQ28" s="257" t="s">
        <v>1015</v>
      </c>
      <c r="BR28" s="204">
        <v>64</v>
      </c>
      <c r="BS28" s="285" t="s">
        <v>93</v>
      </c>
      <c r="BT28" s="318"/>
      <c r="BW28" s="257" t="s">
        <v>1263</v>
      </c>
      <c r="BX28" s="204">
        <v>64</v>
      </c>
      <c r="BY28" s="285" t="s">
        <v>93</v>
      </c>
      <c r="BZ28" s="286"/>
      <c r="CC28" s="257" t="s">
        <v>1015</v>
      </c>
      <c r="CD28" s="204">
        <v>32</v>
      </c>
      <c r="CE28" s="285" t="s">
        <v>93</v>
      </c>
      <c r="CF28" s="286"/>
      <c r="CI28" s="257" t="s">
        <v>1303</v>
      </c>
      <c r="CJ28" s="204">
        <v>64</v>
      </c>
      <c r="CK28" s="285" t="s">
        <v>93</v>
      </c>
      <c r="CL28" s="286"/>
      <c r="CO28" s="264" t="s">
        <v>1316</v>
      </c>
      <c r="CP28" s="217">
        <f>28+34</f>
        <v>62</v>
      </c>
      <c r="CQ28" s="285" t="s">
        <v>93</v>
      </c>
      <c r="CR28" s="286"/>
      <c r="CU28" s="264" t="s">
        <v>1354</v>
      </c>
      <c r="CV28" s="217">
        <v>26.7</v>
      </c>
      <c r="CX28" s="286"/>
      <c r="DA28" s="269" t="s">
        <v>1385</v>
      </c>
      <c r="DB28" s="204">
        <v>178.21</v>
      </c>
      <c r="DC28" s="532"/>
      <c r="DD28" s="538"/>
      <c r="DE28" s="204" t="s">
        <v>1442</v>
      </c>
      <c r="DF28" s="217">
        <f>51*2/3</f>
        <v>34</v>
      </c>
      <c r="DG28" s="267" t="s">
        <v>1429</v>
      </c>
      <c r="DH28" s="261">
        <v>185.01</v>
      </c>
      <c r="DI28" s="218" t="s">
        <v>1450</v>
      </c>
      <c r="DJ28" s="477">
        <v>10000</v>
      </c>
      <c r="DM28" s="256" t="s">
        <v>1334</v>
      </c>
      <c r="DN28" s="261">
        <f>11+53.24</f>
        <v>64.240000000000009</v>
      </c>
      <c r="DO28" s="218" t="s">
        <v>1485</v>
      </c>
      <c r="DP28" s="377" t="s">
        <v>686</v>
      </c>
      <c r="DS28" s="269" t="s">
        <v>1598</v>
      </c>
      <c r="DT28" s="261">
        <v>10</v>
      </c>
      <c r="DU28" s="218" t="s">
        <v>1485</v>
      </c>
      <c r="DV28" s="377" t="s">
        <v>686</v>
      </c>
      <c r="DY28" s="218" t="s">
        <v>1606</v>
      </c>
      <c r="DZ28" s="218"/>
      <c r="EA28" s="483"/>
      <c r="EB28" s="544"/>
      <c r="EE28" s="218" t="s">
        <v>1642</v>
      </c>
      <c r="EF28" s="218"/>
      <c r="EG28" s="491"/>
      <c r="EL28" s="745" t="s">
        <v>1536</v>
      </c>
      <c r="EM28" s="745"/>
      <c r="EN28" s="325"/>
      <c r="EO28" s="260"/>
      <c r="ER28" s="218" t="s">
        <v>1678</v>
      </c>
      <c r="ES28" s="218"/>
      <c r="ET28" s="285" t="s">
        <v>1696</v>
      </c>
      <c r="EU28" s="318">
        <v>10000</v>
      </c>
      <c r="EX28" s="309" t="s">
        <v>1721</v>
      </c>
      <c r="EY28" s="309"/>
      <c r="EZ28" s="285" t="s">
        <v>1567</v>
      </c>
      <c r="FA28" s="318">
        <v>2010</v>
      </c>
      <c r="FD28" s="539">
        <v>300</v>
      </c>
      <c r="FE28" s="307">
        <f>FA9+FD28-FG9</f>
        <v>280</v>
      </c>
      <c r="FF28" s="285" t="s">
        <v>1567</v>
      </c>
      <c r="FG28" s="318">
        <v>6010</v>
      </c>
      <c r="FJ28" s="297" t="s">
        <v>1819</v>
      </c>
      <c r="FK28" s="340">
        <v>8</v>
      </c>
      <c r="FL28" s="285" t="s">
        <v>1703</v>
      </c>
      <c r="FM28" s="318">
        <v>0</v>
      </c>
      <c r="FP28" s="297" t="s">
        <v>1853</v>
      </c>
      <c r="FQ28" s="340">
        <v>86.2</v>
      </c>
      <c r="FR28" s="285" t="s">
        <v>1567</v>
      </c>
      <c r="FS28" s="318">
        <v>6010</v>
      </c>
      <c r="FT28" s="340" t="s">
        <v>1869</v>
      </c>
      <c r="FU28" s="340">
        <f>5984.25-6010</f>
        <v>-25.75</v>
      </c>
      <c r="FV28" s="297" t="s">
        <v>2770</v>
      </c>
      <c r="FW28" s="340">
        <v>41.2</v>
      </c>
      <c r="FX28" s="285" t="s">
        <v>1868</v>
      </c>
      <c r="FY28" s="318">
        <v>1010</v>
      </c>
      <c r="GB28" s="297" t="s">
        <v>1918</v>
      </c>
      <c r="GC28" s="340">
        <v>8</v>
      </c>
      <c r="GD28" s="285" t="s">
        <v>1868</v>
      </c>
      <c r="GE28" s="318">
        <v>808</v>
      </c>
      <c r="GH28" s="299" t="s">
        <v>1955</v>
      </c>
      <c r="GI28" s="340">
        <f>11.48+13.49+12.33+10+12.88+6.22+14.16</f>
        <v>80.56</v>
      </c>
      <c r="GJ28" s="285" t="s">
        <v>1868</v>
      </c>
      <c r="GK28" s="318">
        <v>2002</v>
      </c>
      <c r="GN28" s="299" t="s">
        <v>1955</v>
      </c>
      <c r="GO28" s="340">
        <f>8.9+15.69+15.34+15.72</f>
        <v>55.65</v>
      </c>
      <c r="GP28" s="285" t="s">
        <v>1868</v>
      </c>
      <c r="GQ28" s="318" t="s">
        <v>1079</v>
      </c>
      <c r="GT28" s="297" t="s">
        <v>2029</v>
      </c>
      <c r="GU28" s="340">
        <v>5.4</v>
      </c>
      <c r="GV28" s="285" t="s">
        <v>1889</v>
      </c>
      <c r="GW28" s="318">
        <v>0</v>
      </c>
      <c r="GZ28" s="297" t="s">
        <v>2060</v>
      </c>
      <c r="HA28" s="340">
        <v>505.66</v>
      </c>
      <c r="HB28" s="204" t="s">
        <v>1810</v>
      </c>
      <c r="HC28" s="318">
        <v>300</v>
      </c>
      <c r="HF28" s="297" t="s">
        <v>2102</v>
      </c>
      <c r="HG28" s="340">
        <f>35.9+3.3</f>
        <v>39.199999999999996</v>
      </c>
      <c r="HH28" s="505" t="s">
        <v>2105</v>
      </c>
      <c r="HI28" s="504">
        <v>3179.26</v>
      </c>
      <c r="HJ28" s="302" t="s">
        <v>2131</v>
      </c>
      <c r="HK28" s="503">
        <f>SUM(HM10:HM18)</f>
        <v>1046.8376666666666</v>
      </c>
      <c r="HL28" s="545">
        <v>60</v>
      </c>
      <c r="HM28" s="535" t="s">
        <v>1827</v>
      </c>
      <c r="HN28" s="325" t="s">
        <v>2164</v>
      </c>
      <c r="HO28" s="332">
        <v>214</v>
      </c>
      <c r="HP28" s="243" t="s">
        <v>1929</v>
      </c>
      <c r="HQ28" s="263">
        <f>SUM(HS9:HS11)</f>
        <v>2361.4333333333334</v>
      </c>
      <c r="HR28" s="297" t="s">
        <v>2196</v>
      </c>
      <c r="HS28" s="340">
        <v>14</v>
      </c>
      <c r="HT28" s="285" t="s">
        <v>1982</v>
      </c>
      <c r="HU28" s="318">
        <v>3000</v>
      </c>
      <c r="HV28" s="213" t="s">
        <v>2497</v>
      </c>
      <c r="HW28" s="340">
        <f>SUM(HY47:HY54)</f>
        <v>1548.6</v>
      </c>
      <c r="HX28" s="297" t="s">
        <v>2220</v>
      </c>
      <c r="HY28" s="340">
        <v>69.569999999999993</v>
      </c>
      <c r="HZ28" s="285" t="s">
        <v>509</v>
      </c>
      <c r="IA28" s="340">
        <v>50</v>
      </c>
      <c r="IB28" s="310" t="s">
        <v>1392</v>
      </c>
      <c r="IC28" s="340">
        <f>SUM(IE8)</f>
        <v>5.73</v>
      </c>
      <c r="ID28" s="297" t="s">
        <v>2279</v>
      </c>
      <c r="IE28" s="340">
        <v>329.76</v>
      </c>
      <c r="IF28" s="325" t="s">
        <v>2299</v>
      </c>
      <c r="IG28" s="332">
        <v>111</v>
      </c>
      <c r="IH28" s="511" t="s">
        <v>2334</v>
      </c>
      <c r="II28" s="327">
        <v>19.45</v>
      </c>
      <c r="IJ28" s="297" t="s">
        <v>2346</v>
      </c>
      <c r="IK28" s="340">
        <f>3.8*2+9.9</f>
        <v>17.5</v>
      </c>
      <c r="IL28" s="325" t="s">
        <v>2361</v>
      </c>
      <c r="IN28" s="511"/>
      <c r="IO28" s="327"/>
      <c r="IP28" s="297" t="s">
        <v>2424</v>
      </c>
      <c r="IQ28" s="202">
        <v>61.71</v>
      </c>
      <c r="IR28" s="325" t="s">
        <v>2361</v>
      </c>
      <c r="IT28" s="297" t="s">
        <v>2129</v>
      </c>
      <c r="IU28" s="311">
        <f>SUM(IW21:IW25)</f>
        <v>268.39</v>
      </c>
      <c r="IV28" s="540">
        <v>22.7</v>
      </c>
      <c r="IW28" s="274"/>
      <c r="IX28" s="325"/>
      <c r="IZ28" s="738" t="s">
        <v>2135</v>
      </c>
      <c r="JA28" s="738"/>
      <c r="JB28" s="297" t="s">
        <v>2775</v>
      </c>
      <c r="JC28" s="202">
        <v>34</v>
      </c>
      <c r="JF28" s="192" t="s">
        <v>1928</v>
      </c>
      <c r="JG28" s="260">
        <f>SUM(JI6:JI7)</f>
        <v>3900.1</v>
      </c>
      <c r="JH28" s="297" t="s">
        <v>2776</v>
      </c>
      <c r="JI28" s="202">
        <f>44.8+43.4</f>
        <v>88.199999999999989</v>
      </c>
      <c r="JJ28" s="325" t="s">
        <v>2625</v>
      </c>
      <c r="JK28" s="340">
        <v>75.599999999999994</v>
      </c>
      <c r="JL28" s="312" t="s">
        <v>2721</v>
      </c>
      <c r="JM28" s="260">
        <f>SUM(JO11:JO13)</f>
        <v>116477.65199999999</v>
      </c>
      <c r="JN28" s="340" t="s">
        <v>2932</v>
      </c>
      <c r="JO28" s="261">
        <v>20</v>
      </c>
      <c r="JP28" s="325"/>
      <c r="JQ28" s="259"/>
      <c r="JR28" s="300" t="s">
        <v>2130</v>
      </c>
      <c r="JS28" s="259">
        <f>SUM(JU9:JU10)</f>
        <v>15.379999999999999</v>
      </c>
      <c r="JT28" s="340" t="s">
        <v>2932</v>
      </c>
      <c r="JU28" s="261">
        <f>13</f>
        <v>13</v>
      </c>
      <c r="JV28" s="325"/>
      <c r="JW28" s="202"/>
      <c r="JZ28" s="299" t="s">
        <v>2828</v>
      </c>
      <c r="KA28" s="202">
        <f>(15+6.5)*2</f>
        <v>43</v>
      </c>
      <c r="KB28" s="325"/>
      <c r="KC28" s="325"/>
      <c r="KD28" s="462" t="s">
        <v>2654</v>
      </c>
      <c r="KE28" s="462"/>
      <c r="KF28" s="297" t="s">
        <v>2872</v>
      </c>
      <c r="KG28" s="335">
        <v>21.12</v>
      </c>
      <c r="KH28" s="285" t="s">
        <v>2578</v>
      </c>
      <c r="KI28" s="259"/>
      <c r="KL28" s="297" t="s">
        <v>2892</v>
      </c>
      <c r="KM28" s="202">
        <v>30.06</v>
      </c>
      <c r="KN28" s="285" t="s">
        <v>2900</v>
      </c>
      <c r="KO28" s="259">
        <v>110</v>
      </c>
      <c r="KP28" s="217"/>
      <c r="KQ28" s="395"/>
      <c r="KR28" s="297" t="s">
        <v>3074</v>
      </c>
      <c r="KS28" s="202">
        <v>60</v>
      </c>
      <c r="KT28" s="325" t="s">
        <v>2408</v>
      </c>
      <c r="KU28" s="202"/>
      <c r="KV28" s="606"/>
      <c r="KW28" s="605"/>
      <c r="KX28" s="143" t="s">
        <v>1195</v>
      </c>
      <c r="KY28" s="202">
        <f>6.5+15</f>
        <v>21.5</v>
      </c>
      <c r="KZ28" s="325" t="s">
        <v>2942</v>
      </c>
      <c r="LA28" s="202"/>
      <c r="LB28" s="645"/>
      <c r="LC28" s="645"/>
      <c r="LD28" s="143" t="s">
        <v>1195</v>
      </c>
      <c r="LE28" s="202">
        <f>8.6+15+6.5</f>
        <v>30.1</v>
      </c>
      <c r="LF28" s="626" t="s">
        <v>2361</v>
      </c>
      <c r="LG28" s="202"/>
      <c r="LJ28" s="297" t="s">
        <v>3200</v>
      </c>
      <c r="LK28" s="202">
        <v>20</v>
      </c>
      <c r="LL28" s="662" t="s">
        <v>2942</v>
      </c>
      <c r="LM28" s="259"/>
      <c r="LN28" s="685" t="s">
        <v>2654</v>
      </c>
      <c r="LO28" s="685"/>
      <c r="LP28" s="297" t="s">
        <v>3249</v>
      </c>
      <c r="LQ28" s="202"/>
      <c r="LR28" s="697" t="s">
        <v>3272</v>
      </c>
      <c r="LS28" s="259">
        <v>30</v>
      </c>
    </row>
    <row r="29" spans="1:332">
      <c r="A29" s="755" t="s">
        <v>992</v>
      </c>
      <c r="B29" s="755"/>
      <c r="E29" s="193" t="s">
        <v>372</v>
      </c>
      <c r="F29" s="194"/>
      <c r="G29" s="755" t="s">
        <v>992</v>
      </c>
      <c r="H29" s="755"/>
      <c r="K29" s="143" t="s">
        <v>1015</v>
      </c>
      <c r="L29" s="340">
        <v>64</v>
      </c>
      <c r="M29" s="751" t="s">
        <v>385</v>
      </c>
      <c r="N29" s="751"/>
      <c r="S29" s="751" t="s">
        <v>385</v>
      </c>
      <c r="T29" s="751"/>
      <c r="W29" s="143" t="s">
        <v>1014</v>
      </c>
      <c r="X29" s="340">
        <v>100.01</v>
      </c>
      <c r="Y29" s="757" t="s">
        <v>93</v>
      </c>
      <c r="Z29" s="757"/>
      <c r="AC29" s="340" t="s">
        <v>1087</v>
      </c>
      <c r="AD29" s="340">
        <v>65</v>
      </c>
      <c r="AE29" s="751" t="s">
        <v>385</v>
      </c>
      <c r="AF29" s="751"/>
      <c r="AK29" s="340" t="s">
        <v>385</v>
      </c>
      <c r="AL29" s="340" t="s">
        <v>385</v>
      </c>
      <c r="AO29" s="143" t="s">
        <v>1143</v>
      </c>
      <c r="AP29" s="204">
        <f>11*2</f>
        <v>22</v>
      </c>
      <c r="AQ29" s="340" t="s">
        <v>385</v>
      </c>
      <c r="AR29" s="340"/>
      <c r="AU29" s="143" t="s">
        <v>1143</v>
      </c>
      <c r="AV29" s="204">
        <v>11</v>
      </c>
      <c r="AW29" s="340" t="s">
        <v>1149</v>
      </c>
      <c r="AX29" s="340"/>
      <c r="AY29" s="143"/>
      <c r="AZ29" s="204"/>
      <c r="BA29" s="340" t="s">
        <v>1149</v>
      </c>
      <c r="BB29" s="340"/>
      <c r="BE29" s="143" t="s">
        <v>1014</v>
      </c>
      <c r="BF29" s="204">
        <v>50</v>
      </c>
      <c r="BG29" s="340" t="s">
        <v>1149</v>
      </c>
      <c r="BH29" s="340"/>
      <c r="BK29" s="257" t="s">
        <v>1014</v>
      </c>
      <c r="BL29" s="204">
        <v>10</v>
      </c>
      <c r="BM29" s="340" t="s">
        <v>1149</v>
      </c>
      <c r="BN29" s="340"/>
      <c r="BQ29" s="257" t="s">
        <v>1014</v>
      </c>
      <c r="BR29" s="204">
        <v>20</v>
      </c>
      <c r="BS29" s="340" t="s">
        <v>1149</v>
      </c>
      <c r="BW29" s="257" t="s">
        <v>1014</v>
      </c>
      <c r="BX29" s="204">
        <v>50</v>
      </c>
      <c r="BY29" s="340" t="s">
        <v>1149</v>
      </c>
      <c r="CC29" s="257" t="s">
        <v>1014</v>
      </c>
      <c r="CD29" s="204">
        <v>70.001000000000005</v>
      </c>
      <c r="CE29" s="340" t="s">
        <v>1149</v>
      </c>
      <c r="CI29" s="257" t="s">
        <v>1014</v>
      </c>
      <c r="CJ29" s="204">
        <v>100.001</v>
      </c>
      <c r="CK29" s="340" t="s">
        <v>1149</v>
      </c>
      <c r="CO29" s="264" t="s">
        <v>1323</v>
      </c>
      <c r="CP29" s="217">
        <v>35</v>
      </c>
      <c r="CQ29" s="340" t="s">
        <v>1149</v>
      </c>
      <c r="CU29" s="264" t="s">
        <v>1362</v>
      </c>
      <c r="CV29" s="217">
        <f>6*4+5*2+5</f>
        <v>39</v>
      </c>
      <c r="CW29" s="197" t="s">
        <v>506</v>
      </c>
      <c r="DA29" s="269" t="s">
        <v>1397</v>
      </c>
      <c r="DB29" s="204">
        <v>300</v>
      </c>
      <c r="DD29" s="286"/>
      <c r="DG29" s="256" t="s">
        <v>1337</v>
      </c>
      <c r="DH29" s="261">
        <v>85.71</v>
      </c>
      <c r="DI29" s="218" t="s">
        <v>1451</v>
      </c>
      <c r="DJ29" s="477" t="s">
        <v>1079</v>
      </c>
      <c r="DM29" s="256" t="s">
        <v>1303</v>
      </c>
      <c r="DN29" s="261">
        <v>64</v>
      </c>
      <c r="DO29" s="483"/>
      <c r="DP29" s="544"/>
      <c r="DS29" s="269" t="s">
        <v>1586</v>
      </c>
      <c r="DT29" s="261">
        <v>10</v>
      </c>
      <c r="DU29" s="483"/>
      <c r="DV29" s="544"/>
      <c r="DY29" s="218" t="s">
        <v>1599</v>
      </c>
      <c r="DZ29" s="218"/>
      <c r="EA29" s="340" t="s">
        <v>1268</v>
      </c>
      <c r="EB29" s="259">
        <v>-20000</v>
      </c>
      <c r="EE29" s="340" t="s">
        <v>1628</v>
      </c>
      <c r="EF29" s="340">
        <v>999</v>
      </c>
      <c r="EG29" s="285"/>
      <c r="EH29" s="340" t="s">
        <v>506</v>
      </c>
      <c r="EL29" s="533">
        <v>100</v>
      </c>
      <c r="EM29" s="281">
        <f>EI9+EL29-EO9</f>
        <v>190</v>
      </c>
      <c r="ER29" s="218" t="s">
        <v>1710</v>
      </c>
      <c r="ES29" s="218"/>
      <c r="ET29" s="285" t="s">
        <v>1695</v>
      </c>
      <c r="EU29" s="318">
        <v>0</v>
      </c>
      <c r="EX29" s="535" t="s">
        <v>1716</v>
      </c>
      <c r="EY29" s="309"/>
      <c r="EZ29" s="285" t="s">
        <v>1567</v>
      </c>
      <c r="FA29" s="318">
        <v>5010</v>
      </c>
      <c r="FD29" s="309" t="s">
        <v>1783</v>
      </c>
      <c r="FE29" s="309"/>
      <c r="FF29" s="285" t="s">
        <v>1567</v>
      </c>
      <c r="FG29" s="318">
        <v>10010</v>
      </c>
      <c r="FJ29" s="745" t="s">
        <v>1746</v>
      </c>
      <c r="FK29" s="745"/>
      <c r="FL29" s="285" t="s">
        <v>1702</v>
      </c>
      <c r="FM29" s="318">
        <v>10000</v>
      </c>
      <c r="FP29" s="297" t="s">
        <v>1832</v>
      </c>
      <c r="FQ29" s="340">
        <v>35.799999999999997</v>
      </c>
      <c r="FR29" s="285" t="s">
        <v>1567</v>
      </c>
      <c r="FS29" s="318">
        <v>10010</v>
      </c>
      <c r="FT29" s="340" t="s">
        <v>1890</v>
      </c>
      <c r="FU29" s="340">
        <f>4980.91-5005</f>
        <v>-24.090000000000146</v>
      </c>
      <c r="FV29" s="297" t="s">
        <v>1914</v>
      </c>
      <c r="FW29" s="340">
        <v>6.3</v>
      </c>
      <c r="FX29" s="285" t="s">
        <v>1868</v>
      </c>
      <c r="FY29" s="318">
        <v>5005</v>
      </c>
      <c r="GB29" s="297" t="s">
        <v>1932</v>
      </c>
      <c r="GC29" s="340">
        <v>127.1</v>
      </c>
      <c r="GD29" s="285" t="s">
        <v>1868</v>
      </c>
      <c r="GE29" s="318">
        <v>4004</v>
      </c>
      <c r="GF29" s="204"/>
      <c r="GH29" s="297" t="s">
        <v>1939</v>
      </c>
      <c r="GI29" s="340">
        <v>70</v>
      </c>
      <c r="GJ29" s="285" t="s">
        <v>1868</v>
      </c>
      <c r="GK29" s="318">
        <v>808</v>
      </c>
      <c r="GN29" s="297" t="s">
        <v>2010</v>
      </c>
      <c r="GO29" s="340">
        <v>20</v>
      </c>
      <c r="GP29" s="285" t="s">
        <v>1868</v>
      </c>
      <c r="GQ29" s="318" t="s">
        <v>1079</v>
      </c>
      <c r="GT29" s="297" t="s">
        <v>2044</v>
      </c>
      <c r="GU29" s="340">
        <v>10</v>
      </c>
      <c r="GV29" s="488" t="s">
        <v>1632</v>
      </c>
      <c r="GW29" s="332"/>
      <c r="GZ29" s="297" t="s">
        <v>2065</v>
      </c>
      <c r="HA29" s="340">
        <f>80+105</f>
        <v>185</v>
      </c>
      <c r="HB29" s="285" t="s">
        <v>1889</v>
      </c>
      <c r="HC29" s="318">
        <v>0</v>
      </c>
      <c r="HD29" s="285"/>
      <c r="HF29" s="297" t="s">
        <v>2126</v>
      </c>
      <c r="HG29" s="340">
        <f>74.8-6.1</f>
        <v>68.7</v>
      </c>
      <c r="HH29" s="340" t="s">
        <v>2111</v>
      </c>
      <c r="HI29" s="337">
        <v>-114.61</v>
      </c>
      <c r="HJ29" s="303" t="s">
        <v>2129</v>
      </c>
      <c r="HK29" s="340">
        <f>SUM(HM19:HM23)</f>
        <v>275.58</v>
      </c>
      <c r="HL29" s="545">
        <v>20</v>
      </c>
      <c r="HM29" s="535" t="s">
        <v>2087</v>
      </c>
      <c r="HN29" s="505"/>
      <c r="HO29" s="332"/>
      <c r="HP29" s="310" t="s">
        <v>1392</v>
      </c>
      <c r="HQ29" s="340">
        <v>0</v>
      </c>
      <c r="HR29" s="297" t="s">
        <v>2065</v>
      </c>
      <c r="HS29" s="340">
        <v>80</v>
      </c>
      <c r="HT29" s="285" t="s">
        <v>2136</v>
      </c>
      <c r="HU29" s="318">
        <v>4000</v>
      </c>
      <c r="HV29" s="297" t="s">
        <v>2129</v>
      </c>
      <c r="HW29" s="340">
        <f>SUM(HY25:HY30)</f>
        <v>271.94</v>
      </c>
      <c r="HX29" s="297" t="s">
        <v>2777</v>
      </c>
      <c r="HY29" s="340">
        <f>22.3+42.9</f>
        <v>65.2</v>
      </c>
      <c r="HZ29" s="488" t="s">
        <v>2187</v>
      </c>
      <c r="IB29" s="300" t="s">
        <v>2130</v>
      </c>
      <c r="IC29" s="340">
        <f>SUM(IE9:IE9)</f>
        <v>32.1</v>
      </c>
      <c r="ID29" s="297" t="s">
        <v>2278</v>
      </c>
      <c r="IE29" s="340">
        <v>80</v>
      </c>
      <c r="IF29" s="325" t="s">
        <v>2206</v>
      </c>
      <c r="IG29" s="332"/>
      <c r="IH29" s="504" t="s">
        <v>2335</v>
      </c>
      <c r="II29" s="327">
        <f>19.45*3</f>
        <v>58.349999999999994</v>
      </c>
      <c r="IJ29" s="297" t="s">
        <v>2373</v>
      </c>
      <c r="IK29" s="340">
        <f>7.15+14.85</f>
        <v>22</v>
      </c>
      <c r="IL29" s="512" t="s">
        <v>2207</v>
      </c>
      <c r="IM29" s="546">
        <v>21.35</v>
      </c>
      <c r="IN29" s="504"/>
      <c r="IO29" s="327"/>
      <c r="IP29" s="297" t="s">
        <v>2429</v>
      </c>
      <c r="IQ29" s="202">
        <v>23.1</v>
      </c>
      <c r="IR29" s="325" t="s">
        <v>2396</v>
      </c>
      <c r="IS29" s="340" t="s">
        <v>2397</v>
      </c>
      <c r="IT29" s="297" t="s">
        <v>2686</v>
      </c>
      <c r="IU29" s="340">
        <f>SUM(IW22:IW25)</f>
        <v>188.39</v>
      </c>
      <c r="IV29" s="541" t="s">
        <v>1411</v>
      </c>
      <c r="IW29" s="542">
        <f>IS19+IU30-IY20</f>
        <v>70</v>
      </c>
      <c r="IX29" s="340" t="s">
        <v>506</v>
      </c>
      <c r="IZ29" s="192" t="s">
        <v>1928</v>
      </c>
      <c r="JA29" s="260">
        <f>SUM(JC7:JC7)</f>
        <v>1900.03</v>
      </c>
      <c r="JB29" s="297" t="s">
        <v>2560</v>
      </c>
      <c r="JC29" s="202">
        <v>64.75</v>
      </c>
      <c r="JD29" s="340" t="s">
        <v>506</v>
      </c>
      <c r="JF29" s="312" t="s">
        <v>1929</v>
      </c>
      <c r="JG29" s="260">
        <f>SUM(JI12:JI15)</f>
        <v>156875.80412602739</v>
      </c>
      <c r="JH29" s="297" t="s">
        <v>2614</v>
      </c>
      <c r="JI29" s="335">
        <v>40.9</v>
      </c>
      <c r="JJ29" s="325"/>
      <c r="JL29" s="304" t="s">
        <v>1392</v>
      </c>
      <c r="JM29" s="259">
        <f>SUM(JO8:JO9)</f>
        <v>175.82999999999998</v>
      </c>
      <c r="JN29" s="217" t="s">
        <v>2161</v>
      </c>
      <c r="JO29" s="274">
        <f>250+254+164+105</f>
        <v>773</v>
      </c>
      <c r="JP29" s="325"/>
      <c r="JQ29" s="259"/>
      <c r="JR29" s="302" t="s">
        <v>2131</v>
      </c>
      <c r="JS29" s="259">
        <f>SUM(JU14:JU22)</f>
        <v>1271.7839999999999</v>
      </c>
      <c r="JT29" s="217" t="s">
        <v>2161</v>
      </c>
      <c r="JU29" s="274">
        <f>144+160+67</f>
        <v>371</v>
      </c>
      <c r="JZ29" s="299" t="s">
        <v>2674</v>
      </c>
      <c r="KA29" s="202">
        <f>9+14.32+(9+9)</f>
        <v>41.32</v>
      </c>
      <c r="KB29" s="340" t="s">
        <v>506</v>
      </c>
      <c r="KD29" s="414" t="s">
        <v>1928</v>
      </c>
      <c r="KE29" s="260">
        <f>SUM(KG6:KG6)</f>
        <v>1900.09</v>
      </c>
      <c r="KF29" s="217" t="s">
        <v>3214</v>
      </c>
      <c r="KG29" s="274">
        <f>341+171</f>
        <v>512</v>
      </c>
      <c r="KH29" s="479" t="s">
        <v>2390</v>
      </c>
      <c r="KI29" s="259">
        <v>1000</v>
      </c>
      <c r="KL29" s="297" t="s">
        <v>2954</v>
      </c>
      <c r="KM29" s="202">
        <v>21.5</v>
      </c>
      <c r="KN29" s="479" t="s">
        <v>2390</v>
      </c>
      <c r="KO29" s="259">
        <v>1000</v>
      </c>
      <c r="KP29" s="496"/>
      <c r="KQ29" s="496"/>
      <c r="KR29" s="297" t="s">
        <v>3063</v>
      </c>
      <c r="KS29" s="202">
        <v>400.92</v>
      </c>
      <c r="KT29" s="479" t="s">
        <v>3038</v>
      </c>
      <c r="KU29" s="202">
        <v>1202.04</v>
      </c>
      <c r="KV29" s="606"/>
      <c r="KW29" s="605"/>
      <c r="KX29" s="143" t="s">
        <v>3105</v>
      </c>
      <c r="KY29" s="202">
        <v>57.3</v>
      </c>
      <c r="KZ29" s="325" t="s">
        <v>2408</v>
      </c>
      <c r="LA29" s="202"/>
      <c r="LB29" s="638"/>
      <c r="LC29" s="638"/>
      <c r="LD29" s="143" t="s">
        <v>3157</v>
      </c>
      <c r="LE29" s="202">
        <v>67.8</v>
      </c>
      <c r="LF29" s="637" t="s">
        <v>3184</v>
      </c>
      <c r="LG29" s="259">
        <f>52.8*2</f>
        <v>105.6</v>
      </c>
      <c r="LJ29" s="297" t="s">
        <v>3256</v>
      </c>
      <c r="LK29" s="202">
        <v>5</v>
      </c>
      <c r="LL29" s="669" t="s">
        <v>3245</v>
      </c>
      <c r="LM29" s="202" t="s">
        <v>3239</v>
      </c>
      <c r="LN29" s="445" t="s">
        <v>1928</v>
      </c>
      <c r="LO29" s="260">
        <f>SUM(LQ6:LQ8)</f>
        <v>5000.05</v>
      </c>
      <c r="LP29" s="297" t="s">
        <v>1862</v>
      </c>
      <c r="LQ29" s="202"/>
      <c r="LR29" s="697" t="s">
        <v>3273</v>
      </c>
      <c r="LS29" s="259">
        <v>30</v>
      </c>
    </row>
    <row r="30" spans="1:332">
      <c r="A30" s="757" t="s">
        <v>93</v>
      </c>
      <c r="B30" s="757"/>
      <c r="E30" s="193" t="s">
        <v>1007</v>
      </c>
      <c r="F30" s="170"/>
      <c r="G30" s="757" t="s">
        <v>93</v>
      </c>
      <c r="H30" s="757"/>
      <c r="K30" s="143" t="s">
        <v>1014</v>
      </c>
      <c r="L30" s="340">
        <v>50.01</v>
      </c>
      <c r="M30" s="758" t="s">
        <v>1001</v>
      </c>
      <c r="N30" s="758"/>
      <c r="Q30" s="143" t="s">
        <v>1052</v>
      </c>
      <c r="R30" s="340">
        <v>26</v>
      </c>
      <c r="S30" s="758" t="s">
        <v>1001</v>
      </c>
      <c r="T30" s="758"/>
      <c r="Y30" s="751" t="s">
        <v>385</v>
      </c>
      <c r="Z30" s="751"/>
      <c r="AC30" s="340" t="s">
        <v>1090</v>
      </c>
      <c r="AD30" s="340">
        <v>10</v>
      </c>
      <c r="AE30" s="758" t="s">
        <v>1001</v>
      </c>
      <c r="AF30" s="758"/>
      <c r="AK30" s="488" t="s">
        <v>1001</v>
      </c>
      <c r="AL30" s="488" t="s">
        <v>1001</v>
      </c>
      <c r="AO30" s="143" t="s">
        <v>1015</v>
      </c>
      <c r="AP30" s="204">
        <v>32</v>
      </c>
      <c r="AQ30" s="488" t="s">
        <v>1001</v>
      </c>
      <c r="AR30" s="319"/>
      <c r="AU30" s="143" t="s">
        <v>1015</v>
      </c>
      <c r="AV30" s="204" t="s">
        <v>686</v>
      </c>
      <c r="AW30" s="488" t="s">
        <v>1001</v>
      </c>
      <c r="AX30" s="488"/>
      <c r="AY30" s="143"/>
      <c r="AZ30" s="204"/>
      <c r="BA30" s="488" t="s">
        <v>1001</v>
      </c>
      <c r="BB30" s="488"/>
      <c r="BE30" s="246" t="s">
        <v>1197</v>
      </c>
      <c r="BF30" s="340">
        <v>56.62</v>
      </c>
      <c r="BG30" s="488" t="s">
        <v>1001</v>
      </c>
      <c r="BH30" s="488"/>
      <c r="BK30" s="258" t="s">
        <v>1221</v>
      </c>
      <c r="BL30" s="217">
        <v>5</v>
      </c>
      <c r="BM30" s="488" t="s">
        <v>1001</v>
      </c>
      <c r="BN30" s="488"/>
      <c r="BQ30" s="258" t="s">
        <v>1237</v>
      </c>
      <c r="BR30" s="217">
        <v>20</v>
      </c>
      <c r="BS30" s="488" t="s">
        <v>1001</v>
      </c>
      <c r="BT30" s="547"/>
      <c r="BW30" s="258" t="s">
        <v>1237</v>
      </c>
      <c r="BX30" s="217">
        <v>15</v>
      </c>
      <c r="BY30" s="488" t="s">
        <v>1001</v>
      </c>
      <c r="BZ30" s="548"/>
      <c r="CC30" s="258" t="s">
        <v>1237</v>
      </c>
      <c r="CD30" s="217">
        <v>5</v>
      </c>
      <c r="CE30" s="488" t="s">
        <v>1001</v>
      </c>
      <c r="CF30" s="548"/>
      <c r="CI30" s="264" t="s">
        <v>1237</v>
      </c>
      <c r="CJ30" s="217">
        <f>10+5</f>
        <v>15</v>
      </c>
      <c r="CK30" s="488" t="s">
        <v>1001</v>
      </c>
      <c r="CL30" s="548"/>
      <c r="CO30" s="264" t="s">
        <v>1333</v>
      </c>
      <c r="CP30" s="217">
        <v>39</v>
      </c>
      <c r="CQ30" s="488" t="s">
        <v>1001</v>
      </c>
      <c r="CR30" s="548"/>
      <c r="CU30" s="264" t="s">
        <v>1371</v>
      </c>
      <c r="CV30" s="217">
        <v>46.9</v>
      </c>
      <c r="CW30" s="197" t="s">
        <v>992</v>
      </c>
      <c r="CX30" s="548"/>
      <c r="DA30" s="269" t="s">
        <v>1406</v>
      </c>
      <c r="DB30" s="204">
        <v>28</v>
      </c>
      <c r="DC30" s="197" t="s">
        <v>506</v>
      </c>
      <c r="DG30" s="256" t="s">
        <v>1435</v>
      </c>
      <c r="DH30" s="261">
        <f>51.05+57.34</f>
        <v>108.39</v>
      </c>
      <c r="DI30" s="218" t="s">
        <v>1469</v>
      </c>
      <c r="DJ30" s="477">
        <v>5000</v>
      </c>
      <c r="DK30" s="204"/>
      <c r="DM30" s="256" t="s">
        <v>1512</v>
      </c>
      <c r="DN30" s="261">
        <f>12.19+9.83+1.31+11.91+13.1+17+10+12.95</f>
        <v>88.29</v>
      </c>
      <c r="DO30" s="325" t="s">
        <v>1268</v>
      </c>
      <c r="DP30" s="318">
        <v>-20000</v>
      </c>
      <c r="DQ30" s="204"/>
      <c r="DS30" s="269" t="s">
        <v>1585</v>
      </c>
      <c r="DT30" s="261">
        <v>10</v>
      </c>
      <c r="DU30" s="325" t="s">
        <v>1268</v>
      </c>
      <c r="DV30" s="318">
        <v>-20000</v>
      </c>
      <c r="DY30" s="218" t="s">
        <v>1603</v>
      </c>
      <c r="DZ30" s="218"/>
      <c r="EA30" s="549" t="s">
        <v>1592</v>
      </c>
      <c r="EB30" s="499"/>
      <c r="EE30" s="340" t="s">
        <v>1629</v>
      </c>
      <c r="EF30" s="340">
        <v>201</v>
      </c>
      <c r="EG30" s="285"/>
      <c r="EH30" s="340" t="s">
        <v>1622</v>
      </c>
      <c r="EL30" s="309" t="s">
        <v>1658</v>
      </c>
      <c r="EM30" s="309"/>
      <c r="EN30" s="340" t="s">
        <v>506</v>
      </c>
      <c r="ER30" s="218" t="s">
        <v>1686</v>
      </c>
      <c r="ES30" s="218"/>
      <c r="ET30" s="488" t="s">
        <v>1632</v>
      </c>
      <c r="EU30" s="488"/>
      <c r="EX30" s="535" t="s">
        <v>1744</v>
      </c>
      <c r="EY30" s="309"/>
      <c r="EZ30" s="285" t="s">
        <v>1497</v>
      </c>
      <c r="FA30" s="318">
        <v>10000</v>
      </c>
      <c r="FD30" s="535" t="s">
        <v>1753</v>
      </c>
      <c r="FE30" s="309"/>
      <c r="FF30" s="285" t="s">
        <v>1497</v>
      </c>
      <c r="FG30" s="318">
        <v>15000</v>
      </c>
      <c r="FJ30" s="539">
        <v>200</v>
      </c>
      <c r="FK30" s="307">
        <f>FG9+FJ30-FM10</f>
        <v>340</v>
      </c>
      <c r="FL30" s="285" t="s">
        <v>1702</v>
      </c>
      <c r="FM30" s="318">
        <v>0</v>
      </c>
      <c r="FP30" s="297" t="s">
        <v>1842</v>
      </c>
      <c r="FQ30" s="340">
        <v>44.8</v>
      </c>
      <c r="FR30" s="285" t="s">
        <v>1696</v>
      </c>
      <c r="FS30" s="318">
        <v>0</v>
      </c>
      <c r="FT30" s="204" t="s">
        <v>1702</v>
      </c>
      <c r="FU30" s="340">
        <f>9952.43-10000</f>
        <v>-47.569999999999709</v>
      </c>
      <c r="FV30" s="541" t="s">
        <v>1746</v>
      </c>
      <c r="FW30" s="541"/>
      <c r="FX30" s="285" t="s">
        <v>1889</v>
      </c>
      <c r="FY30" s="318" t="s">
        <v>686</v>
      </c>
      <c r="GB30" s="297" t="s">
        <v>1931</v>
      </c>
      <c r="GC30" s="340">
        <v>18.8</v>
      </c>
      <c r="GD30" s="285" t="s">
        <v>1889</v>
      </c>
      <c r="GE30" s="318" t="s">
        <v>686</v>
      </c>
      <c r="GF30" s="285"/>
      <c r="GG30" s="244"/>
      <c r="GH30" s="297" t="s">
        <v>1975</v>
      </c>
      <c r="GI30" s="340">
        <v>16</v>
      </c>
      <c r="GJ30" s="204" t="s">
        <v>1810</v>
      </c>
      <c r="GK30" s="318">
        <v>300</v>
      </c>
      <c r="GN30" s="297" t="s">
        <v>1996</v>
      </c>
      <c r="GO30" s="340">
        <v>10</v>
      </c>
      <c r="GP30" s="204" t="s">
        <v>1810</v>
      </c>
      <c r="GQ30" s="318">
        <v>300</v>
      </c>
      <c r="GR30" s="204"/>
      <c r="GT30" s="297" t="s">
        <v>2028</v>
      </c>
      <c r="GU30" s="340">
        <v>10</v>
      </c>
      <c r="GV30" s="325" t="s">
        <v>2034</v>
      </c>
      <c r="GW30" s="332">
        <v>1159.4000000000001</v>
      </c>
      <c r="GZ30" s="297" t="s">
        <v>1778</v>
      </c>
      <c r="HA30" s="340">
        <v>8</v>
      </c>
      <c r="HB30" s="488" t="s">
        <v>1632</v>
      </c>
      <c r="HC30" s="332"/>
      <c r="HF30" s="541" t="s">
        <v>1746</v>
      </c>
      <c r="HG30" s="218"/>
      <c r="HH30" s="505" t="s">
        <v>2103</v>
      </c>
      <c r="HI30" s="504">
        <v>258.44</v>
      </c>
      <c r="HJ30" s="297" t="s">
        <v>2635</v>
      </c>
      <c r="HK30" s="340">
        <f>SUM(HM20:HM23)</f>
        <v>255.57999999999998</v>
      </c>
      <c r="HL30" s="545">
        <v>60</v>
      </c>
      <c r="HM30" s="535" t="s">
        <v>2112</v>
      </c>
      <c r="HP30" s="300" t="s">
        <v>2130</v>
      </c>
      <c r="HQ30" s="340">
        <f>SUM(HS7:HS8)</f>
        <v>1867.15</v>
      </c>
      <c r="HR30" s="340" t="s">
        <v>2162</v>
      </c>
      <c r="HS30" s="204">
        <v>37</v>
      </c>
      <c r="HT30" s="285" t="s">
        <v>1984</v>
      </c>
      <c r="HU30" s="318">
        <v>25000</v>
      </c>
      <c r="HV30" s="297" t="s">
        <v>2635</v>
      </c>
      <c r="HW30" s="340">
        <f>SUM(HY26:HY30)</f>
        <v>251.94</v>
      </c>
      <c r="HX30" s="297" t="s">
        <v>2241</v>
      </c>
      <c r="HY30" s="340">
        <v>11</v>
      </c>
      <c r="HZ30" s="479" t="s">
        <v>2392</v>
      </c>
      <c r="IA30" s="340">
        <v>4</v>
      </c>
      <c r="IB30" s="299" t="s">
        <v>2131</v>
      </c>
      <c r="IC30" s="510">
        <f>SUM(IE18:IE26)</f>
        <v>1421.2533333333333</v>
      </c>
      <c r="ID30" s="297" t="s">
        <v>2305</v>
      </c>
      <c r="IE30" s="340">
        <v>62</v>
      </c>
      <c r="IF30" s="512" t="s">
        <v>2207</v>
      </c>
      <c r="IG30" s="546">
        <v>21.35</v>
      </c>
      <c r="IH30" s="504" t="s">
        <v>2336</v>
      </c>
      <c r="II30" s="327">
        <f>19.45*25</f>
        <v>486.25</v>
      </c>
      <c r="IJ30" s="297" t="s">
        <v>2372</v>
      </c>
      <c r="IK30" s="340">
        <v>34</v>
      </c>
      <c r="IL30" s="325" t="s">
        <v>2394</v>
      </c>
      <c r="IM30" s="340">
        <v>1.49</v>
      </c>
      <c r="IN30" s="504"/>
      <c r="IO30" s="327"/>
      <c r="IP30" s="297" t="s">
        <v>2457</v>
      </c>
      <c r="IQ30" s="202" t="s">
        <v>2458</v>
      </c>
      <c r="IR30" s="325"/>
      <c r="IT30" s="535" t="s">
        <v>2459</v>
      </c>
      <c r="IU30" s="539">
        <v>90</v>
      </c>
      <c r="IV30" s="545">
        <v>5</v>
      </c>
      <c r="IW30" s="550" t="s">
        <v>2456</v>
      </c>
      <c r="IX30" s="217" t="s">
        <v>1864</v>
      </c>
      <c r="IZ30" s="243" t="s">
        <v>1929</v>
      </c>
      <c r="JA30" s="260">
        <f>SUM(JC14:JC16)</f>
        <v>4142.9809999999998</v>
      </c>
      <c r="JB30" s="383" t="s">
        <v>2575</v>
      </c>
      <c r="JC30" s="335">
        <f>3.3+7.001</f>
        <v>10.301</v>
      </c>
      <c r="JD30" s="340" t="s">
        <v>93</v>
      </c>
      <c r="JF30" s="304" t="s">
        <v>1392</v>
      </c>
      <c r="JG30" s="259">
        <f>SUM(JI8:JI8)</f>
        <v>327.74</v>
      </c>
      <c r="JH30" s="297" t="s">
        <v>2618</v>
      </c>
      <c r="JI30" s="335">
        <f>8.65*2</f>
        <v>17.3</v>
      </c>
      <c r="JJ30" s="325"/>
      <c r="JL30" s="300" t="s">
        <v>2130</v>
      </c>
      <c r="JM30" s="259">
        <f>SUM(JO10:JO10)</f>
        <v>669.59999999999991</v>
      </c>
      <c r="JN30" s="540">
        <v>20.350000000000001</v>
      </c>
      <c r="JO30" s="274"/>
      <c r="JQ30" s="259"/>
      <c r="JR30" s="297" t="s">
        <v>2129</v>
      </c>
      <c r="JS30" s="259">
        <f>SUM(JU23:JU27)</f>
        <v>179.60000000000002</v>
      </c>
      <c r="JT30" s="540">
        <v>24.07</v>
      </c>
      <c r="JU30" s="274"/>
      <c r="JZ30" s="299" t="s">
        <v>3035</v>
      </c>
      <c r="KA30" s="202">
        <f>64+30.9</f>
        <v>94.9</v>
      </c>
      <c r="KB30" s="340" t="s">
        <v>93</v>
      </c>
      <c r="KD30" s="312" t="s">
        <v>2980</v>
      </c>
      <c r="KE30" s="260">
        <f>SUM(KG8:KG10)</f>
        <v>203044.96999999997</v>
      </c>
      <c r="KF30" s="540">
        <v>34.15</v>
      </c>
      <c r="KG30" s="274"/>
      <c r="KH30" s="325" t="s">
        <v>2408</v>
      </c>
      <c r="KI30" s="202"/>
      <c r="KL30" s="297" t="s">
        <v>2962</v>
      </c>
      <c r="KM30" s="335">
        <v>44.55</v>
      </c>
      <c r="KN30" s="325" t="s">
        <v>2408</v>
      </c>
      <c r="KO30" s="202"/>
      <c r="KP30" s="530"/>
      <c r="KQ30" s="530"/>
      <c r="KR30" s="297" t="s">
        <v>3025</v>
      </c>
      <c r="KS30" s="202">
        <f>5+0.99</f>
        <v>5.99</v>
      </c>
      <c r="KT30" s="479" t="s">
        <v>3046</v>
      </c>
      <c r="KU30" s="202"/>
      <c r="KV30" s="606"/>
      <c r="KW30" s="605"/>
      <c r="KX30" s="143" t="s">
        <v>2674</v>
      </c>
      <c r="KY30" s="202">
        <f>14.32+9+9</f>
        <v>32.32</v>
      </c>
      <c r="KZ30" s="325" t="s">
        <v>2361</v>
      </c>
      <c r="LA30" s="202"/>
      <c r="LB30" s="638"/>
      <c r="LC30" s="638"/>
      <c r="LD30" s="143" t="s">
        <v>2674</v>
      </c>
      <c r="LE30" s="202">
        <f>14.32+18*2</f>
        <v>50.32</v>
      </c>
      <c r="LF30" s="666" t="s">
        <v>3197</v>
      </c>
      <c r="LG30" s="259">
        <v>28.82</v>
      </c>
      <c r="LH30" s="653" t="s">
        <v>2654</v>
      </c>
      <c r="LI30" s="653"/>
      <c r="LJ30" s="297" t="s">
        <v>3199</v>
      </c>
      <c r="LK30" s="202">
        <v>10.6</v>
      </c>
      <c r="LL30" s="671"/>
      <c r="LM30" s="202"/>
      <c r="LN30" s="312" t="s">
        <v>2986</v>
      </c>
      <c r="LO30" s="260">
        <f>SUM(LQ19:LQ19)</f>
        <v>0</v>
      </c>
      <c r="LP30" s="297" t="s">
        <v>1862</v>
      </c>
      <c r="LQ30" s="202"/>
      <c r="LR30" s="697" t="s">
        <v>3274</v>
      </c>
      <c r="LS30" s="259">
        <v>30</v>
      </c>
    </row>
    <row r="31" spans="1:332" ht="12.75" customHeight="1">
      <c r="A31" s="751" t="s">
        <v>385</v>
      </c>
      <c r="B31" s="751"/>
      <c r="E31" s="170"/>
      <c r="F31" s="170"/>
      <c r="G31" s="751" t="s">
        <v>385</v>
      </c>
      <c r="H31" s="751"/>
      <c r="M31" s="754" t="s">
        <v>243</v>
      </c>
      <c r="N31" s="754"/>
      <c r="Q31" s="143" t="s">
        <v>1051</v>
      </c>
      <c r="R31" s="340">
        <v>55</v>
      </c>
      <c r="S31" s="754" t="s">
        <v>243</v>
      </c>
      <c r="T31" s="754"/>
      <c r="W31" s="241" t="s">
        <v>1072</v>
      </c>
      <c r="X31" s="241">
        <v>0</v>
      </c>
      <c r="Y31" s="758" t="s">
        <v>1001</v>
      </c>
      <c r="Z31" s="758"/>
      <c r="AE31" s="754" t="s">
        <v>243</v>
      </c>
      <c r="AF31" s="754"/>
      <c r="AK31" s="204" t="s">
        <v>243</v>
      </c>
      <c r="AL31" s="204" t="s">
        <v>243</v>
      </c>
      <c r="AO31" s="143" t="s">
        <v>1014</v>
      </c>
      <c r="AP31" s="204">
        <v>200</v>
      </c>
      <c r="AQ31" s="204" t="s">
        <v>243</v>
      </c>
      <c r="AR31" s="204"/>
      <c r="AU31" s="143" t="s">
        <v>1014</v>
      </c>
      <c r="AV31" s="204">
        <v>100</v>
      </c>
      <c r="AW31" s="204" t="s">
        <v>243</v>
      </c>
      <c r="AX31" s="204"/>
      <c r="AY31" s="143"/>
      <c r="AZ31" s="204"/>
      <c r="BA31" s="204" t="s">
        <v>243</v>
      </c>
      <c r="BB31" s="204"/>
      <c r="BE31" s="246" t="s">
        <v>1201</v>
      </c>
      <c r="BF31" s="340">
        <v>53</v>
      </c>
      <c r="BG31" s="204" t="s">
        <v>243</v>
      </c>
      <c r="BH31" s="204"/>
      <c r="BK31" s="258" t="s">
        <v>1223</v>
      </c>
      <c r="BL31" s="217">
        <v>58.9</v>
      </c>
      <c r="BM31" s="204" t="s">
        <v>243</v>
      </c>
      <c r="BN31" s="204"/>
      <c r="BS31" s="204" t="s">
        <v>243</v>
      </c>
      <c r="BT31" s="260"/>
      <c r="BW31" s="258" t="s">
        <v>1256</v>
      </c>
      <c r="BX31" s="217">
        <v>29.8</v>
      </c>
      <c r="BY31" s="204" t="s">
        <v>243</v>
      </c>
      <c r="BZ31" s="261"/>
      <c r="CC31" s="258" t="s">
        <v>1275</v>
      </c>
      <c r="CD31" s="217">
        <v>37</v>
      </c>
      <c r="CE31" s="204" t="s">
        <v>243</v>
      </c>
      <c r="CF31" s="261"/>
      <c r="CI31" s="264" t="s">
        <v>1300</v>
      </c>
      <c r="CJ31" s="217">
        <v>9</v>
      </c>
      <c r="CK31" s="204" t="s">
        <v>243</v>
      </c>
      <c r="CL31" s="261"/>
      <c r="CO31" s="217" t="s">
        <v>1325</v>
      </c>
      <c r="CQ31" s="204" t="s">
        <v>243</v>
      </c>
      <c r="CR31" s="261"/>
      <c r="CU31" s="264" t="s">
        <v>1375</v>
      </c>
      <c r="CV31" s="217">
        <v>50.26</v>
      </c>
      <c r="CW31" s="285" t="s">
        <v>93</v>
      </c>
      <c r="CX31" s="261"/>
      <c r="DA31" s="268"/>
      <c r="DC31" s="197" t="s">
        <v>992</v>
      </c>
      <c r="DD31" s="548"/>
      <c r="DE31" s="217" t="s">
        <v>1423</v>
      </c>
      <c r="DG31" s="256" t="s">
        <v>1195</v>
      </c>
      <c r="DH31" s="261">
        <v>13</v>
      </c>
      <c r="DI31" s="218" t="s">
        <v>1457</v>
      </c>
      <c r="DJ31" s="477">
        <v>5000</v>
      </c>
      <c r="DK31" s="204"/>
      <c r="DM31" s="269" t="s">
        <v>1488</v>
      </c>
      <c r="DN31" s="261">
        <v>5</v>
      </c>
      <c r="DO31" s="742" t="s">
        <v>1438</v>
      </c>
      <c r="DP31" s="742"/>
      <c r="DQ31" s="204"/>
      <c r="DS31" s="269" t="s">
        <v>1576</v>
      </c>
      <c r="DT31" s="261">
        <f>95+70</f>
        <v>165</v>
      </c>
      <c r="DU31" s="551" t="s">
        <v>1592</v>
      </c>
      <c r="DV31" s="552"/>
      <c r="DY31" s="218" t="s">
        <v>1615</v>
      </c>
      <c r="DZ31" s="218"/>
      <c r="EA31" s="218" t="s">
        <v>1614</v>
      </c>
      <c r="EB31" s="218">
        <v>991</v>
      </c>
      <c r="EE31" s="340" t="s">
        <v>1627</v>
      </c>
      <c r="EF31" s="340">
        <v>30</v>
      </c>
      <c r="EG31" s="285"/>
      <c r="EH31" s="340" t="s">
        <v>1541</v>
      </c>
      <c r="EL31" s="218" t="s">
        <v>1667</v>
      </c>
      <c r="EM31" s="218"/>
      <c r="EN31" s="340" t="s">
        <v>1673</v>
      </c>
      <c r="ER31" s="218" t="s">
        <v>1689</v>
      </c>
      <c r="ES31" s="218"/>
      <c r="ET31" s="325" t="s">
        <v>1663</v>
      </c>
      <c r="EU31" s="263">
        <v>326.35000000000002</v>
      </c>
      <c r="EX31" s="535" t="s">
        <v>1719</v>
      </c>
      <c r="EY31" s="309"/>
      <c r="EZ31" s="285" t="s">
        <v>1696</v>
      </c>
      <c r="FA31" s="318">
        <f>7000+1000</f>
        <v>8000</v>
      </c>
      <c r="FD31" s="535" t="s">
        <v>1775</v>
      </c>
      <c r="FE31" s="309"/>
      <c r="FF31" s="285" t="s">
        <v>1696</v>
      </c>
      <c r="FG31" s="318">
        <v>0</v>
      </c>
      <c r="FJ31" s="309" t="s">
        <v>1799</v>
      </c>
      <c r="FK31" s="309"/>
      <c r="FL31" s="285" t="s">
        <v>1567</v>
      </c>
      <c r="FM31" s="318">
        <v>1010</v>
      </c>
      <c r="FP31" s="297" t="s">
        <v>1836</v>
      </c>
      <c r="FQ31" s="340">
        <v>8</v>
      </c>
      <c r="FR31" s="285" t="s">
        <v>1695</v>
      </c>
      <c r="FS31" s="318">
        <v>0</v>
      </c>
      <c r="FT31" s="285" t="s">
        <v>1569</v>
      </c>
      <c r="FU31" s="244">
        <f>4975.39+4974.29+4974.23-15000</f>
        <v>-76.090000000000146</v>
      </c>
      <c r="FV31" s="539">
        <v>100</v>
      </c>
      <c r="FW31" s="307">
        <f>FS11+FV31-FY16</f>
        <v>126</v>
      </c>
      <c r="FX31" s="488" t="s">
        <v>1632</v>
      </c>
      <c r="FY31" s="332"/>
      <c r="GB31" s="297" t="s">
        <v>1935</v>
      </c>
      <c r="GC31" s="340">
        <v>20</v>
      </c>
      <c r="GD31" s="488" t="s">
        <v>1632</v>
      </c>
      <c r="GE31" s="332"/>
      <c r="GH31" s="297" t="s">
        <v>1533</v>
      </c>
      <c r="GI31" s="340">
        <v>66.62</v>
      </c>
      <c r="GJ31" s="285" t="s">
        <v>1889</v>
      </c>
      <c r="GK31" s="318">
        <v>0</v>
      </c>
      <c r="GN31" s="297" t="s">
        <v>2011</v>
      </c>
      <c r="GO31" s="340">
        <v>14.06</v>
      </c>
      <c r="GP31" s="488" t="s">
        <v>1632</v>
      </c>
      <c r="GQ31" s="332"/>
      <c r="GR31" s="285"/>
      <c r="GS31" s="244"/>
      <c r="GT31" s="297" t="s">
        <v>2030</v>
      </c>
      <c r="GU31" s="340">
        <v>47.67</v>
      </c>
      <c r="GV31" s="325"/>
      <c r="GZ31" s="297" t="s">
        <v>2092</v>
      </c>
      <c r="HA31" s="340">
        <v>41.4</v>
      </c>
      <c r="HB31" s="325" t="s">
        <v>2100</v>
      </c>
      <c r="HC31" s="335">
        <v>1159.4000000000001</v>
      </c>
      <c r="HF31" s="539">
        <v>200</v>
      </c>
      <c r="HG31" s="541"/>
      <c r="HH31" s="505" t="s">
        <v>2103</v>
      </c>
      <c r="HI31" s="504">
        <v>23.05</v>
      </c>
      <c r="HJ31" s="535" t="s">
        <v>2159</v>
      </c>
      <c r="HK31" s="539">
        <v>300</v>
      </c>
      <c r="HL31" s="545">
        <v>45</v>
      </c>
      <c r="HM31" s="535" t="s">
        <v>1602</v>
      </c>
      <c r="HP31" s="299" t="s">
        <v>2131</v>
      </c>
      <c r="HQ31" s="510">
        <f>SUM(HS12:HS23)</f>
        <v>1323.1366666666668</v>
      </c>
      <c r="HR31" s="217" t="s">
        <v>2161</v>
      </c>
      <c r="HS31" s="217">
        <v>429</v>
      </c>
      <c r="HT31" s="285" t="s">
        <v>1638</v>
      </c>
      <c r="HU31" s="318">
        <v>2000</v>
      </c>
      <c r="HX31" s="340" t="s">
        <v>2162</v>
      </c>
      <c r="HY31" s="204">
        <v>20</v>
      </c>
      <c r="HZ31" s="479" t="s">
        <v>1969</v>
      </c>
      <c r="IA31" s="340">
        <v>1000</v>
      </c>
      <c r="IB31" s="297" t="s">
        <v>2129</v>
      </c>
      <c r="IC31" s="340">
        <f>SUM(IE27:IE35)</f>
        <v>712.47</v>
      </c>
      <c r="ID31" s="297" t="s">
        <v>2312</v>
      </c>
      <c r="IE31" s="340">
        <v>10</v>
      </c>
      <c r="IF31" s="325" t="s">
        <v>2223</v>
      </c>
      <c r="IG31" s="546">
        <v>125.91</v>
      </c>
      <c r="IH31" s="504"/>
      <c r="II31" s="327"/>
      <c r="IJ31" s="297" t="s">
        <v>2380</v>
      </c>
      <c r="IK31" s="340">
        <f>22+32.4</f>
        <v>54.4</v>
      </c>
      <c r="IL31" s="325"/>
      <c r="IM31" s="332"/>
      <c r="IN31" s="511"/>
      <c r="IP31" s="297" t="s">
        <v>2434</v>
      </c>
      <c r="IQ31" s="202">
        <v>42.17</v>
      </c>
      <c r="IR31" s="325"/>
      <c r="IV31" s="545">
        <v>50</v>
      </c>
      <c r="IW31" s="550" t="s">
        <v>1827</v>
      </c>
      <c r="IX31" s="340" t="s">
        <v>93</v>
      </c>
      <c r="IZ31" s="304" t="s">
        <v>1392</v>
      </c>
      <c r="JA31" s="259">
        <f>SUM(JC8:JC10)</f>
        <v>1354.32</v>
      </c>
      <c r="JB31" s="383" t="s">
        <v>2576</v>
      </c>
      <c r="JC31" s="335">
        <v>74.959999999999994</v>
      </c>
      <c r="JD31" s="340" t="s">
        <v>1034</v>
      </c>
      <c r="JF31" s="300" t="s">
        <v>2130</v>
      </c>
      <c r="JG31" s="311">
        <f>SUM(JI9:JI11)</f>
        <v>2683.17</v>
      </c>
      <c r="JH31" s="297" t="s">
        <v>2626</v>
      </c>
      <c r="JI31" s="335">
        <f>6.2+29.5</f>
        <v>35.700000000000003</v>
      </c>
      <c r="JL31" s="302" t="s">
        <v>2131</v>
      </c>
      <c r="JM31" s="259">
        <f>SUM(JO14:JO21)</f>
        <v>1710.4379999999999</v>
      </c>
      <c r="JN31" s="541" t="s">
        <v>1411</v>
      </c>
      <c r="JO31" s="542">
        <f>JK22+JM35-JQ20</f>
        <v>770</v>
      </c>
      <c r="JQ31" s="259"/>
      <c r="JR31" s="297" t="s">
        <v>2858</v>
      </c>
      <c r="JS31" s="553">
        <f>SUM(JU24:JU27)</f>
        <v>169.60000000000002</v>
      </c>
      <c r="JT31" s="541" t="s">
        <v>1411</v>
      </c>
      <c r="JU31" s="542">
        <f>JQ20+JS34-JW19</f>
        <v>70</v>
      </c>
      <c r="JZ31" s="299" t="s">
        <v>2724</v>
      </c>
      <c r="KA31" s="202">
        <v>10.8</v>
      </c>
      <c r="KB31" s="340" t="s">
        <v>1034</v>
      </c>
      <c r="KD31" s="304" t="s">
        <v>1392</v>
      </c>
      <c r="KE31" s="259">
        <v>0</v>
      </c>
      <c r="KF31" s="541" t="s">
        <v>1411</v>
      </c>
      <c r="KG31" s="542">
        <f>KC19+KE36-KI27</f>
        <v>190</v>
      </c>
      <c r="KH31" s="325" t="s">
        <v>2806</v>
      </c>
      <c r="KI31" s="202">
        <v>1.64</v>
      </c>
      <c r="KK31" s="285"/>
      <c r="KL31" s="297" t="s">
        <v>2649</v>
      </c>
      <c r="KM31" s="335">
        <v>57.86</v>
      </c>
      <c r="KN31" s="479" t="s">
        <v>2999</v>
      </c>
      <c r="KO31" s="202">
        <v>3.54</v>
      </c>
      <c r="KQ31" s="285"/>
      <c r="KR31" s="297" t="s">
        <v>3057</v>
      </c>
      <c r="KS31" s="202">
        <v>43.9</v>
      </c>
      <c r="KT31" s="325" t="s">
        <v>3055</v>
      </c>
      <c r="KU31" s="202">
        <v>95</v>
      </c>
      <c r="KV31" s="611"/>
      <c r="KW31" s="610"/>
      <c r="KX31" s="143" t="s">
        <v>2309</v>
      </c>
      <c r="KY31" s="202">
        <f>16.79+10+18.2+10+17.89+10+21.84+10.3+10+19.32+2.2+15.96+15</f>
        <v>177.5</v>
      </c>
      <c r="KZ31" s="613"/>
      <c r="LA31" s="202"/>
      <c r="LB31" s="638"/>
      <c r="LC31" s="638"/>
      <c r="LD31" s="143" t="s">
        <v>2309</v>
      </c>
      <c r="LE31" s="202">
        <f>15+16.38+16.09+15.91+10+16.16+19.63</f>
        <v>109.16999999999999</v>
      </c>
      <c r="LF31" s="640"/>
      <c r="LG31" s="259"/>
      <c r="LH31" s="445" t="s">
        <v>1928</v>
      </c>
      <c r="LI31" s="260">
        <f>SUM(LK6:LK7)</f>
        <v>1900.02</v>
      </c>
      <c r="LJ31" s="297" t="s">
        <v>3237</v>
      </c>
      <c r="LK31" s="335">
        <f>45.98+50</f>
        <v>95.97999999999999</v>
      </c>
      <c r="LL31" s="659" t="s">
        <v>2408</v>
      </c>
      <c r="LM31" s="202"/>
      <c r="LN31" s="446" t="s">
        <v>2974</v>
      </c>
      <c r="LO31" s="259">
        <f>SUM(LQ9:LQ9)</f>
        <v>0</v>
      </c>
      <c r="LP31" s="297" t="s">
        <v>1862</v>
      </c>
      <c r="LQ31" s="335"/>
      <c r="LR31" s="694" t="s">
        <v>2942</v>
      </c>
      <c r="LS31" s="259"/>
      <c r="LT31" s="202"/>
    </row>
    <row r="32" spans="1:332">
      <c r="A32" s="758" t="s">
        <v>1001</v>
      </c>
      <c r="B32" s="758"/>
      <c r="C32" s="244"/>
      <c r="D32" s="244"/>
      <c r="E32" s="244"/>
      <c r="F32" s="244"/>
      <c r="G32" s="758" t="s">
        <v>1001</v>
      </c>
      <c r="H32" s="758"/>
      <c r="K32" s="241" t="s">
        <v>1021</v>
      </c>
      <c r="L32" s="241"/>
      <c r="M32" s="756" t="s">
        <v>1034</v>
      </c>
      <c r="N32" s="756"/>
      <c r="Q32" s="143" t="s">
        <v>1016</v>
      </c>
      <c r="R32" s="340">
        <v>77.239999999999995</v>
      </c>
      <c r="S32" s="756" t="s">
        <v>1034</v>
      </c>
      <c r="T32" s="756"/>
      <c r="Y32" s="754" t="s">
        <v>243</v>
      </c>
      <c r="Z32" s="754"/>
      <c r="AC32" s="196" t="s">
        <v>1012</v>
      </c>
      <c r="AD32" s="340">
        <v>350</v>
      </c>
      <c r="AE32" s="756" t="s">
        <v>1034</v>
      </c>
      <c r="AF32" s="756"/>
      <c r="AI32" s="196" t="s">
        <v>1012</v>
      </c>
      <c r="AJ32" s="340">
        <v>200</v>
      </c>
      <c r="AK32" s="325" t="s">
        <v>1034</v>
      </c>
      <c r="AL32" s="325" t="s">
        <v>1034</v>
      </c>
      <c r="AQ32" s="325" t="s">
        <v>1034</v>
      </c>
      <c r="AR32" s="325"/>
      <c r="AW32" s="325" t="s">
        <v>1034</v>
      </c>
      <c r="AX32" s="325"/>
      <c r="BA32" s="325" t="s">
        <v>1034</v>
      </c>
      <c r="BB32" s="325"/>
      <c r="BE32" s="246" t="s">
        <v>1200</v>
      </c>
      <c r="BF32" s="340">
        <v>14</v>
      </c>
      <c r="BG32" s="325" t="s">
        <v>1034</v>
      </c>
      <c r="BH32" s="325"/>
      <c r="BM32" s="325" t="s">
        <v>1034</v>
      </c>
      <c r="BN32" s="325"/>
      <c r="BQ32" s="217" t="s">
        <v>1231</v>
      </c>
      <c r="BR32" s="217" t="s">
        <v>1225</v>
      </c>
      <c r="BS32" s="325" t="s">
        <v>1034</v>
      </c>
      <c r="BT32" s="332"/>
      <c r="BW32" s="258"/>
      <c r="BY32" s="325" t="s">
        <v>1034</v>
      </c>
      <c r="BZ32" s="335"/>
      <c r="CC32" s="258" t="s">
        <v>1283</v>
      </c>
      <c r="CD32" s="217">
        <v>82.15</v>
      </c>
      <c r="CE32" s="325" t="s">
        <v>1034</v>
      </c>
      <c r="CF32" s="335"/>
      <c r="CI32" s="264" t="s">
        <v>1299</v>
      </c>
      <c r="CJ32" s="217">
        <v>28.6</v>
      </c>
      <c r="CK32" s="325" t="s">
        <v>1034</v>
      </c>
      <c r="CL32" s="335"/>
      <c r="CO32" s="217" t="s">
        <v>1342</v>
      </c>
      <c r="CP32" s="217">
        <v>60</v>
      </c>
      <c r="CQ32" s="325" t="s">
        <v>1034</v>
      </c>
      <c r="CR32" s="335"/>
      <c r="CU32" s="217" t="s">
        <v>1340</v>
      </c>
      <c r="CV32" s="217">
        <v>11</v>
      </c>
      <c r="CW32" s="340" t="s">
        <v>1149</v>
      </c>
      <c r="CX32" s="335"/>
      <c r="DA32" s="752" t="s">
        <v>1411</v>
      </c>
      <c r="DB32" s="753"/>
      <c r="DC32" s="285" t="s">
        <v>93</v>
      </c>
      <c r="DD32" s="261"/>
      <c r="DE32" s="204" t="s">
        <v>1475</v>
      </c>
      <c r="DF32" s="217">
        <v>307.61</v>
      </c>
      <c r="DG32" s="256" t="s">
        <v>1286</v>
      </c>
      <c r="DH32" s="261">
        <f>140.45+146.45</f>
        <v>286.89999999999998</v>
      </c>
      <c r="DI32" s="218" t="s">
        <v>1483</v>
      </c>
      <c r="DJ32" s="477">
        <v>10000</v>
      </c>
      <c r="DM32" s="269" t="s">
        <v>1508</v>
      </c>
      <c r="DN32" s="261">
        <v>20</v>
      </c>
      <c r="DO32" s="532" t="s">
        <v>1502</v>
      </c>
      <c r="DP32" s="532"/>
      <c r="DS32" s="269" t="s">
        <v>1587</v>
      </c>
      <c r="DT32" s="261">
        <v>8.5</v>
      </c>
      <c r="DU32" s="555" t="s">
        <v>1591</v>
      </c>
      <c r="DV32" s="556">
        <v>1583.97</v>
      </c>
      <c r="DY32" s="218"/>
      <c r="DZ32" s="218"/>
      <c r="EE32" s="204" t="s">
        <v>1618</v>
      </c>
      <c r="EF32" s="285">
        <v>77.37</v>
      </c>
      <c r="EH32" s="340" t="s">
        <v>93</v>
      </c>
      <c r="EL32" s="218" t="s">
        <v>1668</v>
      </c>
      <c r="EM32" s="218"/>
      <c r="EN32" s="340" t="s">
        <v>1541</v>
      </c>
      <c r="ER32" s="218" t="s">
        <v>1690</v>
      </c>
      <c r="ES32" s="218"/>
      <c r="ET32" s="325" t="s">
        <v>1706</v>
      </c>
      <c r="EU32" s="260">
        <v>1178</v>
      </c>
      <c r="EX32" s="535" t="s">
        <v>1733</v>
      </c>
      <c r="EY32" s="309"/>
      <c r="EZ32" s="285" t="s">
        <v>1695</v>
      </c>
      <c r="FA32" s="318" t="s">
        <v>686</v>
      </c>
      <c r="FD32" s="535" t="s">
        <v>1769</v>
      </c>
      <c r="FE32" s="309"/>
      <c r="FF32" s="285" t="s">
        <v>1695</v>
      </c>
      <c r="FG32" s="318">
        <v>0</v>
      </c>
      <c r="FJ32" s="535" t="s">
        <v>1796</v>
      </c>
      <c r="FK32" s="309"/>
      <c r="FL32" s="285" t="s">
        <v>1567</v>
      </c>
      <c r="FM32" s="318">
        <v>6010</v>
      </c>
      <c r="FP32" s="297" t="s">
        <v>1844</v>
      </c>
      <c r="FQ32" s="340">
        <f>6+4.39+49</f>
        <v>59.39</v>
      </c>
      <c r="FR32" s="488" t="s">
        <v>1632</v>
      </c>
      <c r="FS32" s="332"/>
      <c r="FV32" s="309" t="s">
        <v>1894</v>
      </c>
      <c r="FW32" s="309"/>
      <c r="FX32" s="325"/>
      <c r="FY32" s="332"/>
      <c r="GB32" s="297" t="s">
        <v>1488</v>
      </c>
      <c r="GC32" s="340">
        <v>10</v>
      </c>
      <c r="GD32" s="325"/>
      <c r="GE32" s="332"/>
      <c r="GH32" s="541" t="s">
        <v>1746</v>
      </c>
      <c r="GI32" s="541"/>
      <c r="GJ32" s="488" t="s">
        <v>1632</v>
      </c>
      <c r="GK32" s="332"/>
      <c r="GN32" s="297" t="s">
        <v>2007</v>
      </c>
      <c r="GO32" s="340">
        <v>10</v>
      </c>
      <c r="GP32" s="557" t="s">
        <v>1948</v>
      </c>
      <c r="GQ32" s="204">
        <v>35.1</v>
      </c>
      <c r="GT32" s="297" t="s">
        <v>2770</v>
      </c>
      <c r="GU32" s="340">
        <f>37.5+18.7</f>
        <v>56.2</v>
      </c>
      <c r="GV32" s="325"/>
      <c r="GW32" s="332"/>
      <c r="GZ32" s="297" t="s">
        <v>2084</v>
      </c>
      <c r="HA32" s="340">
        <f>12.35+5.8</f>
        <v>18.149999999999999</v>
      </c>
      <c r="HB32" s="325" t="s">
        <v>2074</v>
      </c>
      <c r="HC32" s="335">
        <v>13.5</v>
      </c>
      <c r="HF32" s="309" t="s">
        <v>2098</v>
      </c>
      <c r="HG32" s="307">
        <f>HC17+HF31-HI16</f>
        <v>200</v>
      </c>
      <c r="HH32" s="512" t="s">
        <v>2116</v>
      </c>
      <c r="HI32" s="511">
        <v>1580.64</v>
      </c>
      <c r="HK32" s="308"/>
      <c r="HL32" s="545">
        <v>5</v>
      </c>
      <c r="HM32" s="535" t="s">
        <v>2163</v>
      </c>
      <c r="HP32" s="299" t="s">
        <v>2203</v>
      </c>
      <c r="HQ32" s="510"/>
      <c r="HR32" s="540">
        <v>28.54</v>
      </c>
      <c r="HS32" s="217" t="s">
        <v>2160</v>
      </c>
      <c r="HT32" s="285" t="s">
        <v>1639</v>
      </c>
      <c r="HU32" s="318">
        <v>4000</v>
      </c>
      <c r="HX32" s="340" t="s">
        <v>2229</v>
      </c>
      <c r="HY32" s="204">
        <v>10</v>
      </c>
      <c r="HZ32" s="285" t="s">
        <v>1982</v>
      </c>
      <c r="IA32" s="318">
        <v>3000</v>
      </c>
      <c r="IB32" s="297" t="s">
        <v>2635</v>
      </c>
      <c r="IC32" s="340">
        <f>SUM(IE31:IE35)</f>
        <v>210.71</v>
      </c>
      <c r="ID32" s="297" t="s">
        <v>2307</v>
      </c>
      <c r="IE32" s="340">
        <f>40.3+11+11.4+19.2</f>
        <v>81.899999999999991</v>
      </c>
      <c r="IF32" s="325" t="s">
        <v>2317</v>
      </c>
      <c r="IG32" s="332">
        <v>146</v>
      </c>
      <c r="IH32" s="504"/>
      <c r="II32" s="327"/>
      <c r="IJ32" s="297" t="s">
        <v>2381</v>
      </c>
      <c r="IK32" s="340">
        <f>10.1+8+57.3+1.6</f>
        <v>77</v>
      </c>
      <c r="IL32" s="340" t="s">
        <v>506</v>
      </c>
      <c r="IN32" s="738" t="s">
        <v>2135</v>
      </c>
      <c r="IO32" s="738"/>
      <c r="IP32" s="297" t="s">
        <v>2453</v>
      </c>
      <c r="IQ32" s="202">
        <v>6.5</v>
      </c>
      <c r="IR32" s="340" t="s">
        <v>506</v>
      </c>
      <c r="IV32" s="545">
        <v>10</v>
      </c>
      <c r="IW32" s="550" t="s">
        <v>2520</v>
      </c>
      <c r="IX32" s="340" t="s">
        <v>2324</v>
      </c>
      <c r="IZ32" s="300" t="s">
        <v>2130</v>
      </c>
      <c r="JA32" s="259">
        <f>SUM(JC11:JC13)</f>
        <v>762.4899999999999</v>
      </c>
      <c r="JB32" s="383" t="s">
        <v>2595</v>
      </c>
      <c r="JC32" s="335">
        <v>74.13</v>
      </c>
      <c r="JF32" s="302" t="s">
        <v>2131</v>
      </c>
      <c r="JG32" s="259">
        <f>SUM(JI16:JI24)</f>
        <v>412.16</v>
      </c>
      <c r="JH32" s="340" t="s">
        <v>2932</v>
      </c>
      <c r="JI32" s="261">
        <v>78</v>
      </c>
      <c r="JJ32" s="340" t="s">
        <v>506</v>
      </c>
      <c r="JL32" s="297" t="s">
        <v>2129</v>
      </c>
      <c r="JM32" s="259">
        <f>SUM(JO22:JO27)</f>
        <v>3204.23</v>
      </c>
      <c r="JN32" s="545">
        <v>60</v>
      </c>
      <c r="JO32" s="550" t="s">
        <v>1827</v>
      </c>
      <c r="JQ32" s="259"/>
      <c r="JT32" s="545">
        <v>30</v>
      </c>
      <c r="JU32" s="550" t="s">
        <v>2701</v>
      </c>
      <c r="JZ32" s="299" t="s">
        <v>2309</v>
      </c>
      <c r="KA32" s="202">
        <f>16.3+16.34+12.3+10+15.21+16.19+10+16.01+15.57+10+10+15.19</f>
        <v>163.11000000000001</v>
      </c>
      <c r="KD32" s="300" t="s">
        <v>2130</v>
      </c>
      <c r="KE32" s="259">
        <f>SUM(KG7:KG7)</f>
        <v>10.25</v>
      </c>
      <c r="KF32" s="545">
        <v>10</v>
      </c>
      <c r="KG32" s="558" t="s">
        <v>2762</v>
      </c>
      <c r="KH32" s="325" t="s">
        <v>2863</v>
      </c>
      <c r="KI32" s="202"/>
      <c r="KL32" s="297" t="s">
        <v>2961</v>
      </c>
      <c r="KM32" s="335">
        <v>36.5</v>
      </c>
      <c r="KN32" s="340" t="s">
        <v>2964</v>
      </c>
      <c r="KO32" s="202">
        <v>58.2</v>
      </c>
      <c r="KR32" s="297" t="s">
        <v>3078</v>
      </c>
      <c r="KS32" s="202">
        <v>24.5</v>
      </c>
      <c r="KT32" s="325"/>
      <c r="KU32" s="202"/>
      <c r="KV32" s="623"/>
      <c r="KW32" s="622"/>
      <c r="KX32" s="297" t="s">
        <v>3107</v>
      </c>
      <c r="KY32" s="202">
        <v>40</v>
      </c>
      <c r="KZ32" s="614"/>
      <c r="LD32" s="297" t="s">
        <v>3175</v>
      </c>
      <c r="LE32" s="202">
        <v>40</v>
      </c>
      <c r="LF32" s="650"/>
      <c r="LH32" s="312" t="s">
        <v>2986</v>
      </c>
      <c r="LI32" s="260">
        <f>SUM(LK20:LK20)</f>
        <v>1154.33</v>
      </c>
      <c r="LJ32" s="297" t="s">
        <v>3257</v>
      </c>
      <c r="LK32" s="335">
        <v>43.76</v>
      </c>
      <c r="LL32" s="681" t="s">
        <v>3224</v>
      </c>
      <c r="LM32" s="202">
        <v>37.99</v>
      </c>
      <c r="LN32" s="301" t="s">
        <v>3198</v>
      </c>
      <c r="LO32" s="259">
        <f>SUM(LQ10:LQ15)</f>
        <v>0</v>
      </c>
      <c r="LP32" s="297" t="s">
        <v>1862</v>
      </c>
      <c r="LQ32" s="335"/>
      <c r="LR32" s="691" t="s">
        <v>2408</v>
      </c>
      <c r="LS32" s="202"/>
      <c r="LT32" s="202"/>
    </row>
    <row r="33" spans="1:332">
      <c r="A33" s="754" t="s">
        <v>243</v>
      </c>
      <c r="B33" s="754"/>
      <c r="E33" s="187" t="s">
        <v>368</v>
      </c>
      <c r="F33" s="170"/>
      <c r="G33" s="754" t="s">
        <v>243</v>
      </c>
      <c r="H33" s="754"/>
      <c r="K33" s="241" t="s">
        <v>1024</v>
      </c>
      <c r="L33" s="241">
        <v>652</v>
      </c>
      <c r="Q33" s="143" t="s">
        <v>1015</v>
      </c>
      <c r="R33" s="340">
        <v>32</v>
      </c>
      <c r="W33" s="243" t="s">
        <v>1059</v>
      </c>
      <c r="X33" s="243">
        <v>283</v>
      </c>
      <c r="Y33" s="756" t="s">
        <v>1034</v>
      </c>
      <c r="Z33" s="756"/>
      <c r="AC33" s="197" t="s">
        <v>1028</v>
      </c>
      <c r="AD33" s="340">
        <v>100</v>
      </c>
      <c r="AI33" s="197" t="s">
        <v>1028</v>
      </c>
      <c r="AJ33" s="340">
        <v>200</v>
      </c>
      <c r="AO33" s="246" t="s">
        <v>1104</v>
      </c>
      <c r="AP33" s="340">
        <f>242+12+489</f>
        <v>743</v>
      </c>
      <c r="AU33" s="246" t="s">
        <v>1067</v>
      </c>
      <c r="AV33" s="340">
        <v>24</v>
      </c>
      <c r="AY33" s="246"/>
      <c r="BE33" s="246" t="s">
        <v>1207</v>
      </c>
      <c r="BF33" s="340">
        <v>18</v>
      </c>
      <c r="BK33" s="217" t="s">
        <v>1227</v>
      </c>
      <c r="BL33" s="217" t="s">
        <v>1225</v>
      </c>
      <c r="BQ33" s="217" t="s">
        <v>1230</v>
      </c>
      <c r="BR33" s="217" t="s">
        <v>1225</v>
      </c>
      <c r="BW33" s="217" t="s">
        <v>1250</v>
      </c>
      <c r="BX33" s="217" t="s">
        <v>1249</v>
      </c>
      <c r="CC33" s="258" t="s">
        <v>1290</v>
      </c>
      <c r="CD33" s="217">
        <v>171.4</v>
      </c>
      <c r="CI33" s="264" t="s">
        <v>1296</v>
      </c>
      <c r="CJ33" s="217">
        <v>44</v>
      </c>
      <c r="CO33" s="217" t="s">
        <v>1326</v>
      </c>
      <c r="CP33" s="217">
        <v>24</v>
      </c>
      <c r="CU33" s="217" t="s">
        <v>1358</v>
      </c>
      <c r="CV33" s="217">
        <v>318</v>
      </c>
      <c r="CW33" s="488" t="s">
        <v>1001</v>
      </c>
      <c r="DA33" s="216" t="s">
        <v>1410</v>
      </c>
      <c r="DB33" s="216">
        <v>300</v>
      </c>
      <c r="DC33" s="340" t="s">
        <v>1149</v>
      </c>
      <c r="DD33" s="335"/>
      <c r="DE33" s="204" t="s">
        <v>1464</v>
      </c>
      <c r="DF33" s="217">
        <f>569.34-527</f>
        <v>42.340000000000032</v>
      </c>
      <c r="DG33" s="256" t="s">
        <v>1334</v>
      </c>
      <c r="DH33" s="261">
        <f>2*(11+53.24)</f>
        <v>128.48000000000002</v>
      </c>
      <c r="DI33" s="218"/>
      <c r="DJ33" s="477"/>
      <c r="DM33" s="269" t="s">
        <v>1519</v>
      </c>
      <c r="DN33" s="261">
        <v>10</v>
      </c>
      <c r="DP33" s="286"/>
      <c r="DS33" s="269" t="s">
        <v>1525</v>
      </c>
      <c r="DT33" s="274">
        <v>11.41</v>
      </c>
      <c r="DU33" s="532" t="s">
        <v>1588</v>
      </c>
      <c r="DV33" s="532">
        <v>214</v>
      </c>
      <c r="DY33" s="340" t="s">
        <v>1320</v>
      </c>
      <c r="DZ33" s="340">
        <f>55.46-17.24</f>
        <v>38.22</v>
      </c>
      <c r="EA33" s="197" t="s">
        <v>506</v>
      </c>
      <c r="EE33" s="340" t="s">
        <v>1619</v>
      </c>
      <c r="EF33" s="340">
        <v>10.77</v>
      </c>
      <c r="EH33" s="340" t="s">
        <v>1149</v>
      </c>
      <c r="EL33" s="218" t="s">
        <v>1669</v>
      </c>
      <c r="EM33" s="218"/>
      <c r="EN33" s="340" t="s">
        <v>93</v>
      </c>
      <c r="ER33" s="218" t="s">
        <v>1705</v>
      </c>
      <c r="ES33" s="218"/>
      <c r="EX33" s="535" t="s">
        <v>1732</v>
      </c>
      <c r="EY33" s="309"/>
      <c r="EZ33" s="488" t="s">
        <v>1632</v>
      </c>
      <c r="FA33" s="332" t="s">
        <v>686</v>
      </c>
      <c r="FD33" s="535" t="s">
        <v>1670</v>
      </c>
      <c r="FE33" s="218"/>
      <c r="FF33" s="488" t="s">
        <v>1632</v>
      </c>
      <c r="FG33" s="332" t="s">
        <v>686</v>
      </c>
      <c r="FJ33" s="535" t="s">
        <v>1811</v>
      </c>
      <c r="FK33" s="309"/>
      <c r="FL33" s="285" t="s">
        <v>1567</v>
      </c>
      <c r="FM33" s="318">
        <v>10010</v>
      </c>
      <c r="FP33" s="297" t="s">
        <v>1855</v>
      </c>
      <c r="FQ33" s="340">
        <v>26.78</v>
      </c>
      <c r="FR33" s="325" t="s">
        <v>1850</v>
      </c>
      <c r="FS33" s="332">
        <v>53.5</v>
      </c>
      <c r="FV33" s="535" t="s">
        <v>1827</v>
      </c>
      <c r="FW33" s="309"/>
      <c r="FX33" s="325"/>
      <c r="FY33" s="332"/>
      <c r="GB33" s="541" t="s">
        <v>1746</v>
      </c>
      <c r="GC33" s="541"/>
      <c r="GD33" s="325"/>
      <c r="GE33" s="332"/>
      <c r="GH33" s="539">
        <v>100</v>
      </c>
      <c r="GI33" s="307">
        <f>GE16+GH33-GK17</f>
        <v>70</v>
      </c>
      <c r="GJ33" s="557" t="s">
        <v>1948</v>
      </c>
      <c r="GK33" s="204">
        <v>35.1</v>
      </c>
      <c r="GN33" s="297" t="s">
        <v>1997</v>
      </c>
      <c r="GO33" s="340">
        <v>20</v>
      </c>
      <c r="GP33" s="325" t="s">
        <v>2001</v>
      </c>
      <c r="GQ33" s="332">
        <v>81</v>
      </c>
      <c r="GT33" s="541" t="s">
        <v>1746</v>
      </c>
      <c r="GU33" s="218"/>
      <c r="GV33" s="340" t="s">
        <v>506</v>
      </c>
      <c r="GZ33" s="297" t="s">
        <v>2059</v>
      </c>
      <c r="HA33" s="340">
        <v>31.78</v>
      </c>
      <c r="HB33" s="325" t="s">
        <v>2068</v>
      </c>
      <c r="HC33" s="335">
        <v>12.9</v>
      </c>
      <c r="HF33" s="559">
        <v>35</v>
      </c>
      <c r="HG33" s="315" t="s">
        <v>2089</v>
      </c>
      <c r="HH33" s="512" t="s">
        <v>2134</v>
      </c>
      <c r="HI33" s="511">
        <v>6.1</v>
      </c>
      <c r="HL33" s="545">
        <v>17</v>
      </c>
      <c r="HM33" s="535" t="s">
        <v>2156</v>
      </c>
      <c r="HP33" s="297" t="s">
        <v>2129</v>
      </c>
      <c r="HQ33" s="340">
        <f>SUM(HS24:HS29)</f>
        <v>160.6</v>
      </c>
      <c r="HR33" s="541" t="s">
        <v>2175</v>
      </c>
      <c r="HS33" s="542">
        <f>HO18+HQ36-HU24</f>
        <v>100</v>
      </c>
      <c r="HT33" s="488"/>
      <c r="HU33" s="332"/>
      <c r="HX33" s="217" t="s">
        <v>2161</v>
      </c>
      <c r="HY33" s="217">
        <v>434</v>
      </c>
      <c r="HZ33" s="285" t="s">
        <v>2136</v>
      </c>
      <c r="IA33" s="318">
        <v>4000</v>
      </c>
      <c r="IB33" s="213" t="s">
        <v>2497</v>
      </c>
      <c r="IC33" s="340">
        <f>SUM(IE54:IE58)</f>
        <v>235.25000000000003</v>
      </c>
      <c r="ID33" s="297" t="s">
        <v>2283</v>
      </c>
      <c r="IE33" s="340">
        <v>30.01</v>
      </c>
      <c r="IH33" s="504"/>
      <c r="II33" s="327"/>
      <c r="IJ33" s="297" t="s">
        <v>2771</v>
      </c>
      <c r="IK33" s="340">
        <v>27.9</v>
      </c>
      <c r="IL33" s="340" t="s">
        <v>93</v>
      </c>
      <c r="IN33" s="305" t="s">
        <v>1928</v>
      </c>
      <c r="IO33" s="260">
        <f>SUM(IQ6:IQ9)</f>
        <v>3943.01</v>
      </c>
      <c r="IP33" s="340" t="s">
        <v>2935</v>
      </c>
      <c r="IQ33" s="261">
        <v>40</v>
      </c>
      <c r="IR33" s="340" t="s">
        <v>93</v>
      </c>
      <c r="IU33" s="489"/>
      <c r="IV33" s="487" t="s">
        <v>2505</v>
      </c>
      <c r="IW33" s="493">
        <v>70</v>
      </c>
      <c r="IX33" s="340" t="s">
        <v>1673</v>
      </c>
      <c r="IZ33" s="302" t="s">
        <v>2131</v>
      </c>
      <c r="JA33" s="259">
        <f>SUM(JC17:JC25)</f>
        <v>1699.2099999999998</v>
      </c>
      <c r="JB33" s="383" t="s">
        <v>2909</v>
      </c>
      <c r="JC33" s="335">
        <v>24.71</v>
      </c>
      <c r="JF33" s="297" t="s">
        <v>2129</v>
      </c>
      <c r="JG33" s="259">
        <f>SUM(JI25:JI31)</f>
        <v>353.64</v>
      </c>
      <c r="JH33" s="217" t="s">
        <v>2161</v>
      </c>
      <c r="JI33" s="274">
        <f>158+69+34+259</f>
        <v>520</v>
      </c>
      <c r="JJ33" s="340" t="s">
        <v>93</v>
      </c>
      <c r="JL33" s="297" t="s">
        <v>2686</v>
      </c>
      <c r="JM33" s="259">
        <f>SUM(JO23:JO27)</f>
        <v>251.23</v>
      </c>
      <c r="JN33" s="545">
        <v>40</v>
      </c>
      <c r="JO33" s="550" t="s">
        <v>2657</v>
      </c>
      <c r="JQ33" s="259"/>
      <c r="JT33" s="545">
        <v>10</v>
      </c>
      <c r="JU33" s="550" t="s">
        <v>1827</v>
      </c>
      <c r="JZ33" s="297" t="s">
        <v>3034</v>
      </c>
      <c r="KA33" s="202">
        <f>80+115</f>
        <v>195</v>
      </c>
      <c r="KD33" s="302" t="s">
        <v>2836</v>
      </c>
      <c r="KE33" s="259">
        <f>SUM(KG11:KG19)</f>
        <v>1038.25</v>
      </c>
      <c r="KF33" s="545">
        <v>70</v>
      </c>
      <c r="KG33" s="550" t="s">
        <v>1827</v>
      </c>
      <c r="KH33" s="325" t="s">
        <v>2870</v>
      </c>
      <c r="KI33" s="335">
        <v>52.8</v>
      </c>
      <c r="KL33" s="297" t="s">
        <v>2989</v>
      </c>
      <c r="KM33" s="335">
        <v>50.1</v>
      </c>
      <c r="KN33" s="325" t="s">
        <v>2975</v>
      </c>
      <c r="KO33" s="202">
        <v>16.3</v>
      </c>
      <c r="KR33" s="297" t="s">
        <v>3058</v>
      </c>
      <c r="KS33" s="335">
        <v>48.11</v>
      </c>
      <c r="KT33" s="325"/>
      <c r="KU33" s="202"/>
      <c r="KV33" s="623"/>
      <c r="KW33" s="622"/>
      <c r="KX33" s="297" t="s">
        <v>3093</v>
      </c>
      <c r="KY33" s="202">
        <v>10</v>
      </c>
      <c r="KZ33" s="599"/>
      <c r="LA33" s="202"/>
      <c r="LD33" s="297" t="s">
        <v>3158</v>
      </c>
      <c r="LE33" s="202">
        <f>530+3</f>
        <v>533</v>
      </c>
      <c r="LF33" s="626" t="s">
        <v>3012</v>
      </c>
      <c r="LH33" s="446" t="s">
        <v>2974</v>
      </c>
      <c r="LI33" s="259">
        <f>SUM(LK8:LK9)</f>
        <v>393.36</v>
      </c>
      <c r="LJ33" s="297" t="s">
        <v>3229</v>
      </c>
      <c r="LK33" s="335">
        <f>15.1+24.6</f>
        <v>39.700000000000003</v>
      </c>
      <c r="LL33" s="681" t="s">
        <v>3250</v>
      </c>
      <c r="LM33" s="202">
        <v>10184</v>
      </c>
      <c r="LN33" s="256" t="s">
        <v>2982</v>
      </c>
      <c r="LO33" s="331">
        <f>SUM(LQ16:LQ18)</f>
        <v>0</v>
      </c>
      <c r="LP33" s="297" t="s">
        <v>1862</v>
      </c>
      <c r="LQ33" s="335"/>
      <c r="LR33" s="694" t="s">
        <v>3245</v>
      </c>
      <c r="LS33" s="202" t="s">
        <v>3239</v>
      </c>
      <c r="LT33" s="202"/>
    </row>
    <row r="34" spans="1:332">
      <c r="F34" s="170"/>
      <c r="K34" s="241" t="s">
        <v>1023</v>
      </c>
      <c r="L34" s="241">
        <v>76</v>
      </c>
      <c r="N34" s="340"/>
      <c r="Q34" s="143" t="s">
        <v>1014</v>
      </c>
      <c r="R34" s="340">
        <v>100.01</v>
      </c>
      <c r="T34" s="340"/>
      <c r="W34" s="243" t="s">
        <v>1069</v>
      </c>
      <c r="X34" s="243">
        <v>65</v>
      </c>
      <c r="AF34" s="340"/>
      <c r="AL34" s="340"/>
      <c r="AO34" s="247" t="s">
        <v>1105</v>
      </c>
      <c r="AP34" s="340">
        <v>50.28</v>
      </c>
      <c r="AR34" s="340"/>
      <c r="AX34" s="340"/>
      <c r="BB34" s="340"/>
      <c r="BE34" s="246" t="s">
        <v>1199</v>
      </c>
      <c r="BF34" s="340">
        <f>5+5</f>
        <v>10</v>
      </c>
      <c r="BG34" s="340" t="s">
        <v>478</v>
      </c>
      <c r="BH34" s="340"/>
      <c r="BN34" s="340"/>
      <c r="BQ34" s="217" t="s">
        <v>1234</v>
      </c>
      <c r="BR34" s="217">
        <f>950+20+20+12</f>
        <v>1002</v>
      </c>
      <c r="BW34" s="217" t="s">
        <v>1254</v>
      </c>
      <c r="BX34" s="217" t="s">
        <v>1249</v>
      </c>
      <c r="CC34" s="217" t="s">
        <v>1282</v>
      </c>
      <c r="CD34" s="217">
        <v>72.5</v>
      </c>
      <c r="CO34" s="217" t="s">
        <v>1332</v>
      </c>
      <c r="CP34" s="252">
        <f>28.9+35</f>
        <v>63.9</v>
      </c>
      <c r="CV34" s="252"/>
      <c r="CW34" s="204"/>
      <c r="DA34" s="216" t="s">
        <v>1400</v>
      </c>
      <c r="DB34" s="216"/>
      <c r="DC34" s="488" t="s">
        <v>1001</v>
      </c>
      <c r="DE34" s="204" t="s">
        <v>1463</v>
      </c>
      <c r="DF34" s="217">
        <f>17663-17242</f>
        <v>421</v>
      </c>
      <c r="DG34" s="256" t="s">
        <v>1303</v>
      </c>
      <c r="DH34" s="261">
        <f>64+32</f>
        <v>96</v>
      </c>
      <c r="DI34" s="218" t="s">
        <v>1470</v>
      </c>
      <c r="DJ34" s="477">
        <v>5000</v>
      </c>
      <c r="DM34" s="269" t="s">
        <v>1521</v>
      </c>
      <c r="DN34" s="261">
        <v>42.37</v>
      </c>
      <c r="DO34" s="197" t="s">
        <v>506</v>
      </c>
      <c r="DS34" s="269" t="s">
        <v>1562</v>
      </c>
      <c r="DT34" s="261">
        <f>6.9+70.45</f>
        <v>77.350000000000009</v>
      </c>
      <c r="DV34" s="286"/>
      <c r="DY34" s="340" t="s">
        <v>1605</v>
      </c>
      <c r="DZ34" s="340">
        <v>60.2</v>
      </c>
      <c r="EA34" s="197" t="s">
        <v>1541</v>
      </c>
      <c r="EE34" s="340" t="s">
        <v>1618</v>
      </c>
      <c r="EF34" s="340">
        <v>113.2</v>
      </c>
      <c r="EH34" s="340" t="s">
        <v>1034</v>
      </c>
      <c r="EL34" s="218" t="s">
        <v>1670</v>
      </c>
      <c r="EM34" s="218"/>
      <c r="EN34" s="340" t="s">
        <v>1149</v>
      </c>
      <c r="ER34" s="218" t="s">
        <v>1720</v>
      </c>
      <c r="ES34" s="218"/>
      <c r="ET34" s="340" t="s">
        <v>506</v>
      </c>
      <c r="EX34" s="218"/>
      <c r="EY34" s="218"/>
      <c r="EZ34" s="325"/>
      <c r="FA34" s="260"/>
      <c r="FD34" s="285" t="s">
        <v>1759</v>
      </c>
      <c r="FE34" s="285"/>
      <c r="FF34" s="325" t="s">
        <v>1758</v>
      </c>
      <c r="FG34" s="261">
        <v>30</v>
      </c>
      <c r="FJ34" s="535" t="s">
        <v>1812</v>
      </c>
      <c r="FK34" s="218"/>
      <c r="FL34" s="285" t="s">
        <v>1497</v>
      </c>
      <c r="FM34" s="318" t="s">
        <v>1079</v>
      </c>
      <c r="FP34" s="297" t="s">
        <v>1845</v>
      </c>
      <c r="FQ34" s="340">
        <v>7</v>
      </c>
      <c r="FR34" s="325" t="s">
        <v>1878</v>
      </c>
      <c r="FS34" s="332">
        <v>-738</v>
      </c>
      <c r="FV34" s="535" t="s">
        <v>1916</v>
      </c>
      <c r="FW34" s="309"/>
      <c r="FX34" s="325"/>
      <c r="FY34" s="332"/>
      <c r="GB34" s="539">
        <v>200</v>
      </c>
      <c r="GC34" s="307">
        <f>FY16+GB34-GE16</f>
        <v>190</v>
      </c>
      <c r="GD34" s="325"/>
      <c r="GE34" s="332"/>
      <c r="GH34" s="309" t="s">
        <v>1968</v>
      </c>
      <c r="GI34" s="309"/>
      <c r="GJ34" s="325" t="s">
        <v>1850</v>
      </c>
      <c r="GK34" s="332">
        <v>20</v>
      </c>
      <c r="GN34" s="297" t="s">
        <v>1987</v>
      </c>
      <c r="GO34" s="340">
        <v>23.9</v>
      </c>
      <c r="GP34" s="325" t="s">
        <v>2022</v>
      </c>
      <c r="GQ34" s="332">
        <v>298</v>
      </c>
      <c r="GT34" s="539">
        <v>280</v>
      </c>
      <c r="GU34" s="541"/>
      <c r="GV34" s="340" t="s">
        <v>1673</v>
      </c>
      <c r="GZ34" s="297" t="s">
        <v>2061</v>
      </c>
      <c r="HA34" s="340">
        <v>64.86</v>
      </c>
      <c r="HB34" s="325" t="s">
        <v>2068</v>
      </c>
      <c r="HC34" s="335">
        <v>22.5</v>
      </c>
      <c r="HF34" s="559">
        <v>40</v>
      </c>
      <c r="HG34" s="535" t="s">
        <v>2087</v>
      </c>
      <c r="HL34" s="545">
        <v>6</v>
      </c>
      <c r="HM34" s="535" t="s">
        <v>2144</v>
      </c>
      <c r="HP34" s="297" t="s">
        <v>2635</v>
      </c>
      <c r="HR34" s="545">
        <v>4</v>
      </c>
      <c r="HS34" s="535" t="s">
        <v>2205</v>
      </c>
      <c r="HT34" s="505"/>
      <c r="HU34" s="332"/>
      <c r="HX34" s="540">
        <v>34.909999999999997</v>
      </c>
      <c r="HY34" s="217"/>
      <c r="HZ34" s="285" t="s">
        <v>1984</v>
      </c>
      <c r="IA34" s="318">
        <v>25000</v>
      </c>
      <c r="ID34" s="297" t="s">
        <v>2292</v>
      </c>
      <c r="IE34" s="340">
        <v>40.840000000000003</v>
      </c>
      <c r="IF34" s="340" t="s">
        <v>506</v>
      </c>
      <c r="IH34" s="504"/>
      <c r="II34" s="327"/>
      <c r="IJ34" s="297" t="s">
        <v>2375</v>
      </c>
      <c r="IK34" s="340">
        <v>84.86</v>
      </c>
      <c r="IL34" s="340" t="s">
        <v>2324</v>
      </c>
      <c r="IN34" s="243" t="s">
        <v>1929</v>
      </c>
      <c r="IO34" s="260">
        <f>SUM(IQ12:IQ12)</f>
        <v>1833.7466666666667</v>
      </c>
      <c r="IP34" s="217" t="s">
        <v>2161</v>
      </c>
      <c r="IQ34" s="274">
        <f>102+308+94+155</f>
        <v>659</v>
      </c>
      <c r="IR34" s="340" t="s">
        <v>2324</v>
      </c>
      <c r="IU34" s="489"/>
      <c r="IV34" s="325" t="s">
        <v>2488</v>
      </c>
      <c r="IW34" s="340">
        <v>8.67</v>
      </c>
      <c r="IZ34" s="297" t="s">
        <v>2129</v>
      </c>
      <c r="JA34" s="259">
        <f>SUM(JC26:JC34)</f>
        <v>354.85099999999994</v>
      </c>
      <c r="JB34" s="297" t="s">
        <v>2594</v>
      </c>
      <c r="JC34" s="202">
        <v>55</v>
      </c>
      <c r="JF34" s="297" t="s">
        <v>2686</v>
      </c>
      <c r="JG34" s="259">
        <f>SUM(JI27:JI31)</f>
        <v>303.64</v>
      </c>
      <c r="JH34" s="540">
        <v>23.04</v>
      </c>
      <c r="JI34" s="274"/>
      <c r="JJ34" s="340" t="s">
        <v>1034</v>
      </c>
      <c r="JN34" s="545">
        <v>50</v>
      </c>
      <c r="JO34" s="550" t="s">
        <v>2648</v>
      </c>
      <c r="JR34" s="309" t="s">
        <v>2725</v>
      </c>
      <c r="JS34" s="539">
        <v>100</v>
      </c>
      <c r="JT34" s="545">
        <v>10</v>
      </c>
      <c r="JU34" s="550" t="s">
        <v>2703</v>
      </c>
      <c r="JZ34" s="297" t="s">
        <v>2761</v>
      </c>
      <c r="KA34" s="202">
        <v>175</v>
      </c>
      <c r="KD34" s="297" t="s">
        <v>2129</v>
      </c>
      <c r="KE34" s="259">
        <f>SUM(KG20:KG28)</f>
        <v>457.56100000000004</v>
      </c>
      <c r="KF34" s="545">
        <v>45</v>
      </c>
      <c r="KG34" s="550" t="s">
        <v>2178</v>
      </c>
      <c r="KH34" s="325" t="s">
        <v>2879</v>
      </c>
      <c r="KI34" s="340">
        <v>104</v>
      </c>
      <c r="KL34" s="297" t="s">
        <v>2997</v>
      </c>
      <c r="KM34" s="335">
        <v>121.7</v>
      </c>
      <c r="KN34" s="325" t="s">
        <v>2976</v>
      </c>
      <c r="KO34" s="202">
        <v>52.8</v>
      </c>
      <c r="KR34" s="297" t="s">
        <v>3059</v>
      </c>
      <c r="KS34" s="335">
        <v>60.23</v>
      </c>
      <c r="KT34" s="325"/>
      <c r="KU34" s="202"/>
      <c r="KV34" s="611"/>
      <c r="KW34" s="610"/>
      <c r="KX34" s="297" t="s">
        <v>3092</v>
      </c>
      <c r="KY34" s="202">
        <v>13.5</v>
      </c>
      <c r="KZ34" s="325" t="s">
        <v>3012</v>
      </c>
      <c r="LD34" s="297" t="s">
        <v>3164</v>
      </c>
      <c r="LE34" s="202">
        <v>42.9</v>
      </c>
      <c r="LF34" s="626" t="s">
        <v>3162</v>
      </c>
      <c r="LH34" s="301" t="s">
        <v>3198</v>
      </c>
      <c r="LI34" s="259">
        <f>SUM(LK10:LK16)</f>
        <v>1005.08</v>
      </c>
      <c r="LJ34" s="297" t="s">
        <v>3219</v>
      </c>
      <c r="LK34" s="335">
        <v>50.36</v>
      </c>
      <c r="LL34" s="668" t="s">
        <v>3197</v>
      </c>
      <c r="LM34" s="202">
        <v>28.82</v>
      </c>
      <c r="LN34" s="448" t="s">
        <v>2836</v>
      </c>
      <c r="LO34" s="259">
        <f>SUM(LQ20:LQ27)</f>
        <v>0</v>
      </c>
      <c r="LP34" s="217" t="s">
        <v>3214</v>
      </c>
      <c r="LQ34" s="274"/>
      <c r="LR34" s="694" t="s">
        <v>3271</v>
      </c>
      <c r="LS34" s="202" t="s">
        <v>3270</v>
      </c>
      <c r="LT34" s="202"/>
    </row>
    <row r="35" spans="1:332" ht="14.25" customHeight="1">
      <c r="A35" s="760"/>
      <c r="B35" s="760"/>
      <c r="E35" s="172" t="s">
        <v>403</v>
      </c>
      <c r="F35" s="170">
        <v>250</v>
      </c>
      <c r="G35" s="760"/>
      <c r="H35" s="760"/>
      <c r="W35" s="243" t="s">
        <v>1068</v>
      </c>
      <c r="X35" s="243">
        <v>20.001000000000001</v>
      </c>
      <c r="Z35" s="340"/>
      <c r="AO35" s="246" t="s">
        <v>1118</v>
      </c>
      <c r="AP35" s="340">
        <v>26.26</v>
      </c>
      <c r="AU35" s="340" t="s">
        <v>1169</v>
      </c>
      <c r="AV35" s="340">
        <v>80</v>
      </c>
      <c r="BE35" s="246" t="s">
        <v>1205</v>
      </c>
      <c r="BF35" s="340">
        <v>95</v>
      </c>
      <c r="BK35" s="217" t="s">
        <v>1173</v>
      </c>
      <c r="BL35" s="217">
        <v>200</v>
      </c>
      <c r="BW35" s="217" t="s">
        <v>1259</v>
      </c>
      <c r="BX35" s="217">
        <v>65</v>
      </c>
      <c r="CC35" s="217" t="s">
        <v>1280</v>
      </c>
      <c r="CD35" s="217">
        <v>83.85</v>
      </c>
      <c r="CI35" s="217" t="s">
        <v>1295</v>
      </c>
      <c r="CJ35" s="252">
        <v>46.65</v>
      </c>
      <c r="CK35" s="265"/>
      <c r="CO35" s="217" t="s">
        <v>1330</v>
      </c>
      <c r="CP35" s="217">
        <f>11.3+50.4</f>
        <v>61.7</v>
      </c>
      <c r="CQ35" s="265"/>
      <c r="CU35" s="217" t="s">
        <v>1348</v>
      </c>
      <c r="CV35" s="263">
        <v>412.25</v>
      </c>
      <c r="CW35" s="325" t="s">
        <v>1034</v>
      </c>
      <c r="DA35" s="216" t="s">
        <v>1403</v>
      </c>
      <c r="DB35" s="216"/>
      <c r="DC35" s="204" t="s">
        <v>243</v>
      </c>
      <c r="DE35" s="204" t="s">
        <v>1465</v>
      </c>
      <c r="DF35" s="217">
        <f>46147-45991</f>
        <v>156</v>
      </c>
      <c r="DG35" s="256" t="s">
        <v>1428</v>
      </c>
      <c r="DH35" s="261">
        <f>16.98+17.17+13.1+13.72+14.74+13.83</f>
        <v>89.54</v>
      </c>
      <c r="DI35" s="218" t="s">
        <v>1456</v>
      </c>
      <c r="DJ35" s="477">
        <v>5000</v>
      </c>
      <c r="DM35" s="269"/>
      <c r="DN35" s="261"/>
      <c r="DO35" s="197" t="s">
        <v>1541</v>
      </c>
      <c r="DP35" s="548"/>
      <c r="DS35" s="269" t="s">
        <v>1533</v>
      </c>
      <c r="DT35" s="261">
        <v>68.97</v>
      </c>
      <c r="DU35" s="197" t="s">
        <v>506</v>
      </c>
      <c r="DY35" s="265" t="s">
        <v>1776</v>
      </c>
      <c r="DZ35" s="340">
        <f>1379-100</f>
        <v>1279</v>
      </c>
      <c r="EA35" s="340" t="s">
        <v>93</v>
      </c>
      <c r="EG35" s="285"/>
      <c r="EL35" s="218" t="s">
        <v>1671</v>
      </c>
      <c r="EM35" s="218"/>
      <c r="EN35" s="340" t="s">
        <v>1034</v>
      </c>
      <c r="ER35" s="218"/>
      <c r="ES35" s="218"/>
      <c r="ET35" s="340" t="s">
        <v>1673</v>
      </c>
      <c r="EX35" s="285" t="s">
        <v>1717</v>
      </c>
      <c r="EY35" s="285">
        <v>202.2</v>
      </c>
      <c r="FD35" s="285" t="s">
        <v>1754</v>
      </c>
      <c r="FE35" s="285">
        <v>10.000999999999999</v>
      </c>
      <c r="FF35" s="325" t="s">
        <v>1770</v>
      </c>
      <c r="FG35" s="261">
        <v>67.400000000000006</v>
      </c>
      <c r="FJ35" s="204" t="s">
        <v>1779</v>
      </c>
      <c r="FK35" s="340">
        <v>720</v>
      </c>
      <c r="FL35" s="285" t="s">
        <v>1696</v>
      </c>
      <c r="FM35" s="318">
        <v>10005</v>
      </c>
      <c r="FP35" s="297" t="s">
        <v>1861</v>
      </c>
      <c r="FQ35" s="340">
        <v>49.23</v>
      </c>
      <c r="FR35" s="325"/>
      <c r="FS35" s="332"/>
      <c r="FV35" s="535" t="s">
        <v>1909</v>
      </c>
      <c r="FW35" s="309"/>
      <c r="FX35" s="340" t="s">
        <v>506</v>
      </c>
      <c r="GB35" s="309" t="s">
        <v>1922</v>
      </c>
      <c r="GC35" s="309"/>
      <c r="GH35" s="535" t="s">
        <v>1960</v>
      </c>
      <c r="GI35" s="309"/>
      <c r="GJ35" s="325" t="s">
        <v>1974</v>
      </c>
      <c r="GK35" s="332">
        <v>20</v>
      </c>
      <c r="GN35" s="297" t="s">
        <v>1989</v>
      </c>
      <c r="GO35" s="340">
        <v>95</v>
      </c>
      <c r="GT35" s="309" t="s">
        <v>2043</v>
      </c>
      <c r="GU35" s="307">
        <f>GQ17+GT34-GW16</f>
        <v>262</v>
      </c>
      <c r="GV35" s="340" t="s">
        <v>93</v>
      </c>
      <c r="GZ35" s="297" t="s">
        <v>2069</v>
      </c>
      <c r="HA35" s="340">
        <v>32.6</v>
      </c>
      <c r="HB35" s="325" t="s">
        <v>2081</v>
      </c>
      <c r="HC35" s="335">
        <v>233.71</v>
      </c>
      <c r="HF35" s="559">
        <v>40</v>
      </c>
      <c r="HG35" s="535" t="s">
        <v>2112</v>
      </c>
      <c r="HH35" s="340" t="s">
        <v>506</v>
      </c>
      <c r="HL35" s="505" t="s">
        <v>2121</v>
      </c>
      <c r="HM35" s="491">
        <v>24.7</v>
      </c>
      <c r="HQ35" s="308"/>
      <c r="HR35" s="545">
        <v>40</v>
      </c>
      <c r="HS35" s="535" t="s">
        <v>2087</v>
      </c>
      <c r="HT35" s="505"/>
      <c r="HU35" s="332"/>
      <c r="HV35" s="535" t="s">
        <v>2224</v>
      </c>
      <c r="HW35" s="539">
        <v>220</v>
      </c>
      <c r="HX35" s="541" t="s">
        <v>1411</v>
      </c>
      <c r="HY35" s="542">
        <f>HU24+HW35-IA28</f>
        <v>320</v>
      </c>
      <c r="HZ35" s="285" t="s">
        <v>1638</v>
      </c>
      <c r="IA35" s="318">
        <v>2000</v>
      </c>
      <c r="ID35" s="297" t="s">
        <v>2301</v>
      </c>
      <c r="IE35" s="340">
        <v>47.96</v>
      </c>
      <c r="IF35" s="340" t="s">
        <v>93</v>
      </c>
      <c r="IH35" s="504"/>
      <c r="II35" s="327"/>
      <c r="IJ35" s="297" t="s">
        <v>2377</v>
      </c>
      <c r="IK35" s="340">
        <v>56.9</v>
      </c>
      <c r="IL35" s="340" t="s">
        <v>1673</v>
      </c>
      <c r="IN35" s="310" t="s">
        <v>1392</v>
      </c>
      <c r="IO35" s="259">
        <v>0</v>
      </c>
      <c r="IP35" s="540">
        <v>44.08</v>
      </c>
      <c r="IQ35" s="274"/>
      <c r="IR35" s="340" t="s">
        <v>1673</v>
      </c>
      <c r="IU35" s="560"/>
      <c r="IV35" s="325" t="s">
        <v>2488</v>
      </c>
      <c r="IW35" s="335">
        <v>23.08</v>
      </c>
      <c r="IZ35" s="297" t="s">
        <v>2686</v>
      </c>
      <c r="JA35" s="259">
        <f>SUM(JC28:JC34)</f>
        <v>337.85099999999994</v>
      </c>
      <c r="JB35" s="340" t="s">
        <v>2936</v>
      </c>
      <c r="JC35" s="261">
        <v>16.87</v>
      </c>
      <c r="JH35" s="541" t="s">
        <v>1411</v>
      </c>
      <c r="JI35" s="542">
        <f>JE21+JG37-JK22</f>
        <v>100</v>
      </c>
      <c r="JL35" s="535" t="s">
        <v>2685</v>
      </c>
      <c r="JM35" s="539">
        <f>50+400+200+100</f>
        <v>750</v>
      </c>
      <c r="JN35" s="545">
        <v>9</v>
      </c>
      <c r="JO35" s="550" t="s">
        <v>2647</v>
      </c>
      <c r="JP35" s="340" t="s">
        <v>506</v>
      </c>
      <c r="JT35" s="545">
        <v>10</v>
      </c>
      <c r="JU35" s="550" t="s">
        <v>2711</v>
      </c>
      <c r="JZ35" s="297" t="s">
        <v>2809</v>
      </c>
      <c r="KA35" s="335">
        <v>10</v>
      </c>
      <c r="KD35" s="297" t="s">
        <v>2858</v>
      </c>
      <c r="KE35" s="553">
        <f>SUM(KG22:KG28)</f>
        <v>339.56</v>
      </c>
      <c r="KF35" s="545">
        <v>30</v>
      </c>
      <c r="KG35" s="550" t="s">
        <v>2856</v>
      </c>
      <c r="KH35" s="325" t="s">
        <v>2361</v>
      </c>
      <c r="KJ35" s="462" t="s">
        <v>2654</v>
      </c>
      <c r="KK35" s="462"/>
      <c r="KL35" s="340" t="s">
        <v>2941</v>
      </c>
      <c r="KM35" s="261">
        <v>400</v>
      </c>
      <c r="KN35" s="325" t="s">
        <v>2977</v>
      </c>
      <c r="KO35" s="202">
        <v>57.6</v>
      </c>
      <c r="KP35" s="462" t="s">
        <v>2654</v>
      </c>
      <c r="KQ35" s="462"/>
      <c r="KR35" s="297" t="s">
        <v>3065</v>
      </c>
      <c r="KS35" s="335">
        <v>40.4</v>
      </c>
      <c r="KT35" s="325" t="s">
        <v>3012</v>
      </c>
      <c r="KV35" s="610"/>
      <c r="KW35" s="610"/>
      <c r="KX35" s="297" t="s">
        <v>3108</v>
      </c>
      <c r="KY35" s="202">
        <f>12.5+36</f>
        <v>48.5</v>
      </c>
      <c r="KZ35" s="325" t="s">
        <v>3085</v>
      </c>
      <c r="LA35" s="285"/>
      <c r="LB35" s="620" t="s">
        <v>2654</v>
      </c>
      <c r="LC35" s="620"/>
      <c r="LD35" s="297" t="s">
        <v>3165</v>
      </c>
      <c r="LE35" s="202">
        <v>36.9</v>
      </c>
      <c r="LF35" s="622" t="s">
        <v>506</v>
      </c>
      <c r="LH35" s="256" t="s">
        <v>2982</v>
      </c>
      <c r="LI35" s="331">
        <f>SUM(LK17:LK19)</f>
        <v>685.72</v>
      </c>
      <c r="LJ35" s="297" t="s">
        <v>3221</v>
      </c>
      <c r="LK35" s="335">
        <v>172.3</v>
      </c>
      <c r="LL35" s="662" t="s">
        <v>3213</v>
      </c>
      <c r="LM35" s="202">
        <v>21.1</v>
      </c>
      <c r="LN35" s="297" t="s">
        <v>2129</v>
      </c>
      <c r="LO35" s="259">
        <f>SUM(LQ28:LQ33)</f>
        <v>0</v>
      </c>
      <c r="LP35" s="540">
        <v>22.09</v>
      </c>
      <c r="LQ35" s="274"/>
      <c r="LR35" s="694" t="s">
        <v>3224</v>
      </c>
      <c r="LS35" s="202">
        <v>37.99</v>
      </c>
      <c r="LT35" s="202"/>
    </row>
    <row r="36" spans="1:332" ht="14.25" customHeight="1">
      <c r="B36" s="340"/>
      <c r="H36" s="340"/>
      <c r="K36" s="241" t="s">
        <v>1020</v>
      </c>
      <c r="L36" s="241">
        <f>1070+321</f>
        <v>1391</v>
      </c>
      <c r="Q36" s="241" t="s">
        <v>1021</v>
      </c>
      <c r="R36" s="241">
        <v>0</v>
      </c>
      <c r="W36" s="243" t="s">
        <v>1064</v>
      </c>
      <c r="X36" s="243">
        <f>10+5</f>
        <v>15</v>
      </c>
      <c r="AO36" s="246" t="s">
        <v>1064</v>
      </c>
      <c r="AP36" s="340">
        <v>10</v>
      </c>
      <c r="AU36" s="340" t="s">
        <v>1153</v>
      </c>
      <c r="AV36" s="340">
        <v>150</v>
      </c>
      <c r="BE36" s="340" t="s">
        <v>1187</v>
      </c>
      <c r="BF36" s="340">
        <f>108.3+39.8</f>
        <v>148.1</v>
      </c>
      <c r="BK36" s="217" t="s">
        <v>1167</v>
      </c>
      <c r="BL36" s="217">
        <v>400</v>
      </c>
      <c r="BQ36" s="217" t="s">
        <v>1247</v>
      </c>
      <c r="BR36" s="217">
        <v>300</v>
      </c>
      <c r="BW36" s="217" t="s">
        <v>1264</v>
      </c>
      <c r="BX36" s="217">
        <v>32.299999999999997</v>
      </c>
      <c r="CC36" s="217" t="s">
        <v>1271</v>
      </c>
      <c r="CD36" s="217">
        <v>535</v>
      </c>
      <c r="CI36" s="217" t="s">
        <v>1309</v>
      </c>
      <c r="CJ36" s="217">
        <v>39</v>
      </c>
      <c r="CO36" s="217" t="s">
        <v>1322</v>
      </c>
      <c r="CP36" s="217">
        <v>28.85</v>
      </c>
      <c r="CU36" s="217" t="s">
        <v>1349</v>
      </c>
      <c r="CV36" s="217">
        <v>33</v>
      </c>
      <c r="DA36" s="216"/>
      <c r="DB36" s="216"/>
      <c r="DC36" s="325" t="s">
        <v>1034</v>
      </c>
      <c r="DE36" s="204" t="s">
        <v>1476</v>
      </c>
      <c r="DF36" s="217">
        <v>348.15</v>
      </c>
      <c r="DG36" s="269" t="s">
        <v>1404</v>
      </c>
      <c r="DH36" s="261">
        <v>72.33</v>
      </c>
      <c r="DI36" s="218" t="s">
        <v>1485</v>
      </c>
      <c r="DJ36" s="377">
        <v>10000</v>
      </c>
      <c r="DM36" s="463" t="s">
        <v>1409</v>
      </c>
      <c r="DN36" s="275">
        <f>DJ16+DM38-DP13</f>
        <v>169.99999999999997</v>
      </c>
      <c r="DO36" s="197" t="s">
        <v>992</v>
      </c>
      <c r="DP36" s="261"/>
      <c r="DS36" s="747" t="s">
        <v>1536</v>
      </c>
      <c r="DT36" s="748"/>
      <c r="DU36" s="197" t="s">
        <v>1541</v>
      </c>
      <c r="DV36" s="548"/>
      <c r="DY36" s="340" t="s">
        <v>1777</v>
      </c>
      <c r="DZ36" s="340">
        <v>100</v>
      </c>
      <c r="EA36" s="340" t="s">
        <v>1149</v>
      </c>
      <c r="EE36" s="340" t="s">
        <v>1571</v>
      </c>
      <c r="EF36" s="340">
        <v>700</v>
      </c>
      <c r="EL36" s="218" t="s">
        <v>3073</v>
      </c>
      <c r="EM36" s="218"/>
      <c r="ER36" s="285" t="s">
        <v>1711</v>
      </c>
      <c r="ES36" s="285">
        <v>110</v>
      </c>
      <c r="ET36" s="340" t="s">
        <v>1541</v>
      </c>
      <c r="EX36" s="285" t="s">
        <v>1718</v>
      </c>
      <c r="EY36" s="285">
        <v>22.4</v>
      </c>
      <c r="EZ36" s="340" t="s">
        <v>506</v>
      </c>
      <c r="FD36" s="204" t="s">
        <v>1762</v>
      </c>
      <c r="FE36" s="285">
        <v>19.36</v>
      </c>
      <c r="FF36" s="325" t="s">
        <v>1771</v>
      </c>
      <c r="FG36" s="261">
        <v>87</v>
      </c>
      <c r="FJ36" s="285" t="s">
        <v>1790</v>
      </c>
      <c r="FK36" s="285">
        <f>58.1+1.5</f>
        <v>59.6</v>
      </c>
      <c r="FL36" s="285" t="s">
        <v>1695</v>
      </c>
      <c r="FM36" s="318">
        <v>0</v>
      </c>
      <c r="FP36" s="297" t="s">
        <v>1854</v>
      </c>
      <c r="FQ36" s="340">
        <v>80</v>
      </c>
      <c r="FR36" s="340" t="s">
        <v>506</v>
      </c>
      <c r="FV36" s="204" t="s">
        <v>1870</v>
      </c>
      <c r="FW36" s="340">
        <v>9.9</v>
      </c>
      <c r="FX36" s="340" t="s">
        <v>1673</v>
      </c>
      <c r="GB36" s="535" t="s">
        <v>1827</v>
      </c>
      <c r="GC36" s="309"/>
      <c r="GH36" s="535" t="s">
        <v>1985</v>
      </c>
      <c r="GI36" s="309"/>
      <c r="GJ36" s="325" t="s">
        <v>1974</v>
      </c>
      <c r="GK36" s="204">
        <v>63.6</v>
      </c>
      <c r="GN36" s="297" t="s">
        <v>1991</v>
      </c>
      <c r="GO36" s="340">
        <v>63.06</v>
      </c>
      <c r="GP36" s="340" t="s">
        <v>2234</v>
      </c>
      <c r="GT36" s="561">
        <v>71.8</v>
      </c>
      <c r="GU36" s="535" t="s">
        <v>2056</v>
      </c>
      <c r="GV36" s="340" t="s">
        <v>1149</v>
      </c>
      <c r="GZ36" s="297" t="s">
        <v>2080</v>
      </c>
      <c r="HA36" s="340">
        <v>40.479999999999997</v>
      </c>
      <c r="HB36" s="325" t="s">
        <v>2067</v>
      </c>
      <c r="HC36" s="335">
        <v>71</v>
      </c>
      <c r="HF36" s="559">
        <v>50</v>
      </c>
      <c r="HG36" s="535" t="s">
        <v>1827</v>
      </c>
      <c r="HH36" s="340" t="s">
        <v>1673</v>
      </c>
      <c r="HL36" s="505" t="s">
        <v>2153</v>
      </c>
      <c r="HM36" s="562">
        <v>20760</v>
      </c>
      <c r="HP36" s="535" t="s">
        <v>2188</v>
      </c>
      <c r="HQ36" s="539">
        <v>100</v>
      </c>
      <c r="HR36" s="545">
        <v>20</v>
      </c>
      <c r="HS36" s="535" t="s">
        <v>2177</v>
      </c>
      <c r="HT36" s="512"/>
      <c r="HU36" s="332"/>
      <c r="HX36" s="545">
        <v>140</v>
      </c>
      <c r="HY36" s="535" t="s">
        <v>2248</v>
      </c>
      <c r="HZ36" s="285" t="s">
        <v>1639</v>
      </c>
      <c r="IA36" s="318">
        <v>4000</v>
      </c>
      <c r="IC36" s="489"/>
      <c r="ID36" s="340" t="s">
        <v>2162</v>
      </c>
      <c r="IE36" s="204">
        <v>52</v>
      </c>
      <c r="IH36" s="504"/>
      <c r="II36" s="327"/>
      <c r="IJ36" s="297" t="s">
        <v>2376</v>
      </c>
      <c r="IK36" s="340">
        <v>47.08</v>
      </c>
      <c r="IL36" s="340" t="s">
        <v>1034</v>
      </c>
      <c r="IN36" s="300" t="s">
        <v>2130</v>
      </c>
      <c r="IO36" s="259">
        <f>SUM(IQ10:IQ11)</f>
        <v>1105.4099999999999</v>
      </c>
      <c r="IP36" s="541" t="s">
        <v>1411</v>
      </c>
      <c r="IQ36" s="467">
        <f>IM23+IO40-IS19</f>
        <v>680</v>
      </c>
      <c r="IR36" s="340" t="s">
        <v>1034</v>
      </c>
      <c r="IV36" s="325" t="s">
        <v>2496</v>
      </c>
      <c r="IW36" s="335">
        <v>6.37</v>
      </c>
      <c r="JB36" s="217" t="s">
        <v>2161</v>
      </c>
      <c r="JC36" s="274">
        <f>204+76+114+103</f>
        <v>497</v>
      </c>
      <c r="JH36" s="545">
        <v>8</v>
      </c>
      <c r="JI36" s="550" t="s">
        <v>2602</v>
      </c>
      <c r="JN36" s="545">
        <v>10</v>
      </c>
      <c r="JO36" s="550" t="s">
        <v>2658</v>
      </c>
      <c r="JP36" s="340" t="s">
        <v>93</v>
      </c>
      <c r="JS36" s="489"/>
      <c r="JT36" s="340" t="s">
        <v>2734</v>
      </c>
      <c r="JU36" s="335">
        <v>139</v>
      </c>
      <c r="JZ36" s="297" t="s">
        <v>2785</v>
      </c>
      <c r="KA36" s="202">
        <f>45.73</f>
        <v>45.73</v>
      </c>
      <c r="KD36" s="309" t="s">
        <v>2871</v>
      </c>
      <c r="KE36" s="563">
        <v>100</v>
      </c>
      <c r="KF36" s="545">
        <v>6</v>
      </c>
      <c r="KG36" s="550" t="s">
        <v>2854</v>
      </c>
      <c r="KH36" s="325" t="s">
        <v>2889</v>
      </c>
      <c r="KI36" s="259">
        <v>194</v>
      </c>
      <c r="KJ36" s="445" t="s">
        <v>1928</v>
      </c>
      <c r="KK36" s="260">
        <f>SUM(KM6:KM6)</f>
        <v>1900.1</v>
      </c>
      <c r="KL36" s="217" t="s">
        <v>3214</v>
      </c>
      <c r="KM36" s="274">
        <f>166+85+79+40</f>
        <v>370</v>
      </c>
      <c r="KN36" s="325" t="s">
        <v>2942</v>
      </c>
      <c r="KO36" s="202"/>
      <c r="KP36" s="445" t="s">
        <v>1928</v>
      </c>
      <c r="KQ36" s="260">
        <f>SUM(KS6:KS7)</f>
        <v>3900.1099999999997</v>
      </c>
      <c r="KR36" s="297" t="s">
        <v>3061</v>
      </c>
      <c r="KS36" s="335">
        <f>30.8+1.8+1</f>
        <v>33.6</v>
      </c>
      <c r="KT36" s="325" t="s">
        <v>3011</v>
      </c>
      <c r="KU36" s="285"/>
      <c r="KV36" s="611"/>
      <c r="KW36" s="610"/>
      <c r="KX36" s="297" t="s">
        <v>3097</v>
      </c>
      <c r="KY36" s="202">
        <f>20+22+11+15+9+9</f>
        <v>86</v>
      </c>
      <c r="KZ36" s="325" t="s">
        <v>2670</v>
      </c>
      <c r="LB36" s="445" t="s">
        <v>1928</v>
      </c>
      <c r="LC36" s="260">
        <f>SUM(LE6:LE8)</f>
        <v>9900.01</v>
      </c>
      <c r="LD36" s="297" t="s">
        <v>3183</v>
      </c>
      <c r="LE36" s="335">
        <v>12</v>
      </c>
      <c r="LF36" s="622" t="s">
        <v>3021</v>
      </c>
      <c r="LH36" s="448" t="s">
        <v>2836</v>
      </c>
      <c r="LI36" s="259">
        <f>SUM(LK21:LK27)</f>
        <v>648.76</v>
      </c>
      <c r="LJ36" s="297" t="s">
        <v>3238</v>
      </c>
      <c r="LK36" s="335">
        <v>37.4</v>
      </c>
      <c r="LL36" s="659" t="s">
        <v>3012</v>
      </c>
      <c r="LN36" s="297" t="s">
        <v>2858</v>
      </c>
      <c r="LO36" s="553">
        <f>SUM(LQ30:LQ33)</f>
        <v>0</v>
      </c>
      <c r="LP36" s="541"/>
      <c r="LQ36" s="542"/>
      <c r="LR36" s="694" t="s">
        <v>3253</v>
      </c>
      <c r="LS36" s="202">
        <v>10184</v>
      </c>
      <c r="LT36" s="202"/>
    </row>
    <row r="37" spans="1:332" ht="12.75" customHeight="1" thickBot="1">
      <c r="W37" s="243" t="s">
        <v>1067</v>
      </c>
      <c r="X37" s="243">
        <f>70+16</f>
        <v>86</v>
      </c>
      <c r="AO37" s="246" t="s">
        <v>1128</v>
      </c>
      <c r="AP37" s="340">
        <v>22</v>
      </c>
      <c r="AU37" s="340" t="s">
        <v>1165</v>
      </c>
      <c r="AV37" s="340">
        <v>118</v>
      </c>
      <c r="BE37" s="340" t="s">
        <v>1198</v>
      </c>
      <c r="BF37" s="340">
        <v>134</v>
      </c>
      <c r="BK37" s="217" t="s">
        <v>1176</v>
      </c>
      <c r="BL37" s="217">
        <v>250</v>
      </c>
      <c r="BQ37" s="217" t="s">
        <v>1167</v>
      </c>
      <c r="BR37" s="217">
        <v>300</v>
      </c>
      <c r="CC37" s="217" t="s">
        <v>1277</v>
      </c>
      <c r="CD37" s="217">
        <v>180</v>
      </c>
      <c r="CI37" s="217" t="s">
        <v>1310</v>
      </c>
      <c r="CJ37" s="217">
        <v>58</v>
      </c>
      <c r="CO37" s="217" t="s">
        <v>1331</v>
      </c>
      <c r="CP37" s="217">
        <v>39</v>
      </c>
      <c r="CU37" s="217" t="s">
        <v>1346</v>
      </c>
      <c r="CV37" s="217">
        <v>10.000999999999999</v>
      </c>
      <c r="DA37" s="217" t="s">
        <v>1398</v>
      </c>
      <c r="DB37" s="204">
        <v>192.6</v>
      </c>
      <c r="DG37" s="269" t="s">
        <v>1405</v>
      </c>
      <c r="DH37" s="261">
        <v>127.12</v>
      </c>
      <c r="DI37" s="483"/>
      <c r="DJ37" s="544"/>
      <c r="DM37" s="461" t="s">
        <v>1522</v>
      </c>
      <c r="DN37" s="275"/>
      <c r="DO37" s="285" t="s">
        <v>93</v>
      </c>
      <c r="DP37" s="335"/>
      <c r="DS37" s="281">
        <v>300</v>
      </c>
      <c r="DT37" s="280">
        <f>DP13+DS37-DV12</f>
        <v>280.00099999999998</v>
      </c>
      <c r="DU37" s="285" t="s">
        <v>93</v>
      </c>
      <c r="DV37" s="335"/>
      <c r="DY37" s="340" t="s">
        <v>1610</v>
      </c>
      <c r="DZ37" s="340">
        <v>49.8</v>
      </c>
      <c r="EA37" s="340" t="s">
        <v>1034</v>
      </c>
      <c r="EE37" s="340" t="s">
        <v>1643</v>
      </c>
      <c r="EL37" s="218" t="s">
        <v>1665</v>
      </c>
      <c r="EM37" s="218"/>
      <c r="ER37" s="285" t="s">
        <v>1271</v>
      </c>
      <c r="ES37" s="285">
        <v>749</v>
      </c>
      <c r="ET37" s="340" t="s">
        <v>93</v>
      </c>
      <c r="EX37" s="204" t="s">
        <v>1731</v>
      </c>
      <c r="EY37" s="340">
        <v>7</v>
      </c>
      <c r="EZ37" s="340" t="s">
        <v>1673</v>
      </c>
      <c r="FD37" s="204" t="s">
        <v>1762</v>
      </c>
      <c r="FE37" s="285">
        <v>14.08</v>
      </c>
      <c r="FF37" s="325" t="s">
        <v>1772</v>
      </c>
      <c r="FG37" s="261">
        <v>211</v>
      </c>
      <c r="FJ37" s="557" t="s">
        <v>1800</v>
      </c>
      <c r="FK37" s="285">
        <v>26.29</v>
      </c>
      <c r="FL37" s="488" t="s">
        <v>1632</v>
      </c>
      <c r="FM37" s="332"/>
      <c r="FP37" s="541" t="s">
        <v>1746</v>
      </c>
      <c r="FQ37" s="541"/>
      <c r="FR37" s="340" t="s">
        <v>1673</v>
      </c>
      <c r="FV37" s="557" t="s">
        <v>1872</v>
      </c>
      <c r="FW37" s="204">
        <v>127.1</v>
      </c>
      <c r="FX37" s="340" t="s">
        <v>93</v>
      </c>
      <c r="GB37" s="535" t="s">
        <v>1920</v>
      </c>
      <c r="GC37" s="309"/>
      <c r="GH37" s="535" t="s">
        <v>1744</v>
      </c>
      <c r="GI37" s="309"/>
      <c r="GJ37" s="325"/>
      <c r="GK37" s="332"/>
      <c r="GN37" s="297" t="s">
        <v>1533</v>
      </c>
      <c r="GO37" s="340">
        <v>67.8</v>
      </c>
      <c r="GP37" s="325" t="s">
        <v>2232</v>
      </c>
      <c r="GQ37" s="332"/>
      <c r="GT37" s="559">
        <v>80</v>
      </c>
      <c r="GU37" s="535" t="s">
        <v>1827</v>
      </c>
      <c r="GV37" s="340" t="s">
        <v>1034</v>
      </c>
      <c r="GZ37" s="297" t="s">
        <v>1404</v>
      </c>
      <c r="HA37" s="340">
        <v>49.98</v>
      </c>
      <c r="HF37" s="505" t="s">
        <v>2104</v>
      </c>
      <c r="HG37" s="472">
        <v>3000</v>
      </c>
      <c r="HH37" s="340" t="s">
        <v>93</v>
      </c>
      <c r="HL37" s="505"/>
      <c r="HM37" s="491"/>
      <c r="HR37" s="545">
        <v>20</v>
      </c>
      <c r="HS37" s="535" t="s">
        <v>2178</v>
      </c>
      <c r="HT37" s="512"/>
      <c r="HU37" s="332"/>
      <c r="HX37" s="545">
        <v>40</v>
      </c>
      <c r="HY37" s="535" t="s">
        <v>1827</v>
      </c>
      <c r="HZ37" s="325" t="s">
        <v>2206</v>
      </c>
      <c r="IA37" s="332"/>
      <c r="IC37" s="489"/>
      <c r="ID37" s="217" t="s">
        <v>2161</v>
      </c>
      <c r="IE37" s="217">
        <v>453</v>
      </c>
      <c r="IH37" s="504"/>
      <c r="II37" s="327"/>
      <c r="IJ37" s="340" t="s">
        <v>2162</v>
      </c>
      <c r="IK37" s="204">
        <f>35+25+17.47+26.01</f>
        <v>103.48</v>
      </c>
      <c r="IN37" s="299" t="s">
        <v>2131</v>
      </c>
      <c r="IO37" s="259">
        <f>SUM(IQ13:IQ20)</f>
        <v>1316.3133333333333</v>
      </c>
      <c r="IP37" s="545">
        <v>399</v>
      </c>
      <c r="IQ37" s="550" t="s">
        <v>2413</v>
      </c>
      <c r="IV37" s="325" t="s">
        <v>2504</v>
      </c>
      <c r="IW37" s="335">
        <v>104.35</v>
      </c>
      <c r="JB37" s="540">
        <v>23.85</v>
      </c>
      <c r="JC37" s="274"/>
      <c r="JF37" s="535" t="s">
        <v>2620</v>
      </c>
      <c r="JG37" s="539">
        <v>200</v>
      </c>
      <c r="JH37" s="545">
        <v>8</v>
      </c>
      <c r="JI37" s="550" t="s">
        <v>2605</v>
      </c>
      <c r="JN37" s="545">
        <v>192.7</v>
      </c>
      <c r="JO37" s="550" t="s">
        <v>2684</v>
      </c>
      <c r="JP37" s="340" t="s">
        <v>1034</v>
      </c>
      <c r="JS37" s="489"/>
      <c r="JT37" s="412" t="s">
        <v>2745</v>
      </c>
      <c r="JU37" s="413">
        <v>5.35</v>
      </c>
      <c r="JZ37" s="297" t="s">
        <v>2791</v>
      </c>
      <c r="KA37" s="335">
        <v>33.03</v>
      </c>
      <c r="KF37" s="545">
        <v>25.9</v>
      </c>
      <c r="KG37" s="550" t="s">
        <v>2881</v>
      </c>
      <c r="KJ37" s="312" t="s">
        <v>2986</v>
      </c>
      <c r="KK37" s="260">
        <f>SUM(KM14:KM17)</f>
        <v>53578.656000000003</v>
      </c>
      <c r="KL37" s="540">
        <v>40.25</v>
      </c>
      <c r="KM37" s="274"/>
      <c r="KN37" s="325" t="s">
        <v>2361</v>
      </c>
      <c r="KO37" s="202"/>
      <c r="KP37" s="312" t="s">
        <v>2986</v>
      </c>
      <c r="KQ37" s="260">
        <f>SUM(KS17:KS17)</f>
        <v>1223.29</v>
      </c>
      <c r="KR37" s="297" t="s">
        <v>3079</v>
      </c>
      <c r="KS37" s="335">
        <f>7.5+7.5</f>
        <v>15</v>
      </c>
      <c r="KT37" s="325" t="s">
        <v>3077</v>
      </c>
      <c r="KX37" s="297" t="s">
        <v>3116</v>
      </c>
      <c r="KY37" s="202">
        <v>707.68</v>
      </c>
      <c r="KZ37" s="340" t="s">
        <v>506</v>
      </c>
      <c r="LB37" s="312" t="s">
        <v>2986</v>
      </c>
      <c r="LC37" s="260">
        <f>SUM(LE20:LE21)</f>
        <v>11479</v>
      </c>
      <c r="LD37" s="297" t="s">
        <v>3169</v>
      </c>
      <c r="LE37" s="335">
        <f>34.12+23.77</f>
        <v>57.89</v>
      </c>
      <c r="LF37" s="622" t="s">
        <v>3020</v>
      </c>
      <c r="LH37" s="297" t="s">
        <v>2129</v>
      </c>
      <c r="LI37" s="259">
        <f>SUM(LK28:LK37)</f>
        <v>481.59999999999997</v>
      </c>
      <c r="LJ37" s="297" t="s">
        <v>3236</v>
      </c>
      <c r="LK37" s="335">
        <v>6.5</v>
      </c>
      <c r="LL37" s="659" t="s">
        <v>3162</v>
      </c>
      <c r="LP37" s="545"/>
      <c r="LQ37" s="558"/>
      <c r="LR37" s="694" t="s">
        <v>3197</v>
      </c>
      <c r="LS37" s="202">
        <v>28.82</v>
      </c>
      <c r="LT37" s="202"/>
    </row>
    <row r="38" spans="1:332" ht="13.5" thickBot="1">
      <c r="Q38" s="196" t="s">
        <v>1012</v>
      </c>
      <c r="R38" s="340">
        <v>700</v>
      </c>
      <c r="AO38" s="246" t="s">
        <v>1127</v>
      </c>
      <c r="AP38" s="340">
        <v>111</v>
      </c>
      <c r="AU38" s="340" t="s">
        <v>1171</v>
      </c>
      <c r="AV38" s="340">
        <v>134</v>
      </c>
      <c r="BQ38" s="217" t="s">
        <v>1176</v>
      </c>
      <c r="BR38" s="217">
        <v>150</v>
      </c>
      <c r="CC38" s="217" t="s">
        <v>1279</v>
      </c>
      <c r="CD38" s="217">
        <f>6.8+82.4</f>
        <v>89.2</v>
      </c>
      <c r="CI38" s="217" t="s">
        <v>1282</v>
      </c>
      <c r="CJ38" s="217">
        <v>25</v>
      </c>
      <c r="CO38" s="217" t="s">
        <v>1321</v>
      </c>
      <c r="CP38" s="217">
        <v>74.8</v>
      </c>
      <c r="CU38" s="217" t="s">
        <v>1347</v>
      </c>
      <c r="CV38" s="217">
        <f>50+10</f>
        <v>60</v>
      </c>
      <c r="CW38" s="265"/>
      <c r="DA38" s="217" t="s">
        <v>1396</v>
      </c>
      <c r="DB38" s="217">
        <v>40.6</v>
      </c>
      <c r="DG38" s="269" t="s">
        <v>1407</v>
      </c>
      <c r="DH38" s="261">
        <v>28</v>
      </c>
      <c r="DI38" s="325" t="s">
        <v>1268</v>
      </c>
      <c r="DJ38" s="318">
        <v>-20000</v>
      </c>
      <c r="DM38" s="281">
        <v>200</v>
      </c>
      <c r="DN38" s="276"/>
      <c r="DO38" s="340" t="s">
        <v>1149</v>
      </c>
      <c r="DS38" s="279" t="s">
        <v>1600</v>
      </c>
      <c r="DT38" s="280"/>
      <c r="DU38" s="340" t="s">
        <v>1149</v>
      </c>
      <c r="DY38" s="340" t="s">
        <v>1609</v>
      </c>
      <c r="DZ38" s="340">
        <v>34</v>
      </c>
      <c r="EE38" s="340" t="s">
        <v>1427</v>
      </c>
      <c r="EF38" s="340">
        <v>40</v>
      </c>
      <c r="EH38" s="265"/>
      <c r="EL38" s="218" t="s">
        <v>1672</v>
      </c>
      <c r="EM38" s="218"/>
      <c r="ER38" s="204" t="s">
        <v>1712</v>
      </c>
      <c r="ES38" s="204">
        <f>710+22</f>
        <v>732</v>
      </c>
      <c r="ET38" s="340" t="s">
        <v>1149</v>
      </c>
      <c r="EX38" s="204" t="s">
        <v>1722</v>
      </c>
      <c r="EY38" s="285">
        <v>4.83</v>
      </c>
      <c r="EZ38" s="340" t="s">
        <v>1541</v>
      </c>
      <c r="FD38" s="204" t="s">
        <v>1763</v>
      </c>
      <c r="FE38" s="285">
        <v>78.69</v>
      </c>
      <c r="FF38" s="325" t="s">
        <v>1773</v>
      </c>
      <c r="FG38" s="261">
        <v>136</v>
      </c>
      <c r="FJ38" s="557" t="s">
        <v>1618</v>
      </c>
      <c r="FK38" s="204">
        <v>87.09</v>
      </c>
      <c r="FL38" s="325" t="s">
        <v>1758</v>
      </c>
      <c r="FM38" s="261">
        <v>30</v>
      </c>
      <c r="FP38" s="539">
        <v>210</v>
      </c>
      <c r="FQ38" s="307">
        <f>FM10+FP38-FS11</f>
        <v>144</v>
      </c>
      <c r="FR38" s="340" t="s">
        <v>93</v>
      </c>
      <c r="FV38" s="557" t="s">
        <v>1886</v>
      </c>
      <c r="FW38" s="204">
        <v>8.5299999999999994</v>
      </c>
      <c r="FX38" s="340" t="s">
        <v>1149</v>
      </c>
      <c r="GB38" s="535" t="s">
        <v>1923</v>
      </c>
      <c r="GC38" s="309"/>
      <c r="GH38" s="557" t="s">
        <v>1978</v>
      </c>
      <c r="GI38" s="204">
        <v>100</v>
      </c>
      <c r="GJ38" s="325"/>
      <c r="GK38" s="332"/>
      <c r="GN38" s="297" t="s">
        <v>1992</v>
      </c>
      <c r="GO38" s="340">
        <v>12.84</v>
      </c>
      <c r="GP38" s="325" t="s">
        <v>2147</v>
      </c>
      <c r="GQ38" s="340">
        <f>GU16</f>
        <v>84250</v>
      </c>
      <c r="GT38" s="559">
        <v>5</v>
      </c>
      <c r="GU38" s="535" t="s">
        <v>2052</v>
      </c>
      <c r="GZ38" s="297" t="s">
        <v>2078</v>
      </c>
      <c r="HA38" s="340">
        <f>36.3+3.2+61.6</f>
        <v>101.1</v>
      </c>
      <c r="HB38" s="340" t="s">
        <v>506</v>
      </c>
      <c r="HF38" s="505" t="s">
        <v>2096</v>
      </c>
      <c r="HG38" s="472">
        <v>17367.45</v>
      </c>
      <c r="HH38" s="340" t="s">
        <v>1149</v>
      </c>
      <c r="HR38" s="505" t="s">
        <v>2185</v>
      </c>
      <c r="HS38" s="562">
        <v>9.9</v>
      </c>
      <c r="HT38" s="340" t="s">
        <v>506</v>
      </c>
      <c r="HX38" s="545">
        <v>40</v>
      </c>
      <c r="HY38" s="535" t="s">
        <v>2247</v>
      </c>
      <c r="HZ38" s="512" t="s">
        <v>2207</v>
      </c>
      <c r="IA38" s="546">
        <v>21.35</v>
      </c>
      <c r="IC38" s="560"/>
      <c r="ID38" s="540">
        <v>28.33</v>
      </c>
      <c r="IE38" s="217"/>
      <c r="IH38" s="511"/>
      <c r="IJ38" s="217" t="s">
        <v>2161</v>
      </c>
      <c r="IK38" s="217">
        <v>810</v>
      </c>
      <c r="IN38" s="297" t="s">
        <v>2129</v>
      </c>
      <c r="IO38" s="259">
        <f>SUM(IQ21:IQ32)</f>
        <v>464.31</v>
      </c>
      <c r="IP38" s="545">
        <v>35</v>
      </c>
      <c r="IQ38" s="550" t="s">
        <v>2405</v>
      </c>
      <c r="IV38" s="325" t="s">
        <v>2504</v>
      </c>
      <c r="IW38" s="335">
        <v>51.81</v>
      </c>
      <c r="IZ38" s="535" t="s">
        <v>2555</v>
      </c>
      <c r="JA38" s="539">
        <v>200</v>
      </c>
      <c r="JB38" s="541" t="s">
        <v>1411</v>
      </c>
      <c r="JC38" s="542">
        <f>IY20+JA38-JE21</f>
        <v>260</v>
      </c>
      <c r="JH38" s="545">
        <v>70</v>
      </c>
      <c r="JI38" s="550" t="s">
        <v>1827</v>
      </c>
      <c r="JN38" s="545">
        <v>18</v>
      </c>
      <c r="JO38" s="550" t="s">
        <v>2651</v>
      </c>
      <c r="JT38" s="406" t="s">
        <v>2704</v>
      </c>
      <c r="JU38" s="405">
        <v>2.2000000000000002</v>
      </c>
      <c r="JZ38" s="297" t="s">
        <v>2760</v>
      </c>
      <c r="KA38" s="202">
        <f>48.9</f>
        <v>48.9</v>
      </c>
      <c r="KF38" s="564" t="s">
        <v>2873</v>
      </c>
      <c r="KG38" s="493">
        <v>70</v>
      </c>
      <c r="KJ38" s="446" t="s">
        <v>2974</v>
      </c>
      <c r="KK38" s="259">
        <v>0</v>
      </c>
      <c r="KL38" s="541" t="s">
        <v>1411</v>
      </c>
      <c r="KM38" s="542">
        <f>KI27+KK45-KO28</f>
        <v>270</v>
      </c>
      <c r="KN38" s="325"/>
      <c r="KO38" s="202"/>
      <c r="KP38" s="301" t="s">
        <v>2981</v>
      </c>
      <c r="KQ38" s="259">
        <f>SUM(KS8:KS13)</f>
        <v>1643.11</v>
      </c>
      <c r="KR38" s="340" t="s">
        <v>2941</v>
      </c>
      <c r="KS38" s="261">
        <v>40</v>
      </c>
      <c r="KT38" s="325" t="s">
        <v>2670</v>
      </c>
      <c r="KW38" s="285"/>
      <c r="KX38" s="297" t="s">
        <v>3096</v>
      </c>
      <c r="KY38" s="202">
        <f>1264.52+12.65</f>
        <v>1277.17</v>
      </c>
      <c r="KZ38" s="340" t="s">
        <v>3021</v>
      </c>
      <c r="LB38" s="446" t="s">
        <v>2974</v>
      </c>
      <c r="LC38" s="259">
        <f>SUM(LE9:LE12)</f>
        <v>3622.06</v>
      </c>
      <c r="LD38" s="297" t="s">
        <v>3170</v>
      </c>
      <c r="LE38" s="335">
        <f>7.5*2+38.7</f>
        <v>53.7</v>
      </c>
      <c r="LF38" s="622" t="s">
        <v>3019</v>
      </c>
      <c r="LH38" s="297" t="s">
        <v>2858</v>
      </c>
      <c r="LI38" s="553">
        <f>SUM(LK30:LK37)</f>
        <v>456.59999999999997</v>
      </c>
      <c r="LJ38" s="217" t="s">
        <v>3214</v>
      </c>
      <c r="LK38" s="274">
        <f>97+232+92</f>
        <v>421</v>
      </c>
      <c r="LL38" s="656" t="s">
        <v>506</v>
      </c>
      <c r="LN38" s="309" t="s">
        <v>3235</v>
      </c>
      <c r="LO38" s="563">
        <v>0</v>
      </c>
      <c r="LP38" s="545"/>
      <c r="LQ38" s="550"/>
      <c r="LR38" s="694" t="s">
        <v>3213</v>
      </c>
      <c r="LS38" s="202">
        <v>21.1</v>
      </c>
      <c r="LT38" s="202"/>
    </row>
    <row r="39" spans="1:332" ht="13.5" thickBot="1">
      <c r="K39" s="340" t="s">
        <v>1013</v>
      </c>
      <c r="L39" s="340">
        <v>95</v>
      </c>
      <c r="Q39" s="197" t="s">
        <v>1028</v>
      </c>
      <c r="R39" s="340">
        <v>100</v>
      </c>
      <c r="W39" s="340" t="s">
        <v>1093</v>
      </c>
      <c r="X39" s="340">
        <f>110.35+107.59-8.62-14.01</f>
        <v>195.31</v>
      </c>
      <c r="AO39" s="246" t="s">
        <v>1189</v>
      </c>
      <c r="AP39" s="340">
        <v>99.81</v>
      </c>
      <c r="AU39" s="340" t="s">
        <v>1170</v>
      </c>
      <c r="AV39" s="340">
        <v>-134</v>
      </c>
      <c r="BE39" s="340" t="s">
        <v>1173</v>
      </c>
      <c r="BF39" s="340">
        <v>200</v>
      </c>
      <c r="BW39" s="217" t="s">
        <v>1251</v>
      </c>
      <c r="BX39" s="217">
        <v>100</v>
      </c>
      <c r="CC39" s="217" t="s">
        <v>1284</v>
      </c>
      <c r="CD39" s="217">
        <v>0</v>
      </c>
      <c r="CI39" s="217" t="s">
        <v>1383</v>
      </c>
      <c r="CJ39" s="217">
        <v>102</v>
      </c>
      <c r="CO39" s="217" t="s">
        <v>1320</v>
      </c>
      <c r="CP39" s="217">
        <v>60.08</v>
      </c>
      <c r="CU39" s="217" t="s">
        <v>1341</v>
      </c>
      <c r="CV39" s="217">
        <v>80</v>
      </c>
      <c r="DA39" s="217" t="s">
        <v>1386</v>
      </c>
      <c r="DB39" s="217">
        <v>106.3</v>
      </c>
      <c r="DC39" s="265"/>
      <c r="DG39" s="269" t="s">
        <v>1430</v>
      </c>
      <c r="DH39" s="261">
        <v>32.200000000000003</v>
      </c>
      <c r="DI39" s="742" t="s">
        <v>1438</v>
      </c>
      <c r="DJ39" s="742"/>
      <c r="DM39" s="216" t="s">
        <v>1403</v>
      </c>
      <c r="DN39" s="276"/>
      <c r="DO39" s="325" t="s">
        <v>1034</v>
      </c>
      <c r="DS39" s="216" t="s">
        <v>1526</v>
      </c>
      <c r="DT39" s="276"/>
      <c r="DU39" s="325" t="s">
        <v>1034</v>
      </c>
      <c r="DY39" s="340" t="s">
        <v>1386</v>
      </c>
      <c r="DZ39" s="340">
        <v>15</v>
      </c>
      <c r="EL39" s="218"/>
      <c r="EM39" s="218"/>
      <c r="EN39" s="265"/>
      <c r="ER39" s="204" t="s">
        <v>1688</v>
      </c>
      <c r="ES39" s="204">
        <v>69</v>
      </c>
      <c r="ET39" s="340" t="s">
        <v>1034</v>
      </c>
      <c r="EX39" s="204" t="s">
        <v>1725</v>
      </c>
      <c r="EY39" s="204">
        <v>37.869999999999997</v>
      </c>
      <c r="EZ39" s="340" t="s">
        <v>93</v>
      </c>
      <c r="FD39" s="204" t="s">
        <v>1779</v>
      </c>
      <c r="FE39" s="340" t="s">
        <v>1780</v>
      </c>
      <c r="FF39" s="204" t="s">
        <v>1764</v>
      </c>
      <c r="FG39" s="204">
        <v>250</v>
      </c>
      <c r="FJ39" s="557" t="s">
        <v>1795</v>
      </c>
      <c r="FK39" s="285">
        <v>11.25</v>
      </c>
      <c r="FL39" s="325" t="s">
        <v>1808</v>
      </c>
      <c r="FM39" s="332">
        <v>101</v>
      </c>
      <c r="FP39" s="309" t="s">
        <v>1828</v>
      </c>
      <c r="FQ39" s="309"/>
      <c r="FR39" s="340" t="s">
        <v>1149</v>
      </c>
      <c r="FV39" s="557" t="s">
        <v>1901</v>
      </c>
      <c r="FW39" s="204">
        <v>184</v>
      </c>
      <c r="FX39" s="340" t="s">
        <v>1034</v>
      </c>
      <c r="GB39" s="535" t="s">
        <v>1933</v>
      </c>
      <c r="GC39" s="309"/>
      <c r="GH39" s="557" t="s">
        <v>1959</v>
      </c>
      <c r="GI39" s="340">
        <v>70</v>
      </c>
      <c r="GJ39" s="340" t="s">
        <v>506</v>
      </c>
      <c r="GN39" s="297" t="s">
        <v>2009</v>
      </c>
      <c r="GO39" s="340">
        <v>26</v>
      </c>
      <c r="GP39" s="325" t="s">
        <v>2148</v>
      </c>
      <c r="GQ39" s="332">
        <v>45000</v>
      </c>
      <c r="GT39" s="559">
        <v>20</v>
      </c>
      <c r="GU39" s="535" t="s">
        <v>2055</v>
      </c>
      <c r="GZ39" s="297" t="s">
        <v>2145</v>
      </c>
      <c r="HA39" s="340">
        <v>84.3</v>
      </c>
      <c r="HB39" s="340" t="s">
        <v>1673</v>
      </c>
      <c r="HF39" s="505" t="s">
        <v>2110</v>
      </c>
      <c r="HG39" s="491">
        <v>88</v>
      </c>
      <c r="HH39" s="340" t="s">
        <v>1034</v>
      </c>
      <c r="HL39" s="505"/>
      <c r="HM39" s="491"/>
      <c r="HR39" s="505" t="s">
        <v>2197</v>
      </c>
      <c r="HS39" s="491">
        <v>10.57</v>
      </c>
      <c r="HT39" s="340" t="s">
        <v>93</v>
      </c>
      <c r="HX39" s="545">
        <v>40</v>
      </c>
      <c r="HY39" s="535" t="s">
        <v>2221</v>
      </c>
      <c r="HZ39" s="325" t="s">
        <v>2223</v>
      </c>
      <c r="IA39" s="332">
        <v>125.91</v>
      </c>
      <c r="ID39" s="541" t="s">
        <v>1411</v>
      </c>
      <c r="IE39" s="542">
        <f>IA28+IC42-IG23</f>
        <v>175</v>
      </c>
      <c r="IH39" s="511"/>
      <c r="IJ39" s="541" t="s">
        <v>1411</v>
      </c>
      <c r="IK39" s="542">
        <f>IG23+II50-IM23</f>
        <v>230</v>
      </c>
      <c r="IN39" s="297" t="s">
        <v>2635</v>
      </c>
      <c r="IO39" s="259">
        <f>SUM(IQ25:IQ32)</f>
        <v>303.81</v>
      </c>
      <c r="IP39" s="545">
        <v>7.9</v>
      </c>
      <c r="IQ39" s="550" t="s">
        <v>2406</v>
      </c>
      <c r="IV39" s="325" t="s">
        <v>2504</v>
      </c>
      <c r="IW39" s="335">
        <v>28.77</v>
      </c>
      <c r="IZ39" s="472"/>
      <c r="JA39" s="565"/>
      <c r="JB39" s="545">
        <v>130</v>
      </c>
      <c r="JC39" s="550" t="s">
        <v>2527</v>
      </c>
      <c r="JH39" s="545">
        <v>10</v>
      </c>
      <c r="JI39" s="550" t="s">
        <v>2617</v>
      </c>
      <c r="JM39" s="489"/>
      <c r="JN39" s="545">
        <v>10</v>
      </c>
      <c r="JO39" s="218" t="s">
        <v>2652</v>
      </c>
      <c r="JS39" s="566" t="s">
        <v>2746</v>
      </c>
      <c r="JT39" s="406" t="s">
        <v>2723</v>
      </c>
      <c r="JU39" s="405">
        <v>89.39</v>
      </c>
      <c r="JX39" s="462" t="s">
        <v>2654</v>
      </c>
      <c r="JY39" s="462"/>
      <c r="JZ39" s="297" t="s">
        <v>2769</v>
      </c>
      <c r="KA39" s="335">
        <v>31</v>
      </c>
      <c r="KF39" s="567" t="s">
        <v>2910</v>
      </c>
      <c r="KG39" s="340">
        <v>324</v>
      </c>
      <c r="KH39" s="340" t="s">
        <v>506</v>
      </c>
      <c r="KJ39" s="301" t="s">
        <v>2981</v>
      </c>
      <c r="KK39" s="259">
        <f>SUM(KM7:KM9)</f>
        <v>1201.5700000000002</v>
      </c>
      <c r="KL39" s="545">
        <v>40</v>
      </c>
      <c r="KM39" s="558" t="s">
        <v>2178</v>
      </c>
      <c r="KN39" s="325"/>
      <c r="KO39" s="202"/>
      <c r="KP39" s="254" t="s">
        <v>2982</v>
      </c>
      <c r="KQ39" s="331">
        <f>SUM(KS14:KS16)</f>
        <v>325.95000000000005</v>
      </c>
      <c r="KR39" s="217" t="s">
        <v>3214</v>
      </c>
      <c r="KS39" s="274">
        <v>547</v>
      </c>
      <c r="KT39" s="340" t="s">
        <v>506</v>
      </c>
      <c r="KX39" s="297" t="s">
        <v>3144</v>
      </c>
      <c r="KY39" s="335">
        <v>31.96</v>
      </c>
      <c r="KZ39" s="340" t="s">
        <v>3020</v>
      </c>
      <c r="LB39" s="301" t="s">
        <v>2981</v>
      </c>
      <c r="LC39" s="259">
        <f>SUM(LE13:LE17)</f>
        <v>825.89</v>
      </c>
      <c r="LD39" s="297" t="s">
        <v>3172</v>
      </c>
      <c r="LE39" s="335">
        <v>32.5</v>
      </c>
      <c r="LF39" s="619" t="s">
        <v>2957</v>
      </c>
      <c r="LJ39" s="540">
        <v>22.09</v>
      </c>
      <c r="LK39" s="274"/>
      <c r="LL39" s="656" t="s">
        <v>3021</v>
      </c>
      <c r="LP39" s="545"/>
      <c r="LQ39" s="550"/>
      <c r="LR39" s="691" t="s">
        <v>3012</v>
      </c>
      <c r="LT39" s="202"/>
    </row>
    <row r="40" spans="1:332">
      <c r="Q40" s="197"/>
      <c r="AO40" s="246"/>
      <c r="DC40" s="265"/>
      <c r="DG40" s="269"/>
      <c r="DH40" s="261"/>
      <c r="DI40" s="568"/>
      <c r="DJ40" s="568"/>
      <c r="DM40" s="216"/>
      <c r="DN40" s="276"/>
      <c r="DO40" s="325"/>
      <c r="DS40" s="216"/>
      <c r="DT40" s="276"/>
      <c r="DU40" s="325"/>
      <c r="EL40" s="285"/>
      <c r="EM40" s="285"/>
      <c r="EN40" s="265"/>
      <c r="ER40" s="204"/>
      <c r="ES40" s="204"/>
      <c r="EX40" s="204"/>
      <c r="EY40" s="204"/>
      <c r="FD40" s="204"/>
      <c r="FF40" s="204"/>
      <c r="FG40" s="204"/>
      <c r="FJ40" s="557"/>
      <c r="FK40" s="285"/>
      <c r="FL40" s="325"/>
      <c r="FM40" s="332"/>
      <c r="FP40" s="309"/>
      <c r="FQ40" s="309"/>
      <c r="FV40" s="557"/>
      <c r="FW40" s="204"/>
      <c r="GB40" s="535" t="s">
        <v>1934</v>
      </c>
      <c r="GC40" s="309"/>
      <c r="GH40" s="557" t="s">
        <v>1979</v>
      </c>
      <c r="GI40" s="204">
        <v>190</v>
      </c>
      <c r="GJ40" s="340" t="s">
        <v>1673</v>
      </c>
      <c r="GN40" s="297" t="s">
        <v>2002</v>
      </c>
      <c r="GO40" s="340">
        <v>12</v>
      </c>
      <c r="GP40" s="325" t="s">
        <v>1834</v>
      </c>
      <c r="GQ40" s="332">
        <v>1000</v>
      </c>
      <c r="GT40" s="559">
        <v>6</v>
      </c>
      <c r="GU40" s="535" t="s">
        <v>2053</v>
      </c>
      <c r="GV40" s="340" t="s">
        <v>478</v>
      </c>
      <c r="GZ40" s="297"/>
      <c r="HB40" s="340" t="s">
        <v>93</v>
      </c>
      <c r="HF40" s="505" t="s">
        <v>2097</v>
      </c>
      <c r="HG40" s="491">
        <v>9.2200000000000006</v>
      </c>
      <c r="HR40" s="505"/>
      <c r="HS40" s="491"/>
      <c r="HX40" s="545">
        <v>20</v>
      </c>
      <c r="HY40" s="535" t="s">
        <v>2244</v>
      </c>
      <c r="ID40" s="545">
        <v>70</v>
      </c>
      <c r="IE40" s="535" t="s">
        <v>2178</v>
      </c>
      <c r="IH40" s="738" t="s">
        <v>2135</v>
      </c>
      <c r="II40" s="738"/>
      <c r="IJ40" s="545">
        <v>20</v>
      </c>
      <c r="IK40" s="535" t="s">
        <v>2349</v>
      </c>
      <c r="IN40" s="535" t="s">
        <v>2448</v>
      </c>
      <c r="IO40" s="539">
        <f>100+400+100+100</f>
        <v>700</v>
      </c>
      <c r="IP40" s="545">
        <v>6</v>
      </c>
      <c r="IQ40" s="550" t="s">
        <v>2178</v>
      </c>
      <c r="IV40" s="512"/>
      <c r="IW40" s="335"/>
      <c r="JA40" s="489"/>
      <c r="JB40" s="545">
        <v>30</v>
      </c>
      <c r="JC40" s="550" t="s">
        <v>2558</v>
      </c>
      <c r="JH40" s="545">
        <v>12</v>
      </c>
      <c r="JI40" s="550" t="s">
        <v>2621</v>
      </c>
      <c r="JM40" s="489"/>
      <c r="JN40" s="545">
        <f>86*3+96</f>
        <v>354</v>
      </c>
      <c r="JO40" s="218" t="s">
        <v>2653</v>
      </c>
      <c r="JT40" s="404" t="s">
        <v>2705</v>
      </c>
      <c r="JU40" s="405">
        <f>69.93+136.83</f>
        <v>206.76000000000002</v>
      </c>
      <c r="JX40" s="414" t="s">
        <v>1928</v>
      </c>
      <c r="JY40" s="260">
        <f>SUM(KA6:KA9)</f>
        <v>7797.6799999999994</v>
      </c>
      <c r="JZ40" s="297" t="s">
        <v>2795</v>
      </c>
      <c r="KA40" s="335">
        <v>13.15</v>
      </c>
      <c r="KF40" s="234" t="s">
        <v>2857</v>
      </c>
      <c r="KG40" s="340">
        <v>39.700000000000003</v>
      </c>
      <c r="KH40" s="340" t="s">
        <v>93</v>
      </c>
      <c r="KJ40" s="254" t="s">
        <v>2982</v>
      </c>
      <c r="KK40" s="331">
        <f>SUM(KM10:KM13)</f>
        <v>451.43999999999994</v>
      </c>
      <c r="KL40" s="545">
        <v>6</v>
      </c>
      <c r="KM40" s="550" t="s">
        <v>2949</v>
      </c>
      <c r="KN40" s="340" t="s">
        <v>506</v>
      </c>
      <c r="KP40" s="448" t="s">
        <v>2836</v>
      </c>
      <c r="KQ40" s="259">
        <f>SUM(KS18:KS27)</f>
        <v>1009.24</v>
      </c>
      <c r="KR40" s="540">
        <v>25.54</v>
      </c>
      <c r="KS40" s="274"/>
      <c r="KT40" s="340" t="s">
        <v>3021</v>
      </c>
      <c r="KX40" s="297" t="s">
        <v>3123</v>
      </c>
      <c r="KY40" s="202">
        <f>21.3+22.3</f>
        <v>43.6</v>
      </c>
      <c r="KZ40" s="340" t="s">
        <v>3019</v>
      </c>
      <c r="LB40" s="254" t="s">
        <v>2982</v>
      </c>
      <c r="LC40" s="331">
        <f>SUM(LE18:LE19)</f>
        <v>135.16</v>
      </c>
      <c r="LD40" s="217" t="s">
        <v>3214</v>
      </c>
      <c r="LE40" s="274">
        <f>385+59</f>
        <v>444</v>
      </c>
      <c r="LH40" s="309" t="s">
        <v>3235</v>
      </c>
      <c r="LI40" s="563">
        <v>300</v>
      </c>
      <c r="LJ40" s="541" t="s">
        <v>1411</v>
      </c>
      <c r="LK40" s="542">
        <f>LG23+LI40-LM23</f>
        <v>250</v>
      </c>
      <c r="LL40" s="656" t="s">
        <v>3020</v>
      </c>
      <c r="LO40" s="692"/>
      <c r="LP40" s="545"/>
      <c r="LQ40" s="550"/>
      <c r="LR40" s="691" t="s">
        <v>3162</v>
      </c>
      <c r="LT40" s="202"/>
    </row>
    <row r="41" spans="1:332">
      <c r="K41" s="196" t="s">
        <v>1012</v>
      </c>
      <c r="L41" s="340">
        <v>300.01</v>
      </c>
      <c r="W41" s="340" t="s">
        <v>1070</v>
      </c>
      <c r="X41" s="340">
        <v>159</v>
      </c>
      <c r="AO41" s="246" t="s">
        <v>1190</v>
      </c>
      <c r="AP41" s="340">
        <v>-99.81</v>
      </c>
      <c r="BE41" s="340" t="s">
        <v>1167</v>
      </c>
      <c r="BF41" s="340">
        <v>400</v>
      </c>
      <c r="BW41" s="217" t="s">
        <v>1167</v>
      </c>
      <c r="BX41" s="217">
        <v>400</v>
      </c>
      <c r="CC41" s="217" t="s">
        <v>1278</v>
      </c>
      <c r="CD41" s="217">
        <v>320</v>
      </c>
      <c r="CI41" s="217" t="s">
        <v>1339</v>
      </c>
      <c r="CJ41" s="217">
        <v>50</v>
      </c>
      <c r="CO41" s="217" t="s">
        <v>1360</v>
      </c>
      <c r="CP41" s="217">
        <v>200</v>
      </c>
      <c r="CU41" s="217" t="s">
        <v>1339</v>
      </c>
      <c r="CV41" s="217">
        <v>100</v>
      </c>
      <c r="DA41" s="217" t="s">
        <v>1381</v>
      </c>
      <c r="DB41" s="217">
        <v>296.14</v>
      </c>
      <c r="DG41" s="269" t="s">
        <v>1477</v>
      </c>
      <c r="DH41" s="261">
        <v>40</v>
      </c>
      <c r="DI41" s="532" t="s">
        <v>1486</v>
      </c>
      <c r="DJ41" s="532">
        <v>200</v>
      </c>
      <c r="DM41" s="216" t="s">
        <v>1523</v>
      </c>
      <c r="DN41" s="276"/>
      <c r="DS41" s="216" t="s">
        <v>1535</v>
      </c>
      <c r="DT41" s="276"/>
      <c r="EL41" s="340" t="s">
        <v>1649</v>
      </c>
      <c r="EM41" s="340">
        <v>59.7</v>
      </c>
      <c r="ER41" s="285" t="s">
        <v>1675</v>
      </c>
      <c r="ES41" s="285">
        <v>18</v>
      </c>
      <c r="EX41" s="204" t="s">
        <v>1748</v>
      </c>
      <c r="EY41" s="204">
        <v>761</v>
      </c>
      <c r="EZ41" s="340" t="s">
        <v>1149</v>
      </c>
      <c r="FD41" s="204"/>
      <c r="FE41" s="204"/>
      <c r="FF41" s="204"/>
      <c r="FG41" s="204"/>
      <c r="FJ41" s="204"/>
      <c r="FK41" s="204"/>
      <c r="FL41" s="325"/>
      <c r="FM41" s="332"/>
      <c r="FP41" s="535" t="s">
        <v>1857</v>
      </c>
      <c r="FQ41" s="309"/>
      <c r="FR41" s="340" t="s">
        <v>1034</v>
      </c>
      <c r="FV41" s="557" t="s">
        <v>1907</v>
      </c>
      <c r="FW41" s="204">
        <v>80</v>
      </c>
      <c r="GB41" s="472"/>
      <c r="GC41" s="491"/>
      <c r="GH41" s="557"/>
      <c r="GI41" s="204"/>
      <c r="GN41" s="297"/>
      <c r="GP41" s="325"/>
      <c r="GQ41" s="332"/>
      <c r="GT41" s="559"/>
      <c r="GU41" s="535"/>
      <c r="GZ41" s="541" t="s">
        <v>1746</v>
      </c>
      <c r="HA41" s="218"/>
      <c r="HF41" s="505"/>
      <c r="HG41" s="491"/>
      <c r="HR41" s="505" t="s">
        <v>2217</v>
      </c>
      <c r="HS41" s="491">
        <v>65.7</v>
      </c>
      <c r="HX41" s="545"/>
      <c r="HY41" s="535"/>
      <c r="ID41" s="545"/>
      <c r="IE41" s="535"/>
      <c r="IH41" s="462"/>
      <c r="II41" s="462"/>
      <c r="IJ41" s="545"/>
      <c r="IK41" s="535"/>
      <c r="IN41" s="472"/>
      <c r="IO41" s="565"/>
      <c r="IP41" s="545"/>
      <c r="IQ41" s="550"/>
      <c r="IV41" s="512"/>
      <c r="IW41" s="335"/>
      <c r="JA41" s="489"/>
      <c r="JB41" s="545"/>
      <c r="JC41" s="550"/>
      <c r="JH41" s="569"/>
      <c r="JI41" s="504"/>
      <c r="JM41" s="489"/>
      <c r="JN41" s="512" t="s">
        <v>2645</v>
      </c>
      <c r="JO41" s="335">
        <v>7.5</v>
      </c>
      <c r="JT41" s="406" t="s">
        <v>2716</v>
      </c>
      <c r="JU41" s="405">
        <v>18.8</v>
      </c>
      <c r="JX41" s="312" t="s">
        <v>2980</v>
      </c>
      <c r="JY41" s="260">
        <f>SUM(KA20:KA23)</f>
        <v>6114.74</v>
      </c>
      <c r="JZ41" s="297" t="s">
        <v>2792</v>
      </c>
      <c r="KA41" s="335">
        <v>38.200000000000003</v>
      </c>
      <c r="KE41" s="285"/>
      <c r="KF41" s="570" t="s">
        <v>2504</v>
      </c>
      <c r="KG41" s="444">
        <v>110.1</v>
      </c>
      <c r="KJ41" s="448" t="s">
        <v>2836</v>
      </c>
      <c r="KK41" s="259">
        <f>SUM(KM18:KM25)</f>
        <v>714.36400000000003</v>
      </c>
      <c r="KL41" s="545">
        <v>10</v>
      </c>
      <c r="KM41" s="550" t="s">
        <v>2948</v>
      </c>
      <c r="KN41" s="757" t="s">
        <v>2957</v>
      </c>
      <c r="KO41" s="757"/>
      <c r="KP41" s="297" t="s">
        <v>2129</v>
      </c>
      <c r="KQ41" s="259">
        <f>SUM(KS28:KS37)</f>
        <v>732.65</v>
      </c>
      <c r="KR41" s="541" t="s">
        <v>1411</v>
      </c>
      <c r="KS41" s="542">
        <f>KO28+KQ44-KU26</f>
        <v>110</v>
      </c>
      <c r="KT41" s="340" t="s">
        <v>3020</v>
      </c>
      <c r="KX41" s="297" t="s">
        <v>3124</v>
      </c>
      <c r="KY41" s="202">
        <f>42.17+45.14</f>
        <v>87.31</v>
      </c>
      <c r="KZ41" s="285" t="s">
        <v>2957</v>
      </c>
      <c r="LB41" s="448" t="s">
        <v>2836</v>
      </c>
      <c r="LC41" s="259">
        <f>SUM(LE22:LE31)</f>
        <v>1073.1600000000001</v>
      </c>
      <c r="LD41" s="540">
        <v>58.81</v>
      </c>
      <c r="LE41" s="274"/>
      <c r="LF41" s="622" t="s">
        <v>2955</v>
      </c>
      <c r="LJ41" s="545">
        <v>40</v>
      </c>
      <c r="LK41" s="558" t="s">
        <v>3194</v>
      </c>
      <c r="LL41" s="656" t="s">
        <v>3019</v>
      </c>
      <c r="LO41" s="692"/>
      <c r="LP41" s="545"/>
      <c r="LQ41" s="550"/>
      <c r="LR41" s="688" t="s">
        <v>506</v>
      </c>
      <c r="LT41" s="202"/>
    </row>
    <row r="42" spans="1:332">
      <c r="K42" s="196"/>
      <c r="AO42" s="246"/>
      <c r="DG42" s="269"/>
      <c r="DH42" s="261"/>
      <c r="DI42" s="532"/>
      <c r="DJ42" s="532"/>
      <c r="DM42" s="216"/>
      <c r="DN42" s="276"/>
      <c r="DS42" s="216"/>
      <c r="DT42" s="276"/>
      <c r="ER42" s="285"/>
      <c r="ES42" s="285"/>
      <c r="EX42" s="204"/>
      <c r="EY42" s="204"/>
      <c r="FD42" s="204"/>
      <c r="FE42" s="204"/>
      <c r="FF42" s="204"/>
      <c r="FG42" s="204"/>
      <c r="FJ42" s="204"/>
      <c r="FK42" s="204"/>
      <c r="FL42" s="325"/>
      <c r="FM42" s="332"/>
      <c r="FP42" s="535"/>
      <c r="FQ42" s="309"/>
      <c r="FV42" s="557"/>
      <c r="FW42" s="204"/>
      <c r="GB42" s="204" t="s">
        <v>1921</v>
      </c>
      <c r="GC42" s="340">
        <v>80</v>
      </c>
      <c r="GH42" s="557" t="s">
        <v>1958</v>
      </c>
      <c r="GI42" s="204">
        <v>1100</v>
      </c>
      <c r="GJ42" s="340" t="s">
        <v>93</v>
      </c>
      <c r="GN42" s="297" t="s">
        <v>2000</v>
      </c>
      <c r="GO42" s="340">
        <f>76+25.2</f>
        <v>101.2</v>
      </c>
      <c r="GP42" s="325" t="s">
        <v>2233</v>
      </c>
      <c r="GQ42" s="332"/>
      <c r="GT42" s="559">
        <v>6</v>
      </c>
      <c r="GU42" s="535" t="s">
        <v>2072</v>
      </c>
      <c r="GV42" s="265"/>
      <c r="GZ42" s="541"/>
      <c r="HA42" s="218"/>
      <c r="HB42" s="340" t="s">
        <v>1149</v>
      </c>
      <c r="HF42" s="445" t="s">
        <v>2127</v>
      </c>
      <c r="HG42" s="445">
        <v>440</v>
      </c>
      <c r="HR42" s="505"/>
      <c r="HS42" s="491"/>
      <c r="HX42" s="545">
        <v>45</v>
      </c>
      <c r="HY42" s="535" t="s">
        <v>2243</v>
      </c>
      <c r="IB42" s="535" t="s">
        <v>2274</v>
      </c>
      <c r="IC42" s="539">
        <v>205</v>
      </c>
      <c r="ID42" s="545">
        <v>15</v>
      </c>
      <c r="IE42" s="535" t="s">
        <v>2260</v>
      </c>
      <c r="IH42" s="305" t="s">
        <v>1928</v>
      </c>
      <c r="II42" s="260">
        <f>SUM(IK7:IK9)</f>
        <v>1946.12</v>
      </c>
      <c r="IJ42" s="545">
        <v>40</v>
      </c>
      <c r="IK42" s="535" t="s">
        <v>2325</v>
      </c>
      <c r="IP42" s="545">
        <v>30</v>
      </c>
      <c r="IQ42" s="550" t="s">
        <v>2410</v>
      </c>
      <c r="IV42" s="512"/>
      <c r="IW42" s="335"/>
      <c r="JA42" s="560"/>
      <c r="JB42" s="545">
        <v>30</v>
      </c>
      <c r="JC42" s="550" t="s">
        <v>2541</v>
      </c>
      <c r="JG42" s="489"/>
      <c r="JH42" s="325" t="s">
        <v>2604</v>
      </c>
      <c r="JI42" s="335">
        <v>751</v>
      </c>
      <c r="JM42" s="560"/>
      <c r="JN42" s="512" t="s">
        <v>1386</v>
      </c>
      <c r="JO42" s="335">
        <v>15.79</v>
      </c>
      <c r="JT42" s="406" t="s">
        <v>2709</v>
      </c>
      <c r="JU42" s="405">
        <v>89.8</v>
      </c>
      <c r="JX42" s="304" t="s">
        <v>1392</v>
      </c>
      <c r="JY42" s="259">
        <f>KA10</f>
        <v>5.99</v>
      </c>
      <c r="JZ42" s="297" t="s">
        <v>2794</v>
      </c>
      <c r="KA42" s="335">
        <v>10.5</v>
      </c>
      <c r="KE42" s="285"/>
      <c r="KF42" s="234" t="s">
        <v>2867</v>
      </c>
      <c r="KG42" s="340">
        <v>81.84</v>
      </c>
      <c r="KJ42" s="297" t="s">
        <v>2129</v>
      </c>
      <c r="KK42" s="259">
        <f>SUM(KM26:KM34)</f>
        <v>587.2700000000001</v>
      </c>
      <c r="KL42" s="545">
        <v>6</v>
      </c>
      <c r="KM42" s="550" t="s">
        <v>2947</v>
      </c>
      <c r="KP42" s="297" t="s">
        <v>2858</v>
      </c>
      <c r="KQ42" s="553">
        <f>SUM(KS30:KS37)</f>
        <v>271.73</v>
      </c>
      <c r="KR42" s="545">
        <v>45</v>
      </c>
      <c r="KS42" s="558" t="s">
        <v>2178</v>
      </c>
      <c r="KT42" s="340" t="s">
        <v>3019</v>
      </c>
      <c r="KV42" s="462" t="s">
        <v>2654</v>
      </c>
      <c r="KW42" s="462"/>
      <c r="KX42" s="297" t="s">
        <v>3122</v>
      </c>
      <c r="KY42" s="202">
        <f>26.4+39.9</f>
        <v>66.3</v>
      </c>
      <c r="LB42" s="297" t="s">
        <v>2129</v>
      </c>
      <c r="LC42" s="259">
        <f>SUM(LE32:LE39)</f>
        <v>808.89</v>
      </c>
      <c r="LD42" s="541" t="s">
        <v>1411</v>
      </c>
      <c r="LE42" s="542">
        <f>LA25+LC45-LG23</f>
        <v>130</v>
      </c>
      <c r="LF42" s="622" t="s">
        <v>2956</v>
      </c>
      <c r="LI42" s="660"/>
      <c r="LJ42" s="545">
        <v>10</v>
      </c>
      <c r="LK42" s="550" t="s">
        <v>3195</v>
      </c>
      <c r="LL42" s="660" t="s">
        <v>2957</v>
      </c>
      <c r="LP42" s="545"/>
      <c r="LQ42" s="550"/>
      <c r="LR42" s="688" t="s">
        <v>3021</v>
      </c>
      <c r="LT42" s="202"/>
    </row>
    <row r="43" spans="1:332">
      <c r="K43" s="197" t="s">
        <v>1028</v>
      </c>
      <c r="L43" s="340">
        <v>100</v>
      </c>
      <c r="AO43" s="246" t="s">
        <v>1116</v>
      </c>
      <c r="AP43" s="340">
        <v>54</v>
      </c>
      <c r="AU43" s="340" t="s">
        <v>1156</v>
      </c>
      <c r="AV43" s="340">
        <v>180</v>
      </c>
      <c r="BE43" s="340" t="s">
        <v>1176</v>
      </c>
      <c r="BF43" s="340">
        <v>300</v>
      </c>
      <c r="BW43" s="217" t="s">
        <v>1176</v>
      </c>
      <c r="BX43" s="217">
        <v>150</v>
      </c>
      <c r="CC43" s="217" t="s">
        <v>1167</v>
      </c>
      <c r="CD43" s="217">
        <v>500</v>
      </c>
      <c r="CI43" s="217" t="s">
        <v>1315</v>
      </c>
      <c r="CJ43" s="217">
        <v>0</v>
      </c>
      <c r="CO43" s="217" t="s">
        <v>1167</v>
      </c>
      <c r="CP43" s="217">
        <v>500</v>
      </c>
      <c r="CU43" s="217" t="s">
        <v>1338</v>
      </c>
      <c r="CV43" s="217">
        <v>30</v>
      </c>
      <c r="DA43" s="217" t="s">
        <v>1382</v>
      </c>
      <c r="DB43" s="217">
        <v>127.5</v>
      </c>
      <c r="DG43" s="269" t="s">
        <v>1452</v>
      </c>
      <c r="DH43" s="261">
        <v>65.319999999999993</v>
      </c>
      <c r="DI43" s="532" t="s">
        <v>1443</v>
      </c>
      <c r="DJ43" s="538" t="s">
        <v>1481</v>
      </c>
      <c r="DM43" s="216" t="s">
        <v>1513</v>
      </c>
      <c r="DN43" s="276"/>
      <c r="DP43" s="340"/>
      <c r="DS43" s="216" t="s">
        <v>1556</v>
      </c>
      <c r="DT43" s="276"/>
      <c r="DY43" s="340" t="s">
        <v>1571</v>
      </c>
      <c r="DZ43" s="340">
        <v>734.46</v>
      </c>
      <c r="EL43" s="204" t="s">
        <v>1656</v>
      </c>
      <c r="EM43" s="285">
        <v>29.9</v>
      </c>
      <c r="ER43" s="204" t="s">
        <v>1692</v>
      </c>
      <c r="ES43" s="340">
        <f>11.88+1.49+3.62</f>
        <v>16.990000000000002</v>
      </c>
      <c r="EX43" s="204" t="s">
        <v>1745</v>
      </c>
      <c r="EY43" s="204">
        <f>560-555.22</f>
        <v>4.7799999999999727</v>
      </c>
      <c r="EZ43" s="340" t="s">
        <v>1034</v>
      </c>
      <c r="FD43" s="340" t="s">
        <v>1571</v>
      </c>
      <c r="FE43" s="285">
        <v>790</v>
      </c>
      <c r="FF43" s="340" t="s">
        <v>506</v>
      </c>
      <c r="FJ43" s="340" t="s">
        <v>1571</v>
      </c>
      <c r="FK43" s="285">
        <v>990</v>
      </c>
      <c r="FL43" s="325"/>
      <c r="FM43" s="332"/>
      <c r="FP43" s="535" t="s">
        <v>1827</v>
      </c>
      <c r="FQ43" s="309"/>
      <c r="FV43" s="557" t="s">
        <v>1913</v>
      </c>
      <c r="FW43" s="204">
        <v>4.5999999999999996</v>
      </c>
      <c r="GB43" s="204"/>
      <c r="GH43" s="557"/>
      <c r="GI43" s="204"/>
      <c r="GN43" s="297"/>
      <c r="GP43" s="325"/>
      <c r="GQ43" s="332"/>
      <c r="GT43" s="559"/>
      <c r="GU43" s="535"/>
      <c r="GV43" s="265"/>
      <c r="GZ43" s="539">
        <v>50</v>
      </c>
      <c r="HA43" s="541"/>
      <c r="HF43" s="445"/>
      <c r="HG43" s="445"/>
      <c r="HR43" s="505" t="s">
        <v>2176</v>
      </c>
      <c r="HS43" s="491">
        <v>2.54</v>
      </c>
      <c r="HX43" s="569"/>
      <c r="HY43" s="472"/>
      <c r="IB43" s="472"/>
      <c r="IC43" s="565"/>
      <c r="ID43" s="545"/>
      <c r="IE43" s="535"/>
      <c r="IH43" s="305"/>
      <c r="II43" s="260"/>
      <c r="IJ43" s="545"/>
      <c r="IK43" s="535"/>
      <c r="IP43" s="545"/>
      <c r="IQ43" s="550"/>
      <c r="IV43" s="512"/>
      <c r="IW43" s="335"/>
      <c r="JA43" s="560"/>
      <c r="JB43" s="545"/>
      <c r="JC43" s="550"/>
      <c r="JG43" s="489"/>
      <c r="JH43" s="325"/>
      <c r="JI43" s="335"/>
      <c r="JN43" s="512"/>
      <c r="JO43" s="335"/>
      <c r="JT43" s="406" t="s">
        <v>1557</v>
      </c>
      <c r="JU43" s="405">
        <v>19.899999999999999</v>
      </c>
      <c r="JX43" s="300" t="s">
        <v>2130</v>
      </c>
      <c r="JY43" s="259">
        <f>SUM(KA11:KA19)</f>
        <v>2906.73</v>
      </c>
      <c r="JZ43" s="297" t="s">
        <v>2829</v>
      </c>
      <c r="KA43" s="202">
        <f>47.8+1.2+2.5+3.2</f>
        <v>54.7</v>
      </c>
      <c r="KE43" s="285" t="s">
        <v>2746</v>
      </c>
      <c r="KF43" s="234" t="s">
        <v>2853</v>
      </c>
      <c r="KG43" s="340">
        <v>37.700000000000003</v>
      </c>
      <c r="KJ43" s="297" t="s">
        <v>2858</v>
      </c>
      <c r="KK43" s="553">
        <f>SUM(KM28:KM34)</f>
        <v>362.27</v>
      </c>
      <c r="KL43" s="545">
        <v>100</v>
      </c>
      <c r="KM43" s="550" t="s">
        <v>2945</v>
      </c>
      <c r="KN43" s="340" t="s">
        <v>2955</v>
      </c>
      <c r="KR43" s="545">
        <v>12.4</v>
      </c>
      <c r="KS43" s="550" t="s">
        <v>3027</v>
      </c>
      <c r="KT43" s="285" t="s">
        <v>2957</v>
      </c>
      <c r="KV43" s="445" t="s">
        <v>1928</v>
      </c>
      <c r="KW43" s="260">
        <f>SUM(KY6:KY7)</f>
        <v>1950.12</v>
      </c>
      <c r="KX43" s="297" t="s">
        <v>3145</v>
      </c>
      <c r="KY43" s="202">
        <v>6</v>
      </c>
      <c r="KZ43" s="340" t="s">
        <v>2955</v>
      </c>
      <c r="LB43" s="297" t="s">
        <v>2858</v>
      </c>
      <c r="LC43" s="553">
        <f>SUM(LE34:LE39)</f>
        <v>235.89</v>
      </c>
      <c r="LD43" s="545">
        <v>22.2</v>
      </c>
      <c r="LE43" s="558" t="s">
        <v>3150</v>
      </c>
      <c r="LI43" s="660"/>
      <c r="LJ43" s="545">
        <v>30</v>
      </c>
      <c r="LK43" s="550" t="s">
        <v>3201</v>
      </c>
      <c r="LP43" s="694"/>
      <c r="LQ43" s="202"/>
      <c r="LR43" s="688" t="s">
        <v>3020</v>
      </c>
      <c r="LT43" s="202"/>
    </row>
    <row r="44" spans="1:332" ht="13.5" thickBot="1">
      <c r="W44" s="196" t="s">
        <v>1012</v>
      </c>
      <c r="X44" s="340">
        <v>600</v>
      </c>
      <c r="AO44" s="246" t="s">
        <v>1110</v>
      </c>
      <c r="AP44" s="340">
        <v>95</v>
      </c>
      <c r="AU44" s="340" t="s">
        <v>1172</v>
      </c>
      <c r="AV44" s="340">
        <v>-180</v>
      </c>
      <c r="CC44" s="217" t="s">
        <v>1176</v>
      </c>
      <c r="CD44" s="217">
        <v>150</v>
      </c>
      <c r="CI44" s="217" t="s">
        <v>1305</v>
      </c>
      <c r="CJ44" s="217">
        <v>300</v>
      </c>
      <c r="CO44" s="217" t="s">
        <v>1176</v>
      </c>
      <c r="CP44" s="217">
        <v>400</v>
      </c>
      <c r="CU44" s="217" t="s">
        <v>1167</v>
      </c>
      <c r="CV44" s="217">
        <v>500</v>
      </c>
      <c r="DA44" s="217" t="s">
        <v>1380</v>
      </c>
      <c r="DB44" s="217">
        <v>114.55</v>
      </c>
      <c r="DG44" s="269" t="s">
        <v>1431</v>
      </c>
      <c r="DH44" s="261">
        <v>95</v>
      </c>
      <c r="DI44" s="532" t="s">
        <v>1480</v>
      </c>
      <c r="DJ44" s="538" t="s">
        <v>1481</v>
      </c>
      <c r="DL44" s="204"/>
      <c r="DM44" s="216" t="s">
        <v>1514</v>
      </c>
      <c r="DN44" s="276"/>
      <c r="DO44" s="285"/>
      <c r="DP44" s="499">
        <f>-DP10</f>
        <v>2524</v>
      </c>
      <c r="DR44" s="204"/>
      <c r="DS44" s="216" t="s">
        <v>1593</v>
      </c>
      <c r="DT44" s="276"/>
      <c r="DY44" s="340" t="s">
        <v>1613</v>
      </c>
      <c r="EA44" s="340" t="s">
        <v>1624</v>
      </c>
      <c r="EL44" s="204" t="s">
        <v>1659</v>
      </c>
      <c r="EM44" s="204">
        <v>35.799999999999997</v>
      </c>
      <c r="ER44" s="204" t="s">
        <v>1694</v>
      </c>
      <c r="ES44" s="340">
        <v>69.7</v>
      </c>
      <c r="EX44" s="204" t="s">
        <v>1737</v>
      </c>
      <c r="EY44" s="204">
        <v>8.64</v>
      </c>
      <c r="FD44" s="340" t="s">
        <v>1787</v>
      </c>
      <c r="FE44" s="204"/>
      <c r="FF44" s="340" t="s">
        <v>1673</v>
      </c>
      <c r="FJ44" s="340" t="s">
        <v>1814</v>
      </c>
      <c r="FK44" s="204"/>
      <c r="FL44" s="204"/>
      <c r="FP44" s="535" t="s">
        <v>1829</v>
      </c>
      <c r="FQ44" s="309"/>
      <c r="GB44" s="557" t="s">
        <v>1925</v>
      </c>
      <c r="GC44" s="204">
        <v>11</v>
      </c>
      <c r="GH44" s="557" t="s">
        <v>1956</v>
      </c>
      <c r="GI44" s="204">
        <v>43</v>
      </c>
      <c r="GJ44" s="340" t="s">
        <v>1149</v>
      </c>
      <c r="GN44" s="541" t="s">
        <v>1746</v>
      </c>
      <c r="GO44" s="218"/>
      <c r="GP44" s="340" t="s">
        <v>1673</v>
      </c>
      <c r="GT44" s="559">
        <v>30</v>
      </c>
      <c r="GU44" s="535" t="s">
        <v>2054</v>
      </c>
      <c r="GZ44" s="309" t="s">
        <v>2066</v>
      </c>
      <c r="HA44" s="307">
        <f>GW16+GZ43-HC17</f>
        <v>134</v>
      </c>
      <c r="HB44" s="340" t="s">
        <v>1034</v>
      </c>
      <c r="HE44" s="308"/>
      <c r="HF44" s="571">
        <v>29.54</v>
      </c>
      <c r="HX44" s="505" t="s">
        <v>2219</v>
      </c>
      <c r="HY44" s="491">
        <v>98.89</v>
      </c>
      <c r="HZ44" s="340" t="s">
        <v>506</v>
      </c>
      <c r="ID44" s="545">
        <v>10</v>
      </c>
      <c r="IE44" s="535" t="s">
        <v>2293</v>
      </c>
      <c r="IH44" s="243" t="s">
        <v>1929</v>
      </c>
      <c r="II44" s="260">
        <f>SUM(IK14:IK15)</f>
        <v>1933.7466666666667</v>
      </c>
      <c r="IJ44" s="545">
        <v>10</v>
      </c>
      <c r="IK44" s="535" t="s">
        <v>2348</v>
      </c>
      <c r="IP44" s="545">
        <v>20</v>
      </c>
      <c r="IQ44" s="550" t="s">
        <v>2443</v>
      </c>
      <c r="IV44" s="512"/>
      <c r="IW44" s="335"/>
      <c r="JB44" s="545">
        <v>13</v>
      </c>
      <c r="JC44" s="550" t="s">
        <v>2570</v>
      </c>
      <c r="JG44" s="489"/>
      <c r="JH44" s="325" t="s">
        <v>1618</v>
      </c>
      <c r="JI44" s="335">
        <v>12.34</v>
      </c>
      <c r="JN44" s="325" t="s">
        <v>2689</v>
      </c>
      <c r="JO44" s="335">
        <v>13.3</v>
      </c>
      <c r="JT44" s="407" t="s">
        <v>2504</v>
      </c>
      <c r="JU44" s="408">
        <f>80.82+75.78</f>
        <v>156.6</v>
      </c>
      <c r="JX44" s="302" t="s">
        <v>2131</v>
      </c>
      <c r="JY44" s="259">
        <f>SUM(KA24:KA32)</f>
        <v>1008.43</v>
      </c>
      <c r="JZ44" s="297" t="s">
        <v>2818</v>
      </c>
      <c r="KA44" s="335">
        <v>26.5</v>
      </c>
      <c r="KE44" s="285"/>
      <c r="KF44" s="234" t="s">
        <v>2852</v>
      </c>
      <c r="KG44" s="340">
        <v>35.25</v>
      </c>
      <c r="KL44" s="545">
        <v>9</v>
      </c>
      <c r="KM44" s="550" t="s">
        <v>2946</v>
      </c>
      <c r="KN44" s="340" t="s">
        <v>2956</v>
      </c>
      <c r="KP44" s="309" t="s">
        <v>3031</v>
      </c>
      <c r="KQ44" s="563">
        <v>100</v>
      </c>
      <c r="KR44" s="545">
        <v>10</v>
      </c>
      <c r="KS44" s="550" t="s">
        <v>3075</v>
      </c>
      <c r="KV44" s="312" t="s">
        <v>2986</v>
      </c>
      <c r="KW44" s="260">
        <f>SUM(KY23:KY23)</f>
        <v>1196.72</v>
      </c>
      <c r="KX44" s="297" t="s">
        <v>3146</v>
      </c>
      <c r="KY44" s="202">
        <v>7.9</v>
      </c>
      <c r="KZ44" s="340" t="s">
        <v>2956</v>
      </c>
      <c r="LD44" s="545">
        <v>30</v>
      </c>
      <c r="LE44" s="550" t="s">
        <v>1827</v>
      </c>
      <c r="LJ44" s="545">
        <v>30</v>
      </c>
      <c r="LK44" s="550" t="s">
        <v>1827</v>
      </c>
      <c r="LL44" s="656" t="s">
        <v>2955</v>
      </c>
      <c r="LP44" s="564"/>
      <c r="LQ44" s="493"/>
      <c r="LR44" s="688" t="s">
        <v>3019</v>
      </c>
      <c r="LT44" s="202"/>
    </row>
    <row r="45" spans="1:332">
      <c r="W45" s="197" t="s">
        <v>1028</v>
      </c>
      <c r="X45" s="340">
        <v>100</v>
      </c>
      <c r="AU45" s="340" t="s">
        <v>1166</v>
      </c>
      <c r="AV45" s="340">
        <f>53+76.3</f>
        <v>129.30000000000001</v>
      </c>
      <c r="CI45" s="217" t="s">
        <v>1167</v>
      </c>
      <c r="CJ45" s="217">
        <v>400</v>
      </c>
      <c r="CO45" s="217" t="s">
        <v>1359</v>
      </c>
      <c r="CU45" s="217" t="s">
        <v>1176</v>
      </c>
      <c r="CV45" s="217">
        <v>200</v>
      </c>
      <c r="DA45" s="217" t="s">
        <v>1167</v>
      </c>
      <c r="DB45" s="217">
        <v>700</v>
      </c>
      <c r="DG45" s="463" t="s">
        <v>1409</v>
      </c>
      <c r="DH45" s="275">
        <v>350</v>
      </c>
      <c r="DJ45" s="286"/>
      <c r="DL45" s="204"/>
      <c r="DM45" s="204" t="s">
        <v>1492</v>
      </c>
      <c r="DN45" s="261">
        <v>22.9</v>
      </c>
      <c r="DO45" s="285"/>
      <c r="DP45" s="499">
        <v>34.799999999999997</v>
      </c>
      <c r="DR45" s="204"/>
      <c r="DS45" s="216" t="s">
        <v>1583</v>
      </c>
      <c r="DT45" s="276"/>
      <c r="DU45" s="265"/>
      <c r="DY45" s="340" t="s">
        <v>1427</v>
      </c>
      <c r="DZ45" s="340">
        <v>70</v>
      </c>
      <c r="EL45" s="340" t="s">
        <v>1652</v>
      </c>
      <c r="EM45" s="340">
        <v>19.899999999999999</v>
      </c>
      <c r="ET45" s="265"/>
      <c r="EX45" s="204" t="s">
        <v>1739</v>
      </c>
      <c r="EY45" s="204">
        <f>7.3+13+10.5+10.8</f>
        <v>41.6</v>
      </c>
      <c r="FD45" s="340" t="s">
        <v>1427</v>
      </c>
      <c r="FE45" s="340">
        <v>30</v>
      </c>
      <c r="FF45" s="340" t="s">
        <v>1541</v>
      </c>
      <c r="FJ45" s="340" t="s">
        <v>1427</v>
      </c>
      <c r="FK45" s="340">
        <v>80</v>
      </c>
      <c r="FL45" s="204"/>
      <c r="FP45" s="204" t="s">
        <v>1822</v>
      </c>
      <c r="FQ45" s="340">
        <v>24</v>
      </c>
      <c r="FV45" s="340" t="s">
        <v>1571</v>
      </c>
      <c r="FW45" s="285">
        <v>646</v>
      </c>
      <c r="FX45" s="265"/>
      <c r="GB45" s="557" t="s">
        <v>1930</v>
      </c>
      <c r="GC45" s="204">
        <v>20</v>
      </c>
      <c r="GD45" s="265"/>
      <c r="GH45" s="557" t="s">
        <v>1970</v>
      </c>
      <c r="GI45" s="204">
        <v>64.680000000000007</v>
      </c>
      <c r="GJ45" s="340" t="s">
        <v>1034</v>
      </c>
      <c r="GN45" s="539">
        <v>100</v>
      </c>
      <c r="GO45" s="541"/>
      <c r="GP45" s="340" t="s">
        <v>93</v>
      </c>
      <c r="GT45" s="557" t="s">
        <v>2035</v>
      </c>
      <c r="GU45" s="204">
        <v>70</v>
      </c>
      <c r="GZ45" s="561">
        <v>60</v>
      </c>
      <c r="HA45" s="535" t="s">
        <v>1827</v>
      </c>
      <c r="HF45" s="340" t="s">
        <v>2050</v>
      </c>
      <c r="HG45" s="204">
        <v>90</v>
      </c>
      <c r="HX45" s="572" t="s">
        <v>2262</v>
      </c>
      <c r="HY45" s="572"/>
      <c r="HZ45" s="340" t="s">
        <v>93</v>
      </c>
      <c r="ID45" s="545">
        <f>20+9</f>
        <v>29</v>
      </c>
      <c r="IE45" s="535" t="s">
        <v>2308</v>
      </c>
      <c r="IH45" s="310" t="s">
        <v>1392</v>
      </c>
      <c r="II45" s="259">
        <f>SUM(IK10:IK11)</f>
        <v>3467.75</v>
      </c>
      <c r="IJ45" s="545">
        <v>20</v>
      </c>
      <c r="IK45" s="535" t="s">
        <v>2367</v>
      </c>
      <c r="IO45" s="489"/>
      <c r="IP45" s="545">
        <v>12</v>
      </c>
      <c r="IQ45" s="550" t="s">
        <v>2421</v>
      </c>
      <c r="IV45" s="337"/>
      <c r="IW45" s="339"/>
      <c r="JB45" s="487" t="s">
        <v>2542</v>
      </c>
      <c r="JC45" s="493">
        <v>18</v>
      </c>
      <c r="JG45" s="560"/>
      <c r="JH45" s="512" t="s">
        <v>2922</v>
      </c>
      <c r="JI45" s="335">
        <v>65</v>
      </c>
      <c r="JN45" s="340" t="s">
        <v>2688</v>
      </c>
      <c r="JO45" s="335">
        <v>120.36</v>
      </c>
      <c r="JT45" s="573" t="s">
        <v>2747</v>
      </c>
      <c r="JU45" s="409">
        <v>27.83</v>
      </c>
      <c r="JX45" s="297" t="s">
        <v>2129</v>
      </c>
      <c r="JY45" s="259">
        <f>SUM(KA33:KA44)</f>
        <v>681.71</v>
      </c>
      <c r="JZ45" s="340" t="s">
        <v>2932</v>
      </c>
      <c r="KA45" s="261">
        <f>8+61+1</f>
        <v>70</v>
      </c>
      <c r="KE45" s="285"/>
      <c r="KF45" s="574" t="s">
        <v>2868</v>
      </c>
      <c r="KG45" s="340">
        <v>98.58</v>
      </c>
      <c r="KJ45" s="309" t="s">
        <v>2959</v>
      </c>
      <c r="KK45" s="563">
        <v>250</v>
      </c>
      <c r="KL45" s="545">
        <v>10</v>
      </c>
      <c r="KM45" s="550" t="s">
        <v>2953</v>
      </c>
      <c r="KR45" s="545">
        <f>10+10+5+5</f>
        <v>30</v>
      </c>
      <c r="KS45" s="550" t="s">
        <v>3076</v>
      </c>
      <c r="KT45" s="340" t="s">
        <v>2955</v>
      </c>
      <c r="KV45" s="446" t="s">
        <v>2974</v>
      </c>
      <c r="KW45" s="259">
        <v>0</v>
      </c>
      <c r="KX45" s="297" t="s">
        <v>3133</v>
      </c>
      <c r="KY45" s="335">
        <f>40.5+66.1</f>
        <v>106.6</v>
      </c>
      <c r="LB45" s="309" t="s">
        <v>3176</v>
      </c>
      <c r="LC45" s="563">
        <v>200</v>
      </c>
      <c r="LD45" s="545">
        <v>20</v>
      </c>
      <c r="LE45" s="550" t="s">
        <v>3191</v>
      </c>
      <c r="LJ45" s="545">
        <v>13</v>
      </c>
      <c r="LK45" s="550" t="s">
        <v>3222</v>
      </c>
      <c r="LL45" s="656" t="s">
        <v>2956</v>
      </c>
      <c r="LQ45" s="202"/>
      <c r="LR45" s="692" t="s">
        <v>2957</v>
      </c>
      <c r="LT45" s="202"/>
    </row>
    <row r="46" spans="1:332">
      <c r="AO46" s="340" t="s">
        <v>1107</v>
      </c>
      <c r="AP46" s="340">
        <f>129-18</f>
        <v>111</v>
      </c>
      <c r="AU46" s="340" t="s">
        <v>1145</v>
      </c>
      <c r="AV46" s="340">
        <v>25</v>
      </c>
      <c r="CI46" s="217" t="s">
        <v>1176</v>
      </c>
      <c r="CJ46" s="217">
        <v>150</v>
      </c>
      <c r="CU46" s="217" t="s">
        <v>1355</v>
      </c>
      <c r="DG46" s="216" t="s">
        <v>1478</v>
      </c>
      <c r="DH46" s="276"/>
      <c r="DI46" s="197" t="s">
        <v>506</v>
      </c>
      <c r="DL46" s="204"/>
      <c r="DM46" s="204" t="s">
        <v>1510</v>
      </c>
      <c r="DN46" s="261">
        <v>36.299999999999997</v>
      </c>
      <c r="DO46" s="285"/>
      <c r="DP46" s="499">
        <v>1.93</v>
      </c>
      <c r="DR46" s="204"/>
      <c r="DS46" s="216" t="s">
        <v>1584</v>
      </c>
      <c r="DT46" s="276"/>
      <c r="EL46" s="204" t="s">
        <v>1661</v>
      </c>
      <c r="EM46" s="204">
        <v>29</v>
      </c>
      <c r="ER46" s="340" t="s">
        <v>1571</v>
      </c>
      <c r="ES46" s="285">
        <v>840</v>
      </c>
      <c r="EX46" s="204" t="s">
        <v>1740</v>
      </c>
      <c r="EY46" s="204">
        <v>15.19</v>
      </c>
      <c r="FF46" s="340" t="s">
        <v>93</v>
      </c>
      <c r="FL46" s="340" t="s">
        <v>506</v>
      </c>
      <c r="FP46" s="285" t="s">
        <v>1341</v>
      </c>
      <c r="FQ46" s="285">
        <v>50</v>
      </c>
      <c r="FR46" s="265"/>
      <c r="FV46" s="340" t="s">
        <v>1915</v>
      </c>
      <c r="FW46" s="204"/>
      <c r="GB46" s="557" t="s">
        <v>1941</v>
      </c>
      <c r="GC46" s="204">
        <v>20</v>
      </c>
      <c r="GN46" s="309" t="s">
        <v>2016</v>
      </c>
      <c r="GO46" s="307">
        <f>GK17+GN45-GQ17</f>
        <v>104</v>
      </c>
      <c r="GP46" s="340" t="s">
        <v>1149</v>
      </c>
      <c r="GT46" s="557" t="s">
        <v>2049</v>
      </c>
      <c r="GU46" s="204">
        <v>29.6</v>
      </c>
      <c r="GZ46" s="559">
        <v>20</v>
      </c>
      <c r="HA46" s="535" t="s">
        <v>2112</v>
      </c>
      <c r="HX46" s="572"/>
      <c r="HY46" s="572"/>
      <c r="ID46" s="325" t="s">
        <v>2319</v>
      </c>
      <c r="IE46" s="491">
        <v>23</v>
      </c>
      <c r="IH46" s="300" t="s">
        <v>2130</v>
      </c>
      <c r="II46" s="311">
        <f>SUM(IK12:IK13)</f>
        <v>2138.0500000000002</v>
      </c>
      <c r="IJ46" s="545">
        <v>5</v>
      </c>
      <c r="IK46" s="535" t="s">
        <v>2351</v>
      </c>
      <c r="IO46" s="489"/>
      <c r="IP46" s="545">
        <v>20</v>
      </c>
      <c r="IQ46" s="550" t="s">
        <v>2178</v>
      </c>
      <c r="IV46" s="337"/>
      <c r="IW46" s="308"/>
      <c r="JB46" s="325" t="s">
        <v>2393</v>
      </c>
      <c r="JC46" s="340">
        <v>86.8</v>
      </c>
      <c r="JH46" s="325" t="s">
        <v>2598</v>
      </c>
      <c r="JI46" s="335">
        <v>13.3</v>
      </c>
      <c r="JN46" s="512" t="s">
        <v>2675</v>
      </c>
      <c r="JO46" s="335">
        <v>2.79</v>
      </c>
      <c r="JT46" s="573" t="s">
        <v>2728</v>
      </c>
      <c r="JU46" s="409">
        <v>8.61</v>
      </c>
      <c r="JX46" s="297" t="s">
        <v>2858</v>
      </c>
      <c r="JY46" s="259">
        <f>SUM(KA36:KA44)</f>
        <v>301.70999999999998</v>
      </c>
      <c r="JZ46" s="340" t="s">
        <v>2933</v>
      </c>
      <c r="KA46" s="261">
        <v>300</v>
      </c>
      <c r="KE46" s="285"/>
      <c r="KL46" s="545">
        <v>20</v>
      </c>
      <c r="KM46" s="550" t="s">
        <v>2985</v>
      </c>
      <c r="KQ46" s="285"/>
      <c r="KR46" s="340" t="s">
        <v>3032</v>
      </c>
      <c r="KS46" s="340">
        <v>120</v>
      </c>
      <c r="KT46" s="340" t="s">
        <v>2956</v>
      </c>
      <c r="KV46" s="301" t="s">
        <v>2981</v>
      </c>
      <c r="KW46" s="259">
        <f>SUM(KY8:KY13)</f>
        <v>1272.93</v>
      </c>
      <c r="KX46" s="297" t="s">
        <v>3132</v>
      </c>
      <c r="KY46" s="335">
        <v>5.8</v>
      </c>
      <c r="LD46" s="545">
        <v>10</v>
      </c>
      <c r="LE46" s="550" t="s">
        <v>2178</v>
      </c>
      <c r="LJ46" s="545">
        <v>50</v>
      </c>
      <c r="LK46" s="218" t="s">
        <v>2985</v>
      </c>
      <c r="LQ46" s="493"/>
      <c r="LT46" s="202"/>
    </row>
    <row r="47" spans="1:332">
      <c r="AO47" s="340" t="s">
        <v>1109</v>
      </c>
      <c r="AP47" s="340">
        <v>25</v>
      </c>
      <c r="BX47" s="252"/>
      <c r="CD47" s="252"/>
      <c r="CJ47" s="252"/>
      <c r="DG47" s="216" t="s">
        <v>1432</v>
      </c>
      <c r="DH47" s="276"/>
      <c r="DI47" s="197" t="s">
        <v>992</v>
      </c>
      <c r="DJ47" s="548"/>
      <c r="DL47" s="204"/>
      <c r="DM47" s="204" t="s">
        <v>1509</v>
      </c>
      <c r="DN47" s="261">
        <v>50</v>
      </c>
      <c r="DO47" s="285"/>
      <c r="DP47" s="499">
        <v>64</v>
      </c>
      <c r="DR47" s="204"/>
      <c r="DS47" s="216"/>
      <c r="DT47" s="276"/>
      <c r="ER47" s="340" t="s">
        <v>1713</v>
      </c>
      <c r="ES47" s="204"/>
      <c r="EX47" s="204"/>
      <c r="EY47" s="204"/>
      <c r="EZ47" s="265"/>
      <c r="FC47" s="240"/>
      <c r="FF47" s="340" t="s">
        <v>1149</v>
      </c>
      <c r="FL47" s="340" t="s">
        <v>1673</v>
      </c>
      <c r="FP47" s="557" t="s">
        <v>1826</v>
      </c>
      <c r="FQ47" s="285">
        <v>4.41</v>
      </c>
      <c r="FV47" s="340" t="s">
        <v>1875</v>
      </c>
      <c r="FW47" s="340">
        <v>52.15</v>
      </c>
      <c r="GB47" s="557" t="s">
        <v>1936</v>
      </c>
      <c r="GC47" s="204">
        <v>30.35</v>
      </c>
      <c r="GH47" s="340" t="s">
        <v>1571</v>
      </c>
      <c r="GI47" s="285">
        <v>638</v>
      </c>
      <c r="GN47" s="535" t="s">
        <v>1993</v>
      </c>
      <c r="GO47" s="309"/>
      <c r="GP47" s="340" t="s">
        <v>1034</v>
      </c>
      <c r="GT47" s="557" t="s">
        <v>2032</v>
      </c>
      <c r="GU47" s="204">
        <v>32.1</v>
      </c>
      <c r="GZ47" s="559">
        <v>30</v>
      </c>
      <c r="HA47" s="535" t="s">
        <v>2071</v>
      </c>
      <c r="HX47" s="213" t="s">
        <v>2256</v>
      </c>
      <c r="HY47" s="340">
        <f>40+150</f>
        <v>190</v>
      </c>
      <c r="ID47" s="512" t="s">
        <v>2277</v>
      </c>
      <c r="IE47" s="340">
        <v>54.8</v>
      </c>
      <c r="IH47" s="299" t="s">
        <v>2131</v>
      </c>
      <c r="II47" s="311">
        <f>SUM(IK16:IK23)</f>
        <v>1252.2433333333333</v>
      </c>
      <c r="IJ47" s="545">
        <v>7</v>
      </c>
      <c r="IK47" s="535" t="s">
        <v>2363</v>
      </c>
      <c r="IO47" s="560"/>
      <c r="IP47" s="539">
        <v>10</v>
      </c>
      <c r="IQ47" s="550" t="s">
        <v>2431</v>
      </c>
      <c r="IV47" s="337"/>
      <c r="IW47" s="337"/>
      <c r="JB47" s="325" t="s">
        <v>2574</v>
      </c>
      <c r="JC47" s="335">
        <v>36.9</v>
      </c>
      <c r="JH47" s="337" t="s">
        <v>2639</v>
      </c>
      <c r="JI47" s="308">
        <v>3</v>
      </c>
      <c r="JN47" s="325" t="s">
        <v>2693</v>
      </c>
      <c r="JO47" s="335">
        <v>8.5500000000000007</v>
      </c>
      <c r="JT47" s="573" t="s">
        <v>2729</v>
      </c>
      <c r="JU47" s="409">
        <v>19.46</v>
      </c>
      <c r="JZ47" s="217" t="s">
        <v>3214</v>
      </c>
      <c r="KA47" s="274">
        <f>670+187</f>
        <v>857</v>
      </c>
      <c r="KE47" s="285"/>
      <c r="KK47" s="285"/>
      <c r="KL47" s="545">
        <v>24</v>
      </c>
      <c r="KM47" s="550" t="s">
        <v>2960</v>
      </c>
      <c r="KQ47" s="285"/>
      <c r="KR47" s="340" t="s">
        <v>3028</v>
      </c>
      <c r="KS47" s="340">
        <v>82.45</v>
      </c>
      <c r="KV47" s="254" t="s">
        <v>2982</v>
      </c>
      <c r="KW47" s="628">
        <f>SUM(KY14:KY22)</f>
        <v>1574</v>
      </c>
      <c r="KX47" s="340" t="s">
        <v>2941</v>
      </c>
      <c r="KY47" s="261">
        <f>400+110</f>
        <v>510</v>
      </c>
      <c r="LB47" s="622" t="s">
        <v>3099</v>
      </c>
      <c r="LC47" s="619"/>
      <c r="LD47" s="545">
        <v>7</v>
      </c>
      <c r="LE47" s="550" t="s">
        <v>3166</v>
      </c>
      <c r="LJ47" s="545">
        <v>40</v>
      </c>
      <c r="LK47" s="218" t="s">
        <v>3259</v>
      </c>
      <c r="LR47" s="688" t="s">
        <v>2955</v>
      </c>
      <c r="LT47" s="202"/>
    </row>
    <row r="48" spans="1:332">
      <c r="AO48" s="340" t="s">
        <v>1108</v>
      </c>
      <c r="AP48" s="340">
        <v>508</v>
      </c>
      <c r="AU48" s="340" t="s">
        <v>1173</v>
      </c>
      <c r="AV48" s="340">
        <v>200</v>
      </c>
      <c r="DG48" s="216" t="s">
        <v>1473</v>
      </c>
      <c r="DH48" s="276"/>
      <c r="DI48" s="285" t="s">
        <v>93</v>
      </c>
      <c r="DJ48" s="261"/>
      <c r="DM48" s="204" t="s">
        <v>1534</v>
      </c>
      <c r="DN48" s="261">
        <v>34</v>
      </c>
      <c r="DO48" s="285"/>
      <c r="DP48" s="499">
        <v>21.78</v>
      </c>
      <c r="DS48" s="204" t="s">
        <v>1530</v>
      </c>
      <c r="DT48" s="261">
        <v>34.799999999999997</v>
      </c>
      <c r="EL48" s="340" t="s">
        <v>1571</v>
      </c>
      <c r="EM48" s="340">
        <v>870</v>
      </c>
      <c r="EN48" s="340" t="s">
        <v>1624</v>
      </c>
      <c r="ER48" s="340" t="s">
        <v>1427</v>
      </c>
      <c r="ES48" s="340">
        <v>60</v>
      </c>
      <c r="EX48" s="340" t="s">
        <v>1571</v>
      </c>
      <c r="EY48" s="285">
        <v>940</v>
      </c>
      <c r="FF48" s="340" t="s">
        <v>1034</v>
      </c>
      <c r="FL48" s="340" t="s">
        <v>1541</v>
      </c>
      <c r="FP48" s="557" t="s">
        <v>1825</v>
      </c>
      <c r="FQ48" s="204">
        <v>70.3</v>
      </c>
      <c r="FV48" s="340" t="s">
        <v>1876</v>
      </c>
      <c r="GH48" s="340" t="s">
        <v>1980</v>
      </c>
      <c r="GI48" s="204"/>
      <c r="GJ48" s="340" t="s">
        <v>478</v>
      </c>
      <c r="GN48" s="535" t="s">
        <v>2014</v>
      </c>
      <c r="GO48" s="309"/>
      <c r="GT48" s="557" t="s">
        <v>1492</v>
      </c>
      <c r="GU48" s="340">
        <v>2.66</v>
      </c>
      <c r="GZ48" s="557" t="s">
        <v>2075</v>
      </c>
      <c r="HA48" s="204">
        <v>6</v>
      </c>
      <c r="HB48" s="265"/>
      <c r="HX48" s="355" t="s">
        <v>2227</v>
      </c>
      <c r="HY48" s="491">
        <v>150</v>
      </c>
      <c r="ID48" s="512" t="s">
        <v>1656</v>
      </c>
      <c r="IE48" s="340">
        <v>54.6</v>
      </c>
      <c r="IH48" s="297" t="s">
        <v>2129</v>
      </c>
      <c r="II48" s="311">
        <f>SUM(IK24:IK36)</f>
        <v>602.14</v>
      </c>
      <c r="IJ48" s="539">
        <f>-IK7</f>
        <v>-15</v>
      </c>
      <c r="IK48" s="535" t="s">
        <v>2352</v>
      </c>
      <c r="IP48" s="539">
        <f>17+11+6</f>
        <v>34</v>
      </c>
      <c r="IQ48" s="550" t="s">
        <v>2436</v>
      </c>
      <c r="IV48" s="505"/>
      <c r="IW48" s="337"/>
      <c r="JB48" s="325" t="s">
        <v>2598</v>
      </c>
      <c r="JC48" s="335">
        <v>13.3</v>
      </c>
      <c r="JH48" s="337"/>
      <c r="JI48" s="337"/>
      <c r="JN48" s="325" t="s">
        <v>2694</v>
      </c>
      <c r="JO48" s="335">
        <v>10.35</v>
      </c>
      <c r="JS48" s="567" t="s">
        <v>2741</v>
      </c>
      <c r="JT48" s="573" t="s">
        <v>2731</v>
      </c>
      <c r="JU48" s="410">
        <f>5.42+0.41+0.58+2.33+0.29+0.28+0.26+1.45+0.29+4.73+1.54</f>
        <v>17.579999999999998</v>
      </c>
      <c r="JZ48" s="540">
        <v>47.04</v>
      </c>
      <c r="KA48" s="274" t="s">
        <v>2830</v>
      </c>
      <c r="KK48" s="285"/>
      <c r="KL48" s="545">
        <v>8</v>
      </c>
      <c r="KM48" s="550" t="s">
        <v>2988</v>
      </c>
      <c r="KR48" s="564" t="s">
        <v>3037</v>
      </c>
      <c r="KS48" s="493">
        <v>50</v>
      </c>
      <c r="KV48" s="448" t="s">
        <v>2836</v>
      </c>
      <c r="KW48" s="259">
        <f>SUM(KY24:KY31)</f>
        <v>699.97</v>
      </c>
      <c r="KX48" s="217" t="s">
        <v>3214</v>
      </c>
      <c r="KY48" s="274">
        <f>194+179+2</f>
        <v>375</v>
      </c>
      <c r="LB48" s="622" t="s">
        <v>3100</v>
      </c>
      <c r="LC48" s="619"/>
      <c r="LD48" s="545">
        <v>30</v>
      </c>
      <c r="LE48" s="550" t="s">
        <v>3189</v>
      </c>
      <c r="LJ48" s="662" t="s">
        <v>3243</v>
      </c>
      <c r="LK48" s="202">
        <v>28.72</v>
      </c>
      <c r="LQ48" s="339"/>
      <c r="LR48" s="688" t="s">
        <v>2956</v>
      </c>
      <c r="LT48" s="202"/>
    </row>
    <row r="49" spans="41:332">
      <c r="AO49" s="340" t="s">
        <v>1115</v>
      </c>
      <c r="AP49" s="340">
        <f>20*3</f>
        <v>60</v>
      </c>
      <c r="AU49" s="340" t="s">
        <v>1167</v>
      </c>
      <c r="AV49" s="340">
        <v>300</v>
      </c>
      <c r="DF49" s="204"/>
      <c r="DG49" s="216" t="s">
        <v>1426</v>
      </c>
      <c r="DH49" s="276"/>
      <c r="DI49" s="340" t="s">
        <v>1149</v>
      </c>
      <c r="DJ49" s="335"/>
      <c r="DM49" s="204"/>
      <c r="DO49" s="285"/>
      <c r="DP49" s="499">
        <v>27.85</v>
      </c>
      <c r="DS49" s="204" t="s">
        <v>1557</v>
      </c>
      <c r="DT49" s="261">
        <v>39.9</v>
      </c>
      <c r="EL49" s="340" t="s">
        <v>1660</v>
      </c>
      <c r="EX49" s="340" t="s">
        <v>1741</v>
      </c>
      <c r="EY49" s="204"/>
      <c r="FL49" s="340" t="s">
        <v>93</v>
      </c>
      <c r="FP49" s="557" t="s">
        <v>1858</v>
      </c>
      <c r="FQ49" s="204">
        <v>206</v>
      </c>
      <c r="FV49" s="340" t="s">
        <v>1427</v>
      </c>
      <c r="FW49" s="340">
        <v>48</v>
      </c>
      <c r="GB49" s="340" t="s">
        <v>1571</v>
      </c>
      <c r="GC49" s="285">
        <v>1057</v>
      </c>
      <c r="GH49" s="340" t="s">
        <v>1427</v>
      </c>
      <c r="GI49" s="340">
        <v>72</v>
      </c>
      <c r="GJ49" s="265" t="s">
        <v>1306</v>
      </c>
      <c r="GN49" s="535" t="s">
        <v>2058</v>
      </c>
      <c r="GO49" s="309"/>
      <c r="GT49" s="557" t="s">
        <v>2024</v>
      </c>
      <c r="GU49" s="204">
        <v>60.6</v>
      </c>
      <c r="GV49" s="741" t="s">
        <v>2057</v>
      </c>
      <c r="GZ49" s="340" t="s">
        <v>2051</v>
      </c>
      <c r="HA49" s="445">
        <v>670.00099999999998</v>
      </c>
      <c r="HX49" s="356" t="s">
        <v>2252</v>
      </c>
      <c r="HY49" s="340">
        <f>389.7+107.1</f>
        <v>496.79999999999995</v>
      </c>
      <c r="ID49" s="512" t="s">
        <v>2297</v>
      </c>
      <c r="IE49" s="340">
        <v>195.81</v>
      </c>
      <c r="IH49" s="297" t="s">
        <v>2635</v>
      </c>
      <c r="II49" s="259">
        <f>SUM(IK27:IK36)</f>
        <v>428.43999999999994</v>
      </c>
      <c r="IJ49" s="539">
        <v>20</v>
      </c>
      <c r="IK49" s="535" t="s">
        <v>1827</v>
      </c>
      <c r="IP49" s="539">
        <v>20</v>
      </c>
      <c r="IQ49" s="550" t="s">
        <v>2442</v>
      </c>
      <c r="IV49" s="337"/>
      <c r="IW49" s="472"/>
      <c r="JB49" s="512"/>
      <c r="JC49" s="335"/>
      <c r="JH49" s="505"/>
      <c r="JI49" s="337"/>
      <c r="JN49" s="325" t="s">
        <v>2695</v>
      </c>
      <c r="JO49" s="335">
        <v>15.000999999999999</v>
      </c>
      <c r="JS49" s="570" t="s">
        <v>2742</v>
      </c>
      <c r="JT49" s="573" t="s">
        <v>2733</v>
      </c>
      <c r="JU49" s="575">
        <f>0.29*3</f>
        <v>0.86999999999999988</v>
      </c>
      <c r="JZ49" s="541" t="s">
        <v>1411</v>
      </c>
      <c r="KA49" s="542">
        <f>JW19+JY53+JY8-KC19</f>
        <v>280</v>
      </c>
      <c r="KL49" s="340" t="s">
        <v>2969</v>
      </c>
      <c r="KM49" s="340">
        <v>7.2</v>
      </c>
      <c r="KR49" s="340" t="s">
        <v>3060</v>
      </c>
      <c r="KS49" s="340">
        <v>19.649999999999999</v>
      </c>
      <c r="KV49" s="297" t="s">
        <v>2129</v>
      </c>
      <c r="KW49" s="259">
        <f>SUM(KY32:KY46)</f>
        <v>2538.3200000000002</v>
      </c>
      <c r="KX49" s="540">
        <v>1.9</v>
      </c>
      <c r="KY49" s="274"/>
      <c r="LD49" s="564" t="s">
        <v>3149</v>
      </c>
      <c r="LE49" s="493">
        <f>7.77+2.71</f>
        <v>10.48</v>
      </c>
      <c r="LJ49" s="681" t="s">
        <v>3244</v>
      </c>
      <c r="LK49" s="202">
        <v>39.75</v>
      </c>
      <c r="LQ49" s="689"/>
      <c r="LT49" s="202"/>
    </row>
    <row r="50" spans="41:332">
      <c r="AO50" s="340" t="s">
        <v>1117</v>
      </c>
      <c r="AP50" s="340">
        <v>810</v>
      </c>
      <c r="AU50" s="340" t="s">
        <v>1176</v>
      </c>
      <c r="AV50" s="340">
        <v>100</v>
      </c>
      <c r="DG50" s="216" t="s">
        <v>1440</v>
      </c>
      <c r="DH50" s="276"/>
      <c r="DI50" s="488" t="s">
        <v>1001</v>
      </c>
      <c r="DK50" s="204"/>
      <c r="DM50" s="217" t="s">
        <v>1531</v>
      </c>
      <c r="DN50" s="274">
        <v>700</v>
      </c>
      <c r="DO50" s="285"/>
      <c r="DP50" s="499">
        <v>15.35</v>
      </c>
      <c r="DQ50" s="204"/>
      <c r="DS50" s="217" t="s">
        <v>1529</v>
      </c>
      <c r="DT50" s="277">
        <v>0</v>
      </c>
      <c r="DU50" s="285"/>
      <c r="EL50" s="340" t="s">
        <v>1427</v>
      </c>
      <c r="EM50" s="340">
        <v>100</v>
      </c>
      <c r="EV50" s="240"/>
      <c r="EX50" s="340" t="s">
        <v>1427</v>
      </c>
      <c r="EY50" s="340">
        <v>30</v>
      </c>
      <c r="FL50" s="340" t="s">
        <v>1149</v>
      </c>
      <c r="FP50" s="557" t="s">
        <v>1833</v>
      </c>
      <c r="FQ50" s="204">
        <v>45.6</v>
      </c>
      <c r="GB50" s="340" t="s">
        <v>1940</v>
      </c>
      <c r="GC50" s="204"/>
      <c r="GN50" s="535" t="s">
        <v>2013</v>
      </c>
      <c r="GO50" s="309"/>
      <c r="GP50" s="340" t="s">
        <v>478</v>
      </c>
      <c r="GT50" s="557" t="s">
        <v>2031</v>
      </c>
      <c r="GU50" s="204">
        <v>14.9</v>
      </c>
      <c r="GV50" s="741"/>
      <c r="GZ50" s="445" t="s">
        <v>2082</v>
      </c>
      <c r="HX50" s="355" t="s">
        <v>2226</v>
      </c>
      <c r="HY50" s="562">
        <v>14.4</v>
      </c>
      <c r="ID50" s="512" t="s">
        <v>2304</v>
      </c>
      <c r="IE50" s="340">
        <v>50</v>
      </c>
      <c r="IH50" s="535" t="s">
        <v>2369</v>
      </c>
      <c r="II50" s="539">
        <v>300</v>
      </c>
      <c r="IJ50" s="539">
        <v>20</v>
      </c>
      <c r="IK50" s="535" t="s">
        <v>2365</v>
      </c>
      <c r="IP50" s="325" t="s">
        <v>2407</v>
      </c>
      <c r="IQ50" s="335">
        <f>757-3.8</f>
        <v>753.2</v>
      </c>
      <c r="IV50" s="512"/>
      <c r="IW50" s="338"/>
      <c r="JB50" s="512"/>
      <c r="JC50" s="335"/>
      <c r="JH50" s="337"/>
      <c r="JI50" s="472"/>
      <c r="JN50" s="337" t="s">
        <v>2696</v>
      </c>
      <c r="JO50" s="308">
        <v>7.67</v>
      </c>
      <c r="JS50" s="576"/>
      <c r="JT50" s="577" t="s">
        <v>2735</v>
      </c>
      <c r="JU50" s="410">
        <v>21.27</v>
      </c>
      <c r="JZ50" s="545">
        <v>34</v>
      </c>
      <c r="KA50" s="558" t="s">
        <v>2831</v>
      </c>
      <c r="KG50" s="204"/>
      <c r="KL50" s="340" t="s">
        <v>2967</v>
      </c>
      <c r="KM50" s="340">
        <v>32.4</v>
      </c>
      <c r="KR50" s="217" t="s">
        <v>3045</v>
      </c>
      <c r="KS50" s="204">
        <v>25.8</v>
      </c>
      <c r="KV50" s="297" t="s">
        <v>2858</v>
      </c>
      <c r="KW50" s="553">
        <f>SUM(KY39:KY46)</f>
        <v>355.47</v>
      </c>
      <c r="KX50" s="541" t="s">
        <v>1411</v>
      </c>
      <c r="KY50" s="542">
        <f>KU26+KW52-LA25</f>
        <v>210</v>
      </c>
      <c r="LD50" s="622" t="s">
        <v>3156</v>
      </c>
      <c r="LE50" s="622">
        <v>6.3</v>
      </c>
      <c r="LJ50" s="564" t="s">
        <v>3207</v>
      </c>
      <c r="LK50" s="493">
        <v>810</v>
      </c>
      <c r="LT50" s="202"/>
    </row>
    <row r="51" spans="41:332">
      <c r="AO51" s="340" t="s">
        <v>1125</v>
      </c>
      <c r="AP51" s="340">
        <f>15+25</f>
        <v>40</v>
      </c>
      <c r="DG51" s="216"/>
      <c r="DH51" s="276"/>
      <c r="DI51" s="204" t="s">
        <v>243</v>
      </c>
      <c r="DK51" s="204"/>
      <c r="DM51" s="217" t="s">
        <v>1575</v>
      </c>
      <c r="DO51" s="285"/>
      <c r="DP51" s="499">
        <v>12.7</v>
      </c>
      <c r="DQ51" s="204"/>
      <c r="DS51" s="217" t="s">
        <v>1571</v>
      </c>
      <c r="DT51" s="274">
        <v>590</v>
      </c>
      <c r="FL51" s="340" t="s">
        <v>1034</v>
      </c>
      <c r="FP51" s="325" t="s">
        <v>1902</v>
      </c>
      <c r="FQ51" s="325"/>
      <c r="GB51" s="340" t="s">
        <v>1427</v>
      </c>
      <c r="GC51" s="340">
        <v>100</v>
      </c>
      <c r="GN51" s="557" t="s">
        <v>1998</v>
      </c>
      <c r="GO51" s="204">
        <f>360+18</f>
        <v>378</v>
      </c>
      <c r="GP51" s="265" t="s">
        <v>1306</v>
      </c>
      <c r="GT51" s="557" t="s">
        <v>2046</v>
      </c>
      <c r="GU51" s="204">
        <v>55.29</v>
      </c>
      <c r="GV51" s="741"/>
      <c r="GZ51" s="340" t="s">
        <v>2050</v>
      </c>
      <c r="HA51" s="204">
        <v>50.000999999999998</v>
      </c>
      <c r="HX51" s="356" t="s">
        <v>2254</v>
      </c>
      <c r="HY51" s="340">
        <v>17.88</v>
      </c>
      <c r="ID51" s="512" t="s">
        <v>2306</v>
      </c>
      <c r="IE51" s="340">
        <v>26.8</v>
      </c>
      <c r="IJ51" s="545">
        <v>10</v>
      </c>
      <c r="IK51" s="218" t="s">
        <v>2346</v>
      </c>
      <c r="IP51" s="325" t="s">
        <v>2393</v>
      </c>
      <c r="IQ51" s="335">
        <v>92.8</v>
      </c>
      <c r="IV51" s="512"/>
      <c r="IW51" s="337"/>
      <c r="JB51" s="512"/>
      <c r="JC51" s="335"/>
      <c r="JH51" s="512"/>
      <c r="JI51" s="338"/>
      <c r="JN51" s="512" t="s">
        <v>2697</v>
      </c>
      <c r="JO51" s="308">
        <v>3</v>
      </c>
      <c r="JT51" s="578" t="s">
        <v>2732</v>
      </c>
      <c r="JU51" s="411"/>
      <c r="JZ51" s="545">
        <v>25</v>
      </c>
      <c r="KA51" s="550" t="s">
        <v>2762</v>
      </c>
      <c r="KL51" s="564" t="s">
        <v>2968</v>
      </c>
      <c r="KM51" s="456">
        <v>1746</v>
      </c>
      <c r="KR51" s="564" t="s">
        <v>3064</v>
      </c>
      <c r="KS51" s="493">
        <v>19.07</v>
      </c>
      <c r="KX51" s="545">
        <v>20</v>
      </c>
      <c r="KY51" s="558" t="s">
        <v>3084</v>
      </c>
      <c r="LD51" s="564" t="s">
        <v>3155</v>
      </c>
      <c r="LE51" s="493">
        <v>6.8</v>
      </c>
      <c r="LJ51" s="656" t="s">
        <v>3206</v>
      </c>
      <c r="LK51" s="202">
        <v>680</v>
      </c>
      <c r="LT51" s="202"/>
    </row>
    <row r="52" spans="41:332">
      <c r="AO52" s="340" t="s">
        <v>1144</v>
      </c>
      <c r="AP52" s="340">
        <v>12.9</v>
      </c>
      <c r="DG52" s="204" t="s">
        <v>1424</v>
      </c>
      <c r="DH52" s="261">
        <v>120</v>
      </c>
      <c r="DI52" s="325" t="s">
        <v>1034</v>
      </c>
      <c r="DK52" s="204"/>
      <c r="DM52" s="217" t="s">
        <v>1427</v>
      </c>
      <c r="DN52" s="274">
        <v>50</v>
      </c>
      <c r="DO52" s="285"/>
      <c r="DP52" s="499">
        <v>11.6</v>
      </c>
      <c r="DQ52" s="204"/>
      <c r="DS52" s="217" t="s">
        <v>1589</v>
      </c>
      <c r="FF52" s="265"/>
      <c r="FP52" s="557" t="s">
        <v>1835</v>
      </c>
      <c r="FQ52" s="204">
        <v>29.95</v>
      </c>
      <c r="GN52" s="557" t="s">
        <v>2005</v>
      </c>
      <c r="GO52" s="340">
        <v>38.9</v>
      </c>
      <c r="GU52" s="204"/>
      <c r="GV52" s="741"/>
      <c r="HF52" s="285"/>
      <c r="HX52" s="356" t="s">
        <v>2255</v>
      </c>
      <c r="HY52" s="340">
        <v>23.86</v>
      </c>
      <c r="IJ52" s="325" t="s">
        <v>2342</v>
      </c>
      <c r="IK52" s="332">
        <f>161+14</f>
        <v>175</v>
      </c>
      <c r="IP52" s="325" t="s">
        <v>2399</v>
      </c>
      <c r="IQ52" s="335">
        <f>220.8+7.27*2</f>
        <v>235.34</v>
      </c>
      <c r="IV52" s="512"/>
      <c r="IW52" s="337"/>
      <c r="JB52" s="337"/>
      <c r="JC52" s="339"/>
      <c r="JH52" s="512"/>
      <c r="JI52" s="337"/>
      <c r="JN52" s="512"/>
      <c r="JZ52" s="545">
        <v>7</v>
      </c>
      <c r="KA52" s="550" t="s">
        <v>1310</v>
      </c>
      <c r="KV52" s="309" t="s">
        <v>3106</v>
      </c>
      <c r="KW52" s="563">
        <v>200</v>
      </c>
      <c r="KX52" s="545">
        <v>10</v>
      </c>
      <c r="KY52" s="550" t="s">
        <v>3086</v>
      </c>
      <c r="LD52" s="622" t="s">
        <v>3171</v>
      </c>
      <c r="LE52" s="622">
        <f>53.6+6.5</f>
        <v>60.1</v>
      </c>
      <c r="LJ52" s="675" t="s">
        <v>3208</v>
      </c>
      <c r="LK52" s="493">
        <v>262</v>
      </c>
      <c r="LT52" s="202"/>
    </row>
    <row r="53" spans="41:332">
      <c r="DA53" s="204"/>
      <c r="DB53" s="204"/>
      <c r="DC53" s="285"/>
      <c r="DD53" s="286"/>
      <c r="DG53" s="204" t="s">
        <v>1441</v>
      </c>
      <c r="DH53" s="261">
        <v>143.96</v>
      </c>
      <c r="DK53" s="204"/>
      <c r="DO53" s="285"/>
      <c r="DP53" s="499">
        <v>2</v>
      </c>
      <c r="DQ53" s="204"/>
      <c r="DS53" s="217" t="s">
        <v>1427</v>
      </c>
      <c r="DT53" s="274">
        <v>80</v>
      </c>
      <c r="FP53" s="557" t="s">
        <v>1849</v>
      </c>
      <c r="FQ53" s="204">
        <v>120</v>
      </c>
      <c r="GN53" s="557" t="s">
        <v>2008</v>
      </c>
      <c r="GO53" s="204">
        <v>33</v>
      </c>
      <c r="GT53" s="340" t="s">
        <v>2051</v>
      </c>
      <c r="GU53" s="579">
        <v>900</v>
      </c>
      <c r="HB53" s="285"/>
      <c r="HC53" s="285"/>
      <c r="HD53" s="285"/>
      <c r="HE53" s="285"/>
      <c r="HF53" s="285"/>
      <c r="HX53" s="356" t="s">
        <v>2253</v>
      </c>
      <c r="HY53" s="340">
        <v>19.89</v>
      </c>
      <c r="ID53" s="572" t="s">
        <v>2262</v>
      </c>
      <c r="IE53" s="572"/>
      <c r="II53" s="489"/>
      <c r="IJ53" s="325" t="s">
        <v>2359</v>
      </c>
      <c r="IK53" s="332">
        <v>87.8</v>
      </c>
      <c r="IP53" s="505" t="s">
        <v>2422</v>
      </c>
      <c r="IQ53" s="335">
        <v>84.9</v>
      </c>
      <c r="IV53" s="512"/>
      <c r="JB53" s="337"/>
      <c r="JC53" s="308"/>
      <c r="JH53" s="512"/>
      <c r="JI53" s="337"/>
      <c r="JX53" s="309" t="s">
        <v>2819</v>
      </c>
      <c r="JY53" s="539">
        <v>200</v>
      </c>
      <c r="JZ53" s="580">
        <v>20</v>
      </c>
      <c r="KA53" s="581" t="s">
        <v>2767</v>
      </c>
      <c r="KL53" s="564"/>
      <c r="KM53" s="493"/>
      <c r="KX53" s="545">
        <v>10</v>
      </c>
      <c r="KY53" s="550" t="s">
        <v>1827</v>
      </c>
      <c r="LD53" s="622" t="s">
        <v>3186</v>
      </c>
      <c r="LE53" s="622">
        <v>70</v>
      </c>
      <c r="LJ53" s="656" t="s">
        <v>3212</v>
      </c>
      <c r="LK53" s="656">
        <v>7.9</v>
      </c>
      <c r="LT53" s="202"/>
    </row>
    <row r="54" spans="41:332">
      <c r="DA54" s="204"/>
      <c r="DB54" s="204"/>
      <c r="DC54" s="285"/>
      <c r="DD54" s="286"/>
      <c r="DG54" s="217" t="s">
        <v>1421</v>
      </c>
      <c r="DH54" s="274">
        <v>51</v>
      </c>
      <c r="DK54" s="204"/>
      <c r="DO54" s="285"/>
      <c r="DP54" s="499">
        <v>28.8</v>
      </c>
      <c r="DQ54" s="204"/>
      <c r="FP54" s="557" t="s">
        <v>1859</v>
      </c>
      <c r="FQ54" s="204">
        <v>108.12</v>
      </c>
      <c r="GO54" s="204"/>
      <c r="GT54" s="579" t="s">
        <v>2048</v>
      </c>
      <c r="HB54" s="285"/>
      <c r="HC54" s="285"/>
      <c r="HD54" s="582"/>
      <c r="HE54" s="285"/>
      <c r="HF54" s="285"/>
      <c r="HX54" s="356" t="s">
        <v>2242</v>
      </c>
      <c r="HY54" s="340">
        <f>30.9+469.82+100.14+34.91</f>
        <v>635.77</v>
      </c>
      <c r="ID54" s="213" t="s">
        <v>2261</v>
      </c>
      <c r="IE54" s="340">
        <f>30+139.5</f>
        <v>169.5</v>
      </c>
      <c r="II54" s="489"/>
      <c r="IJ54" s="325" t="s">
        <v>2368</v>
      </c>
      <c r="IK54" s="332">
        <f>40.6+11.5</f>
        <v>52.1</v>
      </c>
      <c r="IP54" s="512" t="s">
        <v>2423</v>
      </c>
      <c r="IQ54" s="335">
        <v>105.8</v>
      </c>
      <c r="IV54" s="512"/>
      <c r="JB54" s="337"/>
      <c r="JC54" s="337"/>
      <c r="JH54" s="512"/>
      <c r="JZ54" s="545">
        <v>20</v>
      </c>
      <c r="KA54" s="550" t="s">
        <v>2796</v>
      </c>
      <c r="KS54" s="204"/>
      <c r="KW54" s="285"/>
      <c r="KX54" s="545">
        <v>40</v>
      </c>
      <c r="KY54" s="550" t="s">
        <v>3134</v>
      </c>
      <c r="LE54" s="623"/>
      <c r="LJ54" s="682" t="s">
        <v>3258</v>
      </c>
      <c r="LK54" s="683">
        <v>49</v>
      </c>
      <c r="LT54" s="202"/>
    </row>
    <row r="55" spans="41:332">
      <c r="AO55" s="340" t="s">
        <v>1130</v>
      </c>
      <c r="AP55" s="340">
        <v>600</v>
      </c>
      <c r="DA55" s="204"/>
      <c r="DB55" s="204"/>
      <c r="DC55" s="285"/>
      <c r="DD55" s="286"/>
      <c r="DE55" s="204"/>
      <c r="DG55" s="204" t="s">
        <v>1419</v>
      </c>
      <c r="DH55" s="274">
        <f>500+356</f>
        <v>856</v>
      </c>
      <c r="DI55" s="265" t="s">
        <v>1306</v>
      </c>
      <c r="DK55" s="204"/>
      <c r="DO55" s="285"/>
      <c r="DP55" s="499">
        <v>25.5</v>
      </c>
      <c r="DQ55" s="204"/>
      <c r="FL55" s="265"/>
      <c r="GN55" s="340" t="s">
        <v>1571</v>
      </c>
      <c r="GO55" s="340">
        <v>800</v>
      </c>
      <c r="GT55" s="340" t="s">
        <v>2050</v>
      </c>
      <c r="GU55" s="204">
        <v>44</v>
      </c>
      <c r="HB55" s="285"/>
      <c r="HC55" s="285"/>
      <c r="HD55" s="582"/>
      <c r="HE55" s="285"/>
      <c r="HF55" s="285"/>
      <c r="HX55" s="340" t="s">
        <v>2216</v>
      </c>
      <c r="HY55" s="340">
        <v>7329.5</v>
      </c>
      <c r="ID55" s="213" t="s">
        <v>2275</v>
      </c>
      <c r="IE55" s="340">
        <v>15.32</v>
      </c>
      <c r="II55" s="560"/>
      <c r="IJ55" s="325" t="s">
        <v>2384</v>
      </c>
      <c r="IK55" s="332">
        <v>10.49</v>
      </c>
      <c r="IP55" s="512" t="s">
        <v>2426</v>
      </c>
      <c r="IQ55" s="335"/>
      <c r="IV55" s="512"/>
      <c r="JB55" s="505"/>
      <c r="JC55" s="337"/>
      <c r="JH55" s="512"/>
      <c r="JZ55" s="545">
        <v>80</v>
      </c>
      <c r="KA55" s="550" t="s">
        <v>2798</v>
      </c>
      <c r="KW55" s="285"/>
      <c r="KX55" s="545">
        <v>20</v>
      </c>
      <c r="KY55" s="550" t="s">
        <v>3118</v>
      </c>
      <c r="LT55" s="202"/>
    </row>
    <row r="56" spans="41:332">
      <c r="AO56" s="340" t="s">
        <v>1177</v>
      </c>
      <c r="AP56" s="340">
        <v>300</v>
      </c>
      <c r="DA56" s="204"/>
      <c r="DB56" s="204"/>
      <c r="DC56" s="583"/>
      <c r="DD56" s="584"/>
      <c r="DE56" s="204"/>
      <c r="DG56" s="204" t="s">
        <v>1425</v>
      </c>
      <c r="DH56" s="274">
        <v>30</v>
      </c>
      <c r="DK56" s="204"/>
      <c r="DO56" s="285" t="s">
        <v>1572</v>
      </c>
      <c r="DP56" s="499">
        <v>-1122.52</v>
      </c>
      <c r="DQ56" s="204"/>
      <c r="FP56" s="340" t="s">
        <v>1571</v>
      </c>
      <c r="FQ56" s="285">
        <v>753.05</v>
      </c>
      <c r="GN56" s="340" t="s">
        <v>2015</v>
      </c>
      <c r="GO56" s="285"/>
      <c r="HB56" s="285"/>
      <c r="HC56" s="285"/>
      <c r="HD56" s="582"/>
      <c r="HE56" s="285"/>
      <c r="HF56" s="285"/>
      <c r="HX56" s="512"/>
      <c r="ID56" s="355" t="s">
        <v>2276</v>
      </c>
      <c r="IE56" s="491">
        <v>67.61</v>
      </c>
      <c r="IJ56" s="325" t="s">
        <v>2242</v>
      </c>
      <c r="IK56" s="332">
        <v>135.09</v>
      </c>
      <c r="IP56" s="512" t="s">
        <v>2417</v>
      </c>
      <c r="IQ56" s="335">
        <v>47.05</v>
      </c>
      <c r="JB56" s="337"/>
      <c r="JC56" s="472"/>
      <c r="JH56" s="512"/>
      <c r="JZ56" s="545">
        <v>6</v>
      </c>
      <c r="KA56" s="550" t="s">
        <v>2797</v>
      </c>
      <c r="KM56" s="204"/>
      <c r="KX56" s="545">
        <v>10</v>
      </c>
      <c r="KY56" s="550" t="s">
        <v>3117</v>
      </c>
      <c r="LT56" s="202"/>
    </row>
    <row r="57" spans="41:332">
      <c r="DA57" s="204"/>
      <c r="DB57" s="204"/>
      <c r="DC57" s="285"/>
      <c r="DD57" s="286"/>
      <c r="DE57" s="204"/>
      <c r="DG57" s="217" t="s">
        <v>1416</v>
      </c>
      <c r="DH57" s="274">
        <v>30</v>
      </c>
      <c r="DK57" s="204"/>
      <c r="DO57" s="285" t="s">
        <v>1573</v>
      </c>
      <c r="DP57" s="499">
        <f>SUM(DP44:DP56)</f>
        <v>1647.79</v>
      </c>
      <c r="DQ57" s="204"/>
      <c r="FP57" s="340" t="s">
        <v>1860</v>
      </c>
      <c r="FQ57" s="204"/>
      <c r="GN57" s="340" t="s">
        <v>1427</v>
      </c>
      <c r="GO57" s="204">
        <v>25</v>
      </c>
      <c r="HB57" s="285"/>
      <c r="HC57" s="285"/>
      <c r="HD57" s="582"/>
      <c r="HE57" s="285"/>
      <c r="HF57" s="285"/>
      <c r="HX57" s="512"/>
      <c r="ID57" s="213" t="s">
        <v>2284</v>
      </c>
      <c r="IE57" s="320">
        <v>-25.98</v>
      </c>
      <c r="IJ57" s="572" t="s">
        <v>2366</v>
      </c>
      <c r="IK57" s="572"/>
      <c r="IP57" s="512" t="s">
        <v>2444</v>
      </c>
      <c r="IQ57" s="339">
        <v>22.2</v>
      </c>
      <c r="JB57" s="512"/>
      <c r="JC57" s="338"/>
      <c r="JZ57" s="545">
        <v>50</v>
      </c>
      <c r="KA57" s="550" t="s">
        <v>1827</v>
      </c>
      <c r="KX57" s="545">
        <v>10</v>
      </c>
      <c r="KY57" s="550" t="s">
        <v>3108</v>
      </c>
      <c r="LT57" s="202"/>
    </row>
    <row r="58" spans="41:332">
      <c r="DA58" s="204"/>
      <c r="DB58" s="204"/>
      <c r="DC58" s="285"/>
      <c r="DD58" s="286"/>
      <c r="DE58" s="204"/>
      <c r="DG58" s="217" t="s">
        <v>1446</v>
      </c>
      <c r="DH58" s="274">
        <v>58.2</v>
      </c>
      <c r="DK58" s="204"/>
      <c r="DQ58" s="204"/>
      <c r="FP58" s="340" t="s">
        <v>1427</v>
      </c>
      <c r="FQ58" s="340">
        <v>20</v>
      </c>
      <c r="GV58" s="585"/>
      <c r="HB58" s="285"/>
      <c r="HC58" s="285"/>
      <c r="HD58" s="582"/>
      <c r="HE58" s="285"/>
      <c r="HF58" s="285"/>
      <c r="HX58" s="512"/>
      <c r="ID58" s="356" t="s">
        <v>2302</v>
      </c>
      <c r="IE58" s="340">
        <v>8.8000000000000007</v>
      </c>
      <c r="IJ58" s="512" t="s">
        <v>2320</v>
      </c>
      <c r="IK58" s="340">
        <v>150</v>
      </c>
      <c r="IP58" s="337" t="s">
        <v>2447</v>
      </c>
      <c r="IQ58" s="308">
        <v>22.6</v>
      </c>
      <c r="JB58" s="512"/>
      <c r="JC58" s="337"/>
      <c r="JZ58" s="340" t="s">
        <v>2801</v>
      </c>
      <c r="KA58" s="340">
        <v>31.001000000000001</v>
      </c>
      <c r="KX58" s="545">
        <v>8</v>
      </c>
      <c r="KY58" s="550" t="s">
        <v>3114</v>
      </c>
      <c r="LT58" s="202"/>
    </row>
    <row r="59" spans="41:332">
      <c r="DA59" s="204"/>
      <c r="DB59" s="204"/>
      <c r="DC59" s="285"/>
      <c r="DD59" s="584"/>
      <c r="DE59" s="204"/>
      <c r="DG59" s="217" t="s">
        <v>1413</v>
      </c>
      <c r="DH59" s="274">
        <f>21.5+57.6</f>
        <v>79.099999999999994</v>
      </c>
      <c r="HB59" s="285"/>
      <c r="HC59" s="285"/>
      <c r="HD59" s="582"/>
      <c r="HE59" s="285"/>
      <c r="HF59" s="285"/>
      <c r="ID59" s="340" t="s">
        <v>2316</v>
      </c>
      <c r="IE59" s="340">
        <f>2000+1311.79</f>
        <v>3311.79</v>
      </c>
      <c r="IJ59" s="512" t="s">
        <v>2302</v>
      </c>
      <c r="IK59" s="340">
        <v>5.4</v>
      </c>
      <c r="IP59" s="337"/>
      <c r="IQ59" s="337"/>
      <c r="JB59" s="512"/>
      <c r="JC59" s="337"/>
      <c r="JW59" s="398"/>
      <c r="JZ59" s="340" t="s">
        <v>2903</v>
      </c>
      <c r="KA59" s="444">
        <f>30/5.217</f>
        <v>5.7504312823461765</v>
      </c>
      <c r="KC59" s="398"/>
      <c r="KX59" s="545">
        <v>10</v>
      </c>
      <c r="KY59" s="550" t="s">
        <v>3115</v>
      </c>
      <c r="LG59" s="398"/>
      <c r="LT59" s="202"/>
    </row>
    <row r="60" spans="41:332">
      <c r="DA60" s="204"/>
      <c r="DB60" s="204"/>
      <c r="DC60" s="285"/>
      <c r="DD60" s="286"/>
      <c r="DE60" s="204"/>
      <c r="DG60" s="217" t="s">
        <v>1433</v>
      </c>
      <c r="DH60" s="274">
        <v>193.38</v>
      </c>
      <c r="HB60" s="285"/>
      <c r="HC60" s="285"/>
      <c r="HD60" s="582"/>
      <c r="HE60" s="285"/>
      <c r="HF60" s="285"/>
      <c r="ID60" s="512"/>
      <c r="IJ60" s="512"/>
      <c r="IP60" s="337"/>
      <c r="IQ60" s="337"/>
      <c r="JB60" s="512"/>
      <c r="JZ60" s="340" t="s">
        <v>2799</v>
      </c>
      <c r="KA60" s="340">
        <v>21.81</v>
      </c>
      <c r="KX60" s="545">
        <v>40</v>
      </c>
      <c r="KY60" s="550" t="s">
        <v>3121</v>
      </c>
      <c r="LT60" s="202"/>
    </row>
    <row r="61" spans="41:332">
      <c r="DA61" s="204"/>
      <c r="DB61" s="204"/>
      <c r="DC61" s="285"/>
      <c r="DD61" s="286"/>
      <c r="DE61" s="204"/>
      <c r="DG61" s="217" t="s">
        <v>1434</v>
      </c>
      <c r="DH61" s="274">
        <v>159</v>
      </c>
      <c r="HB61" s="285"/>
      <c r="HC61" s="285"/>
      <c r="HD61" s="582"/>
      <c r="HE61" s="285"/>
      <c r="HF61" s="285"/>
      <c r="ID61" s="512"/>
      <c r="IJ61" s="512"/>
      <c r="IP61" s="505"/>
      <c r="IQ61" s="472"/>
      <c r="JB61" s="512"/>
      <c r="JZ61" s="340" t="s">
        <v>2833</v>
      </c>
      <c r="KA61" s="340">
        <v>11.25</v>
      </c>
      <c r="KX61" s="564" t="s">
        <v>3098</v>
      </c>
      <c r="KY61" s="493">
        <v>14.4</v>
      </c>
      <c r="LA61" s="398"/>
      <c r="LT61" s="202"/>
    </row>
    <row r="62" spans="41:332">
      <c r="DE62" s="204"/>
      <c r="DG62" s="217" t="s">
        <v>1479</v>
      </c>
      <c r="DH62" s="274">
        <v>88</v>
      </c>
      <c r="DI62" s="285"/>
      <c r="HB62" s="285"/>
      <c r="HC62" s="285"/>
      <c r="HD62" s="285"/>
      <c r="HE62" s="285"/>
      <c r="HF62" s="285"/>
      <c r="ID62" s="512"/>
      <c r="IJ62" s="572"/>
      <c r="IK62" s="572"/>
      <c r="IP62" s="337"/>
      <c r="IQ62" s="338"/>
      <c r="JB62" s="512"/>
      <c r="JZ62" s="340" t="s">
        <v>2760</v>
      </c>
      <c r="KA62" s="340">
        <v>117.5</v>
      </c>
      <c r="KU62" s="398"/>
      <c r="LM62" s="398"/>
      <c r="LT62" s="202"/>
    </row>
    <row r="63" spans="41:332">
      <c r="DE63" s="204"/>
      <c r="DG63" s="217" t="s">
        <v>1472</v>
      </c>
      <c r="DH63" s="274">
        <v>51.9</v>
      </c>
      <c r="HB63" s="285"/>
      <c r="HC63" s="285"/>
      <c r="HD63" s="285"/>
      <c r="HE63" s="285"/>
      <c r="ID63" s="512"/>
      <c r="IP63" s="512"/>
      <c r="IQ63" s="337"/>
      <c r="JZ63" s="340" t="s">
        <v>2787</v>
      </c>
      <c r="KA63" s="340">
        <v>36.200000000000003</v>
      </c>
      <c r="KX63" s="564"/>
      <c r="KY63" s="493"/>
      <c r="LT63" s="202"/>
    </row>
    <row r="64" spans="41:332">
      <c r="DG64" s="217" t="s">
        <v>1167</v>
      </c>
      <c r="DH64" s="274">
        <v>1500</v>
      </c>
      <c r="ID64" s="512"/>
      <c r="IP64" s="512"/>
      <c r="IQ64" s="337"/>
      <c r="IY64" s="398"/>
      <c r="JE64" s="398"/>
      <c r="JZ64" s="285" t="s">
        <v>2781</v>
      </c>
      <c r="KA64" s="340">
        <v>9.8000000000000007</v>
      </c>
      <c r="LT64" s="202"/>
    </row>
    <row r="65" spans="205:332">
      <c r="IP65" s="512"/>
      <c r="JK65" s="398"/>
      <c r="JQ65" s="398"/>
      <c r="JZ65" s="340" t="s">
        <v>2816</v>
      </c>
      <c r="KA65" s="340">
        <v>9.77</v>
      </c>
      <c r="LS65" s="398"/>
      <c r="LT65" s="202"/>
    </row>
    <row r="66" spans="205:332">
      <c r="IJ66" s="505"/>
      <c r="IK66" s="491"/>
      <c r="IP66" s="512"/>
      <c r="JZ66" s="340" t="s">
        <v>2815</v>
      </c>
      <c r="KA66" s="340">
        <v>11.9</v>
      </c>
      <c r="KY66" s="204"/>
      <c r="LT66" s="202"/>
    </row>
    <row r="67" spans="205:332">
      <c r="IK67" s="320"/>
      <c r="IM67" s="398"/>
      <c r="IP67" s="512"/>
      <c r="IS67" s="398"/>
      <c r="JZ67" s="340" t="s">
        <v>2817</v>
      </c>
      <c r="KA67" s="340">
        <v>6.62</v>
      </c>
      <c r="KI67" s="398"/>
      <c r="KO67" s="398"/>
      <c r="LT67" s="202"/>
    </row>
    <row r="68" spans="205:332">
      <c r="IJ68" s="512"/>
      <c r="IP68" s="512"/>
      <c r="JY68" s="340" t="s">
        <v>2746</v>
      </c>
      <c r="JZ68" s="220" t="s">
        <v>2768</v>
      </c>
      <c r="KA68" s="340">
        <v>69</v>
      </c>
      <c r="LT68" s="202"/>
    </row>
    <row r="69" spans="205:332">
      <c r="HO69" s="398"/>
      <c r="IG69" s="398"/>
      <c r="IJ69" s="512"/>
      <c r="JZ69" s="220" t="s">
        <v>2788</v>
      </c>
      <c r="KA69" s="340">
        <v>8</v>
      </c>
    </row>
    <row r="70" spans="205:332">
      <c r="IJ70" s="512"/>
      <c r="JZ70" s="586" t="s">
        <v>2832</v>
      </c>
      <c r="KA70" s="204">
        <v>29.7</v>
      </c>
    </row>
    <row r="71" spans="205:332">
      <c r="IJ71" s="512"/>
      <c r="JZ71" s="220" t="s">
        <v>2800</v>
      </c>
      <c r="KA71" s="340">
        <v>8.1999999999999993</v>
      </c>
    </row>
    <row r="72" spans="205:332">
      <c r="IJ72" s="512"/>
    </row>
    <row r="73" spans="205:332">
      <c r="IJ73" s="512"/>
    </row>
    <row r="74" spans="205:332">
      <c r="HI74" s="398"/>
    </row>
    <row r="76" spans="205:332">
      <c r="GW76" s="398"/>
    </row>
    <row r="77" spans="205:332">
      <c r="HU77" s="398"/>
    </row>
    <row r="78" spans="205:332">
      <c r="HC78" s="398"/>
    </row>
    <row r="79" spans="205:332">
      <c r="IA79" s="398"/>
    </row>
  </sheetData>
  <mergeCells count="251">
    <mergeCell ref="KD15:KE15"/>
    <mergeCell ref="ID1:IE1"/>
    <mergeCell ref="IB1:IC1"/>
    <mergeCell ref="HR1:HS1"/>
    <mergeCell ref="KN41:KO41"/>
    <mergeCell ref="IN32:IO32"/>
    <mergeCell ref="IR1:IS1"/>
    <mergeCell ref="IP1:IQ1"/>
    <mergeCell ref="IN1:IO1"/>
    <mergeCell ref="HV23:HW23"/>
    <mergeCell ref="HZ1:IA1"/>
    <mergeCell ref="HX1:HY1"/>
    <mergeCell ref="HV1:HW1"/>
    <mergeCell ref="JJ1:JK1"/>
    <mergeCell ref="JH1:JI1"/>
    <mergeCell ref="JF1:JG1"/>
    <mergeCell ref="IZ28:JA28"/>
    <mergeCell ref="JD1:JE1"/>
    <mergeCell ref="JB1:JC1"/>
    <mergeCell ref="IZ1:JA1"/>
    <mergeCell ref="IT22:IU22"/>
    <mergeCell ref="IX1:IY1"/>
    <mergeCell ref="IV1:IW1"/>
    <mergeCell ref="IT1:IU1"/>
    <mergeCell ref="AA1:AB1"/>
    <mergeCell ref="FH1:FI1"/>
    <mergeCell ref="FJ1:FK1"/>
    <mergeCell ref="FD27:FE27"/>
    <mergeCell ref="FF1:FG1"/>
    <mergeCell ref="EX1:EY1"/>
    <mergeCell ref="EX26:EY26"/>
    <mergeCell ref="ER1:ES1"/>
    <mergeCell ref="EW23:EW25"/>
    <mergeCell ref="BM25:BN25"/>
    <mergeCell ref="BM24:BN24"/>
    <mergeCell ref="BS1:BT1"/>
    <mergeCell ref="CA1:CB1"/>
    <mergeCell ref="BW1:BX1"/>
    <mergeCell ref="DM1:DN1"/>
    <mergeCell ref="BS25:BT25"/>
    <mergeCell ref="DK1:DL1"/>
    <mergeCell ref="BY25:BZ25"/>
    <mergeCell ref="EP1:EQ1"/>
    <mergeCell ref="EV1:EW1"/>
    <mergeCell ref="ET1:EU1"/>
    <mergeCell ref="BQ1:BR1"/>
    <mergeCell ref="BS24:BT24"/>
    <mergeCell ref="BY24:BZ24"/>
    <mergeCell ref="BY1:BZ1"/>
    <mergeCell ref="BM1:BN1"/>
    <mergeCell ref="BU1:BV1"/>
    <mergeCell ref="BO1:BP1"/>
    <mergeCell ref="BI1:BJ1"/>
    <mergeCell ref="AE31:AF31"/>
    <mergeCell ref="AE24:AF24"/>
    <mergeCell ref="AK23:AL23"/>
    <mergeCell ref="AK24:AL24"/>
    <mergeCell ref="AE23:AF23"/>
    <mergeCell ref="AE30:AF30"/>
    <mergeCell ref="BG25:BH25"/>
    <mergeCell ref="AW25:AX25"/>
    <mergeCell ref="AE29:AF29"/>
    <mergeCell ref="BC1:BD1"/>
    <mergeCell ref="BA1:BB1"/>
    <mergeCell ref="AS1:AT1"/>
    <mergeCell ref="AY1:AZ1"/>
    <mergeCell ref="BK1:BL1"/>
    <mergeCell ref="AE28:AF28"/>
    <mergeCell ref="AE27:AF27"/>
    <mergeCell ref="AW1:AX1"/>
    <mergeCell ref="AK1:AL1"/>
    <mergeCell ref="BG1:BH1"/>
    <mergeCell ref="C1:D1"/>
    <mergeCell ref="E1:F1"/>
    <mergeCell ref="A1:B1"/>
    <mergeCell ref="A3:B4"/>
    <mergeCell ref="G1:H1"/>
    <mergeCell ref="G3:H4"/>
    <mergeCell ref="M32:N32"/>
    <mergeCell ref="M30:N30"/>
    <mergeCell ref="M28:N28"/>
    <mergeCell ref="M26:N26"/>
    <mergeCell ref="M31:N31"/>
    <mergeCell ref="M23:N23"/>
    <mergeCell ref="M24:N24"/>
    <mergeCell ref="M1:N1"/>
    <mergeCell ref="M21:N21"/>
    <mergeCell ref="M22:N22"/>
    <mergeCell ref="A25:B25"/>
    <mergeCell ref="A26:B26"/>
    <mergeCell ref="M25:N25"/>
    <mergeCell ref="M29:N29"/>
    <mergeCell ref="G25:H25"/>
    <mergeCell ref="G26:H26"/>
    <mergeCell ref="M27:N27"/>
    <mergeCell ref="A23:B23"/>
    <mergeCell ref="A24:B24"/>
    <mergeCell ref="A33:B33"/>
    <mergeCell ref="A35:B35"/>
    <mergeCell ref="A27:B27"/>
    <mergeCell ref="A28:B28"/>
    <mergeCell ref="A29:B29"/>
    <mergeCell ref="A30:B30"/>
    <mergeCell ref="A31:B31"/>
    <mergeCell ref="A32:B32"/>
    <mergeCell ref="Q1:R1"/>
    <mergeCell ref="O1:P1"/>
    <mergeCell ref="I1:J1"/>
    <mergeCell ref="K1:L1"/>
    <mergeCell ref="U1:V1"/>
    <mergeCell ref="S1:T1"/>
    <mergeCell ref="S21:T21"/>
    <mergeCell ref="S23:T23"/>
    <mergeCell ref="G35:H35"/>
    <mergeCell ref="G27:H27"/>
    <mergeCell ref="G28:H28"/>
    <mergeCell ref="G29:H29"/>
    <mergeCell ref="G30:H30"/>
    <mergeCell ref="G31:H31"/>
    <mergeCell ref="G32:H32"/>
    <mergeCell ref="G33:H33"/>
    <mergeCell ref="G23:H23"/>
    <mergeCell ref="G24:H24"/>
    <mergeCell ref="S25:T25"/>
    <mergeCell ref="S30:T30"/>
    <mergeCell ref="S26:T26"/>
    <mergeCell ref="S31:T31"/>
    <mergeCell ref="S32:T32"/>
    <mergeCell ref="S28:T28"/>
    <mergeCell ref="AC1:AD1"/>
    <mergeCell ref="AE1:AF1"/>
    <mergeCell ref="W1:X1"/>
    <mergeCell ref="AE25:AF25"/>
    <mergeCell ref="AK25:AL25"/>
    <mergeCell ref="S27:T27"/>
    <mergeCell ref="Y33:Z33"/>
    <mergeCell ref="Y25:Z25"/>
    <mergeCell ref="Y26:Z26"/>
    <mergeCell ref="Y27:Z27"/>
    <mergeCell ref="Y28:Z28"/>
    <mergeCell ref="Y29:Z29"/>
    <mergeCell ref="Y30:Z30"/>
    <mergeCell ref="Y31:Z31"/>
    <mergeCell ref="Y32:Z32"/>
    <mergeCell ref="AE32:AF32"/>
    <mergeCell ref="AE26:AF26"/>
    <mergeCell ref="S29:T29"/>
    <mergeCell ref="S24:T24"/>
    <mergeCell ref="Y1:Z1"/>
    <mergeCell ref="Y22:Z22"/>
    <mergeCell ref="Y23:Z23"/>
    <mergeCell ref="Y24:Z24"/>
    <mergeCell ref="S22:T22"/>
    <mergeCell ref="BE1:BF1"/>
    <mergeCell ref="BG24:BH24"/>
    <mergeCell ref="AU1:AV1"/>
    <mergeCell ref="AI1:AJ1"/>
    <mergeCell ref="AM1:AN1"/>
    <mergeCell ref="AO1:AP1"/>
    <mergeCell ref="AG1:AH1"/>
    <mergeCell ref="BA25:BB25"/>
    <mergeCell ref="AQ1:AR1"/>
    <mergeCell ref="DI39:DJ39"/>
    <mergeCell ref="DI18:DJ18"/>
    <mergeCell ref="CQ24:CR24"/>
    <mergeCell ref="CC1:CD1"/>
    <mergeCell ref="CW1:CX1"/>
    <mergeCell ref="CK24:CL24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2:DB32"/>
    <mergeCell ref="DE1:DF1"/>
    <mergeCell ref="DC1:DD1"/>
    <mergeCell ref="CE24:CF24"/>
    <mergeCell ref="CE25:CF25"/>
    <mergeCell ref="CO1:CP1"/>
    <mergeCell ref="CK1:CL1"/>
    <mergeCell ref="CS1:CT1"/>
    <mergeCell ref="CI1:CJ1"/>
    <mergeCell ref="DS36:DT36"/>
    <mergeCell ref="DU1:DV1"/>
    <mergeCell ref="DQ1:DR1"/>
    <mergeCell ref="EE23:EF23"/>
    <mergeCell ref="EH1:EI1"/>
    <mergeCell ref="EE1:EF1"/>
    <mergeCell ref="DY25:DZ25"/>
    <mergeCell ref="DO1:DP1"/>
    <mergeCell ref="DS1:DT1"/>
    <mergeCell ref="FN1:FO1"/>
    <mergeCell ref="FD1:FE1"/>
    <mergeCell ref="FT1:FU1"/>
    <mergeCell ref="FL1:FM1"/>
    <mergeCell ref="FB1:FC1"/>
    <mergeCell ref="DO31:DP31"/>
    <mergeCell ref="DW1:DX1"/>
    <mergeCell ref="DY1:DZ1"/>
    <mergeCell ref="DO14:DP14"/>
    <mergeCell ref="ER25:ES25"/>
    <mergeCell ref="EL1:EM1"/>
    <mergeCell ref="EJ1:EK1"/>
    <mergeCell ref="EC1:ED1"/>
    <mergeCell ref="EA1:EB1"/>
    <mergeCell ref="EN1:EO1"/>
    <mergeCell ref="FC21:FC23"/>
    <mergeCell ref="FR1:FS1"/>
    <mergeCell ref="FP1:FQ1"/>
    <mergeCell ref="EZ1:FA1"/>
    <mergeCell ref="FJ29:FK29"/>
    <mergeCell ref="EL28:EM28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FV1:FW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HP26:HQ26"/>
    <mergeCell ref="HT1:HU1"/>
    <mergeCell ref="HP1:HQ1"/>
    <mergeCell ref="IH40:II40"/>
    <mergeCell ref="IL1:IM1"/>
    <mergeCell ref="IJ1:IK1"/>
    <mergeCell ref="IH1:II1"/>
    <mergeCell ref="IB25:IC25"/>
    <mergeCell ref="IF1:IG1"/>
  </mergeCells>
  <pageMargins left="0.25" right="0.25" top="0.75" bottom="0.75" header="0.3" footer="0.3"/>
  <pageSetup paperSize="9" scale="10" orientation="portrait" r:id="rId1"/>
  <ignoredErrors>
    <ignoredError sqref="DB8 GC12 HQ33 KK43 KQ41 KQ36 KQ38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D297D-6C5B-4099-BBD2-6F429A22ED5A}">
  <dimension ref="B2:C18"/>
  <sheetViews>
    <sheetView workbookViewId="0">
      <selection activeCell="C13" sqref="C13"/>
    </sheetView>
  </sheetViews>
  <sheetFormatPr defaultRowHeight="12.75"/>
  <cols>
    <col min="3" max="3" width="13.42578125" bestFit="1" customWidth="1"/>
  </cols>
  <sheetData>
    <row r="2" spans="2:3">
      <c r="B2" s="450">
        <v>7000</v>
      </c>
      <c r="C2" s="451">
        <v>45342</v>
      </c>
    </row>
    <row r="3" spans="2:3">
      <c r="B3" s="452">
        <v>150000</v>
      </c>
      <c r="C3" s="453">
        <v>45356</v>
      </c>
    </row>
    <row r="4" spans="2:3">
      <c r="B4" s="452">
        <v>20000</v>
      </c>
      <c r="C4" s="453">
        <v>45370</v>
      </c>
    </row>
    <row r="5" spans="2:3">
      <c r="B5" s="452">
        <v>20000</v>
      </c>
      <c r="C5" s="453">
        <v>45384</v>
      </c>
    </row>
    <row r="6" spans="2:3">
      <c r="B6" s="452">
        <v>30000</v>
      </c>
      <c r="C6" s="453">
        <v>45398</v>
      </c>
    </row>
    <row r="7" spans="2:3">
      <c r="B7" s="452">
        <v>20000</v>
      </c>
      <c r="C7" s="453">
        <v>45412</v>
      </c>
    </row>
    <row r="8" spans="2:3" s="607" customFormat="1">
      <c r="B8" s="452">
        <v>5000</v>
      </c>
      <c r="C8" s="453">
        <v>45426</v>
      </c>
    </row>
    <row r="9" spans="2:3" s="607" customFormat="1">
      <c r="B9" s="452">
        <v>10000</v>
      </c>
      <c r="C9" s="453">
        <v>45440</v>
      </c>
    </row>
    <row r="10" spans="2:3" s="607" customFormat="1">
      <c r="B10" s="452">
        <v>5000</v>
      </c>
      <c r="C10" s="453">
        <v>45454</v>
      </c>
    </row>
    <row r="11" spans="2:3" s="670" customFormat="1">
      <c r="B11" s="452">
        <v>5000</v>
      </c>
      <c r="C11" s="453">
        <v>45468</v>
      </c>
    </row>
    <row r="12" spans="2:3" s="678" customFormat="1">
      <c r="B12" s="452">
        <v>5000</v>
      </c>
      <c r="C12" s="453">
        <v>45482</v>
      </c>
    </row>
    <row r="13" spans="2:3" s="678" customFormat="1">
      <c r="B13" s="452">
        <v>5000</v>
      </c>
      <c r="C13" s="453">
        <v>45496</v>
      </c>
    </row>
    <row r="14" spans="2:3" s="678" customFormat="1">
      <c r="B14" s="452"/>
      <c r="C14" s="453"/>
    </row>
    <row r="15" spans="2:3" s="678" customFormat="1">
      <c r="B15" s="452"/>
      <c r="C15" s="453"/>
    </row>
    <row r="16" spans="2:3">
      <c r="B16" s="601"/>
      <c r="C16" s="602"/>
    </row>
    <row r="17" spans="2:3">
      <c r="B17" s="2">
        <f>SUM(B2:B16)</f>
        <v>282000</v>
      </c>
      <c r="C17" t="s">
        <v>1009</v>
      </c>
    </row>
    <row r="18" spans="2:3">
      <c r="B18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tBill</vt:lpstr>
      <vt:lpstr>EGA+SC ADB</vt:lpstr>
      <vt:lpstr>MCS ADB</vt:lpstr>
      <vt:lpstr>wife100k</vt:lpstr>
      <vt:lpstr>Bj15d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2023-10-31T07:52:13Z</cp:lastPrinted>
  <dcterms:created xsi:type="dcterms:W3CDTF">1998-07-18T13:03:51Z</dcterms:created>
  <dcterms:modified xsi:type="dcterms:W3CDTF">2024-01-31T18:39:44Z</dcterms:modified>
</cp:coreProperties>
</file>