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52A839D9-6865-41B9-88EF-023606062432}" xr6:coauthVersionLast="38" xr6:coauthVersionMax="38" xr10:uidLastSave="{00000000-0000-0000-0000-000000000000}"/>
  <bookViews>
    <workbookView xWindow="17832" yWindow="1860" windowWidth="21240" windowHeight="11832" tabRatio="673" firstSheet="7" activeTab="7" xr2:uid="{00000000-000D-0000-FFFF-FFFF00000000}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ADB" sheetId="44" r:id="rId9"/>
    <sheet name="paydown" sheetId="41" state="hidden" r:id="rId10"/>
    <sheet name="MCS intApr" sheetId="45" state="hidden" r:id="rId11"/>
    <sheet name="MCS int" sheetId="42" r:id="rId12"/>
    <sheet name="wife100k" sheetId="43" state="hidden" r:id="rId13"/>
    <sheet name="Bj15d" sheetId="46" state="hidden" r:id="rId14"/>
    <sheet name="!" sheetId="33" r:id="rId15"/>
    <sheet name="snap4mtg" sheetId="37" state="hidden" r:id="rId16"/>
    <sheet name="mtg2023" sheetId="35" state="hidden" r:id="rId17"/>
  </sheets>
  <calcPr calcId="179021"/>
</workbook>
</file>

<file path=xl/calcChain.xml><?xml version="1.0" encoding="utf-8"?>
<calcChain xmlns="http://schemas.openxmlformats.org/spreadsheetml/2006/main">
  <c r="KA56" i="32" l="1"/>
  <c r="KA36" i="32" l="1"/>
  <c r="E20" i="35" l="1"/>
  <c r="E19" i="35"/>
  <c r="Q17" i="35"/>
  <c r="E17" i="35"/>
  <c r="T15" i="35"/>
  <c r="Q15" i="35"/>
  <c r="W13" i="35"/>
  <c r="T13" i="35"/>
  <c r="R9" i="35"/>
  <c r="U8" i="35"/>
  <c r="C19" i="37"/>
  <c r="D10" i="37"/>
  <c r="C7" i="37"/>
  <c r="C10" i="46"/>
  <c r="C9" i="46"/>
  <c r="C7" i="46"/>
  <c r="C6" i="46"/>
  <c r="C5" i="46"/>
  <c r="C4" i="46"/>
  <c r="G22" i="43"/>
  <c r="B22" i="43"/>
  <c r="G21" i="43"/>
  <c r="B21" i="43"/>
  <c r="G20" i="43"/>
  <c r="B20" i="43"/>
  <c r="G19" i="43"/>
  <c r="B19" i="43"/>
  <c r="G18" i="43"/>
  <c r="B18" i="43"/>
  <c r="G17" i="43"/>
  <c r="B17" i="43"/>
  <c r="G16" i="43"/>
  <c r="B16" i="43"/>
  <c r="G15" i="43"/>
  <c r="B15" i="43"/>
  <c r="G14" i="43"/>
  <c r="B14" i="43"/>
  <c r="G13" i="43"/>
  <c r="B13" i="43"/>
  <c r="G12" i="43"/>
  <c r="B12" i="43"/>
  <c r="G9" i="43"/>
  <c r="B9" i="43"/>
  <c r="G7" i="43"/>
  <c r="B7" i="43"/>
  <c r="G5" i="43"/>
  <c r="G3" i="43"/>
  <c r="D35" i="42"/>
  <c r="B35" i="42"/>
  <c r="K33" i="42"/>
  <c r="J33" i="42"/>
  <c r="I33" i="42"/>
  <c r="H33" i="42"/>
  <c r="E33" i="42"/>
  <c r="B33" i="42"/>
  <c r="E32" i="42"/>
  <c r="B32" i="42"/>
  <c r="J31" i="42"/>
  <c r="I31" i="42"/>
  <c r="H31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D34" i="45"/>
  <c r="B34" i="45"/>
  <c r="B33" i="45"/>
  <c r="K32" i="45"/>
  <c r="J32" i="45"/>
  <c r="I32" i="45"/>
  <c r="H32" i="45"/>
  <c r="B32" i="45"/>
  <c r="B31" i="45"/>
  <c r="J30" i="45"/>
  <c r="I30" i="45"/>
  <c r="H30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2" i="41"/>
  <c r="N31" i="41"/>
  <c r="C26" i="41"/>
  <c r="M23" i="41"/>
  <c r="C21" i="41"/>
  <c r="K16" i="41"/>
  <c r="M14" i="41"/>
  <c r="J14" i="41"/>
  <c r="I5" i="41"/>
  <c r="D5" i="41"/>
  <c r="I4" i="41"/>
  <c r="P35" i="44"/>
  <c r="L35" i="44"/>
  <c r="H35" i="44"/>
  <c r="D35" i="44"/>
  <c r="P33" i="44"/>
  <c r="H33" i="44"/>
  <c r="D33" i="44"/>
  <c r="P32" i="44"/>
  <c r="H32" i="44"/>
  <c r="D32" i="44"/>
  <c r="P31" i="44"/>
  <c r="H31" i="44"/>
  <c r="D31" i="44"/>
  <c r="P30" i="44"/>
  <c r="L30" i="44"/>
  <c r="H30" i="44"/>
  <c r="D30" i="44"/>
  <c r="P29" i="44"/>
  <c r="L29" i="44"/>
  <c r="H29" i="44"/>
  <c r="D29" i="44"/>
  <c r="P28" i="44"/>
  <c r="L28" i="44"/>
  <c r="H28" i="44"/>
  <c r="D28" i="44"/>
  <c r="P27" i="44"/>
  <c r="L27" i="44"/>
  <c r="H27" i="44"/>
  <c r="D27" i="44"/>
  <c r="P26" i="44"/>
  <c r="L26" i="44"/>
  <c r="H26" i="44"/>
  <c r="D26" i="44"/>
  <c r="P25" i="44"/>
  <c r="L25" i="44"/>
  <c r="H25" i="44"/>
  <c r="D25" i="44"/>
  <c r="P24" i="44"/>
  <c r="L24" i="44"/>
  <c r="H24" i="44"/>
  <c r="D24" i="44"/>
  <c r="P23" i="44"/>
  <c r="L23" i="44"/>
  <c r="H23" i="44"/>
  <c r="D23" i="44"/>
  <c r="P22" i="44"/>
  <c r="L22" i="44"/>
  <c r="H22" i="44"/>
  <c r="D22" i="44"/>
  <c r="P21" i="44"/>
  <c r="L21" i="44"/>
  <c r="H21" i="44"/>
  <c r="D21" i="44"/>
  <c r="P20" i="44"/>
  <c r="L20" i="44"/>
  <c r="H20" i="44"/>
  <c r="D20" i="44"/>
  <c r="P19" i="44"/>
  <c r="L19" i="44"/>
  <c r="H19" i="44"/>
  <c r="D19" i="44"/>
  <c r="P18" i="44"/>
  <c r="L18" i="44"/>
  <c r="H18" i="44"/>
  <c r="D18" i="44"/>
  <c r="P17" i="44"/>
  <c r="L17" i="44"/>
  <c r="H17" i="44"/>
  <c r="D17" i="44"/>
  <c r="P16" i="44"/>
  <c r="L16" i="44"/>
  <c r="H16" i="44"/>
  <c r="D16" i="44"/>
  <c r="P15" i="44"/>
  <c r="L15" i="44"/>
  <c r="H15" i="44"/>
  <c r="D15" i="44"/>
  <c r="P14" i="44"/>
  <c r="L14" i="44"/>
  <c r="H14" i="44"/>
  <c r="D14" i="44"/>
  <c r="P13" i="44"/>
  <c r="L13" i="44"/>
  <c r="H13" i="44"/>
  <c r="D13" i="44"/>
  <c r="P12" i="44"/>
  <c r="L12" i="44"/>
  <c r="H12" i="44"/>
  <c r="D12" i="44"/>
  <c r="P11" i="44"/>
  <c r="L11" i="44"/>
  <c r="H11" i="44"/>
  <c r="D11" i="44"/>
  <c r="P10" i="44"/>
  <c r="L10" i="44"/>
  <c r="H10" i="44"/>
  <c r="D10" i="44"/>
  <c r="P9" i="44"/>
  <c r="L9" i="44"/>
  <c r="H9" i="44"/>
  <c r="D9" i="44"/>
  <c r="P8" i="44"/>
  <c r="L8" i="44"/>
  <c r="H8" i="44"/>
  <c r="D8" i="44"/>
  <c r="P7" i="44"/>
  <c r="L7" i="44"/>
  <c r="H7" i="44"/>
  <c r="D7" i="44"/>
  <c r="P6" i="44"/>
  <c r="L6" i="44"/>
  <c r="H6" i="44"/>
  <c r="D6" i="44"/>
  <c r="P5" i="44"/>
  <c r="L5" i="44"/>
  <c r="H5" i="44"/>
  <c r="D5" i="44"/>
  <c r="P4" i="44"/>
  <c r="L4" i="44"/>
  <c r="H4" i="44"/>
  <c r="D4" i="44"/>
  <c r="P3" i="44"/>
  <c r="L3" i="44"/>
  <c r="H3" i="44"/>
  <c r="D3" i="44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KA38" i="32"/>
  <c r="IK37" i="32"/>
  <c r="FK37" i="32"/>
  <c r="DN37" i="32"/>
  <c r="BF37" i="32"/>
  <c r="X37" i="32"/>
  <c r="X6" i="32" s="1"/>
  <c r="L37" i="32"/>
  <c r="JC36" i="32"/>
  <c r="IQ36" i="32"/>
  <c r="DZ36" i="32"/>
  <c r="DH36" i="32"/>
  <c r="DF36" i="32"/>
  <c r="CP36" i="32"/>
  <c r="JM35" i="32"/>
  <c r="JI35" i="32"/>
  <c r="HY35" i="32"/>
  <c r="GU35" i="32"/>
  <c r="DT35" i="32"/>
  <c r="DH35" i="32"/>
  <c r="DF35" i="32"/>
  <c r="CP35" i="32"/>
  <c r="BR35" i="32"/>
  <c r="BR6" i="32" s="1"/>
  <c r="BF35" i="32"/>
  <c r="JA34" i="32"/>
  <c r="IQ34" i="32"/>
  <c r="HS34" i="32"/>
  <c r="HQ34" i="32"/>
  <c r="GC34" i="32"/>
  <c r="DZ34" i="32"/>
  <c r="DH34" i="32"/>
  <c r="DF34" i="32"/>
  <c r="AP34" i="32"/>
  <c r="JI33" i="32"/>
  <c r="IO33" i="32"/>
  <c r="HA33" i="32"/>
  <c r="GI33" i="32"/>
  <c r="FQ33" i="32"/>
  <c r="DH33" i="32"/>
  <c r="JY32" i="32"/>
  <c r="IK32" i="32"/>
  <c r="IE32" i="32"/>
  <c r="HG32" i="32"/>
  <c r="GU32" i="32"/>
  <c r="FW32" i="32"/>
  <c r="FU32" i="32"/>
  <c r="FA32" i="32"/>
  <c r="DT32" i="32"/>
  <c r="KA31" i="32"/>
  <c r="JY35" i="32" s="1"/>
  <c r="JY31" i="32"/>
  <c r="JU31" i="32"/>
  <c r="JS31" i="32"/>
  <c r="JO31" i="32"/>
  <c r="JI31" i="32"/>
  <c r="JA31" i="32"/>
  <c r="IK31" i="32"/>
  <c r="HQ31" i="32"/>
  <c r="FU31" i="32"/>
  <c r="FK31" i="32"/>
  <c r="DN31" i="32"/>
  <c r="DH31" i="32"/>
  <c r="CJ31" i="32"/>
  <c r="JY30" i="32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JU29" i="32"/>
  <c r="JO29" i="32"/>
  <c r="JM29" i="32"/>
  <c r="JG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M28" i="32"/>
  <c r="JI28" i="32"/>
  <c r="JG28" i="32"/>
  <c r="IU28" i="32"/>
  <c r="IK28" i="32"/>
  <c r="II49" i="32" s="1"/>
  <c r="IC28" i="32"/>
  <c r="HW28" i="32"/>
  <c r="HQ28" i="32"/>
  <c r="HG28" i="32"/>
  <c r="GO28" i="32"/>
  <c r="GI28" i="32"/>
  <c r="FU28" i="32"/>
  <c r="DT28" i="32"/>
  <c r="CV28" i="32"/>
  <c r="AV28" i="32"/>
  <c r="AJ28" i="32"/>
  <c r="AD28" i="32"/>
  <c r="L28" i="32"/>
  <c r="JS27" i="32"/>
  <c r="JM27" i="32"/>
  <c r="JI27" i="32"/>
  <c r="IW27" i="32"/>
  <c r="HY27" i="32"/>
  <c r="HW30" i="32" s="1"/>
  <c r="HM27" i="32"/>
  <c r="HG27" i="32"/>
  <c r="GU27" i="32"/>
  <c r="GO27" i="32"/>
  <c r="GC27" i="32"/>
  <c r="GC6" i="32" s="1"/>
  <c r="FU27" i="32"/>
  <c r="FK27" i="32"/>
  <c r="ER27" i="32"/>
  <c r="ES27" i="32" s="1"/>
  <c r="DZ27" i="32"/>
  <c r="DN27" i="32"/>
  <c r="DH27" i="32"/>
  <c r="CV27" i="32"/>
  <c r="KA26" i="32"/>
  <c r="JS26" i="32"/>
  <c r="IW26" i="32"/>
  <c r="IU26" i="32"/>
  <c r="IK26" i="32"/>
  <c r="IE26" i="32"/>
  <c r="IC26" i="32"/>
  <c r="HW26" i="32"/>
  <c r="HA26" i="32"/>
  <c r="FW26" i="32"/>
  <c r="FW9" i="32" s="1"/>
  <c r="FU26" i="32"/>
  <c r="FQ26" i="32"/>
  <c r="BL26" i="32"/>
  <c r="BF26" i="32"/>
  <c r="BF8" i="32" s="1"/>
  <c r="L26" i="32"/>
  <c r="JS25" i="32"/>
  <c r="JC25" i="32"/>
  <c r="IU25" i="32"/>
  <c r="HY25" i="32"/>
  <c r="HW25" i="32"/>
  <c r="HG25" i="32"/>
  <c r="HA25" i="32"/>
  <c r="GU25" i="32"/>
  <c r="FE25" i="32"/>
  <c r="EF25" i="32"/>
  <c r="JO24" i="32"/>
  <c r="JM33" i="32" s="1"/>
  <c r="JI24" i="32"/>
  <c r="IE24" i="32"/>
  <c r="IC30" i="32" s="1"/>
  <c r="HY24" i="32"/>
  <c r="HW24" i="32"/>
  <c r="HS24" i="32"/>
  <c r="HK24" i="32"/>
  <c r="HG24" i="32"/>
  <c r="HA24" i="32"/>
  <c r="GU24" i="32"/>
  <c r="GG24" i="32"/>
  <c r="EY24" i="32"/>
  <c r="ES24" i="32"/>
  <c r="ES8" i="32" s="1"/>
  <c r="EM24" i="32"/>
  <c r="DF24" i="32"/>
  <c r="CR24" i="32"/>
  <c r="KA23" i="32"/>
  <c r="JC23" i="32"/>
  <c r="IU23" i="32"/>
  <c r="IK23" i="32"/>
  <c r="II23" i="32"/>
  <c r="IE23" i="32"/>
  <c r="HU23" i="32"/>
  <c r="HA23" i="32"/>
  <c r="GO23" i="32"/>
  <c r="GO9" i="32" s="1"/>
  <c r="GG23" i="32"/>
  <c r="FK23" i="32"/>
  <c r="FE23" i="32"/>
  <c r="EY23" i="32"/>
  <c r="EW23" i="32"/>
  <c r="EM23" i="32"/>
  <c r="EM10" i="32" s="1"/>
  <c r="BZ23" i="32"/>
  <c r="BB23" i="32"/>
  <c r="AV23" i="32"/>
  <c r="KA22" i="32"/>
  <c r="JY34" i="32" s="1"/>
  <c r="JU22" i="32"/>
  <c r="JI22" i="32"/>
  <c r="JC22" i="32"/>
  <c r="II22" i="32"/>
  <c r="IC22" i="32"/>
  <c r="HU22" i="32"/>
  <c r="GI22" i="32"/>
  <c r="FQ22" i="32"/>
  <c r="EY22" i="32"/>
  <c r="EF22" i="32"/>
  <c r="EF10" i="32" s="1"/>
  <c r="DZ22" i="32"/>
  <c r="DT22" i="32"/>
  <c r="DL22" i="32"/>
  <c r="DH22" i="32"/>
  <c r="DH7" i="32" s="1"/>
  <c r="CX22" i="32"/>
  <c r="BZ22" i="32"/>
  <c r="BB22" i="32"/>
  <c r="JS21" i="32"/>
  <c r="JO21" i="32"/>
  <c r="HY21" i="32"/>
  <c r="HU21" i="32"/>
  <c r="GU21" i="32"/>
  <c r="GU9" i="32" s="1"/>
  <c r="GM21" i="32"/>
  <c r="GA21" i="32"/>
  <c r="FW21" i="32"/>
  <c r="FQ21" i="32"/>
  <c r="EO21" i="32"/>
  <c r="DB21" i="32"/>
  <c r="BZ21" i="32"/>
  <c r="BF21" i="32"/>
  <c r="BF6" i="32" s="1"/>
  <c r="BB21" i="32"/>
  <c r="JY20" i="32"/>
  <c r="JU20" i="32"/>
  <c r="JO20" i="32"/>
  <c r="JM31" i="32" s="1"/>
  <c r="JI20" i="32"/>
  <c r="JC20" i="32"/>
  <c r="IW20" i="32"/>
  <c r="IQ20" i="32"/>
  <c r="IK20" i="32"/>
  <c r="II20" i="32"/>
  <c r="HY20" i="32"/>
  <c r="HJ20" i="32"/>
  <c r="HG20" i="32"/>
  <c r="GM20" i="32"/>
  <c r="GA20" i="32"/>
  <c r="FE20" i="32"/>
  <c r="FE8" i="32" s="1"/>
  <c r="ES20" i="32"/>
  <c r="EO20" i="32"/>
  <c r="EM20" i="32"/>
  <c r="BB20" i="32"/>
  <c r="AX20" i="32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C18" i="32"/>
  <c r="HW18" i="32"/>
  <c r="HS18" i="32"/>
  <c r="HM18" i="32"/>
  <c r="HE18" i="32"/>
  <c r="HA18" i="32"/>
  <c r="FI18" i="32"/>
  <c r="EF18" i="32"/>
  <c r="DZ18" i="32"/>
  <c r="DP18" i="32"/>
  <c r="BB18" i="32"/>
  <c r="JY17" i="32"/>
  <c r="JM17" i="32"/>
  <c r="JK17" i="32"/>
  <c r="JC17" i="32"/>
  <c r="JC16" i="32" s="1"/>
  <c r="JA30" i="32" s="1"/>
  <c r="JA17" i="32"/>
  <c r="IW17" i="32"/>
  <c r="IO17" i="32"/>
  <c r="IE17" i="32"/>
  <c r="HM17" i="32"/>
  <c r="FQ17" i="32"/>
  <c r="FQ11" i="32" s="1"/>
  <c r="FI17" i="32"/>
  <c r="DP17" i="32"/>
  <c r="DP3" i="32" s="1"/>
  <c r="DN17" i="32"/>
  <c r="BB17" i="32"/>
  <c r="JY16" i="32"/>
  <c r="JM16" i="32"/>
  <c r="IS16" i="32"/>
  <c r="IQ16" i="32"/>
  <c r="IK16" i="32"/>
  <c r="II47" i="32" s="1"/>
  <c r="II16" i="32"/>
  <c r="IG16" i="32"/>
  <c r="IC16" i="32"/>
  <c r="HY16" i="32"/>
  <c r="HW16" i="32"/>
  <c r="HG16" i="32"/>
  <c r="HA16" i="32"/>
  <c r="HA11" i="32" s="1"/>
  <c r="GU16" i="32"/>
  <c r="FI16" i="32"/>
  <c r="FE16" i="32"/>
  <c r="ES16" i="32"/>
  <c r="ES10" i="32" s="1"/>
  <c r="EM16" i="32"/>
  <c r="DB16" i="32"/>
  <c r="DB7" i="32" s="1"/>
  <c r="BB16" i="32"/>
  <c r="JG15" i="32"/>
  <c r="IW15" i="32"/>
  <c r="IW14" i="32" s="1"/>
  <c r="IS15" i="32"/>
  <c r="IK15" i="32"/>
  <c r="II44" i="32" s="1"/>
  <c r="IG15" i="32"/>
  <c r="HY15" i="32"/>
  <c r="HM15" i="32"/>
  <c r="FW15" i="32"/>
  <c r="EO15" i="32"/>
  <c r="DV15" i="32"/>
  <c r="BB15" i="32"/>
  <c r="R15" i="32"/>
  <c r="R8" i="32" s="1"/>
  <c r="F15" i="32"/>
  <c r="JU14" i="32"/>
  <c r="JS29" i="32" s="1"/>
  <c r="JS14" i="32"/>
  <c r="JO14" i="32"/>
  <c r="JO13" i="32" s="1"/>
  <c r="IO14" i="32"/>
  <c r="HY14" i="32"/>
  <c r="HM14" i="32"/>
  <c r="HK28" i="32" s="1"/>
  <c r="FS14" i="32"/>
  <c r="EW14" i="32"/>
  <c r="EY28" i="32" s="1"/>
  <c r="EO14" i="32"/>
  <c r="EB14" i="32"/>
  <c r="DT14" i="32"/>
  <c r="CV14" i="32"/>
  <c r="BB14" i="32"/>
  <c r="AP14" i="32"/>
  <c r="KA13" i="32"/>
  <c r="JY13" i="32"/>
  <c r="JU13" i="32"/>
  <c r="JC13" i="32"/>
  <c r="IQ13" i="32"/>
  <c r="IK13" i="32"/>
  <c r="II46" i="32" s="1"/>
  <c r="II13" i="32"/>
  <c r="HS13" i="32"/>
  <c r="HQ32" i="32" s="1"/>
  <c r="GU13" i="32"/>
  <c r="FG13" i="32"/>
  <c r="FA13" i="32"/>
  <c r="EF13" i="32"/>
  <c r="EF7" i="32" s="1"/>
  <c r="DN13" i="32"/>
  <c r="BB13" i="32"/>
  <c r="AV13" i="32"/>
  <c r="R13" i="32"/>
  <c r="JI12" i="32"/>
  <c r="JG12" i="32"/>
  <c r="JG2" i="32" s="1"/>
  <c r="IQ12" i="32"/>
  <c r="IO34" i="32" s="1"/>
  <c r="II12" i="32"/>
  <c r="II2" i="32" s="1"/>
  <c r="HY12" i="32"/>
  <c r="HS12" i="32"/>
  <c r="HQ29" i="32" s="1"/>
  <c r="HG12" i="32"/>
  <c r="HA12" i="32"/>
  <c r="GO12" i="32"/>
  <c r="GM12" i="32"/>
  <c r="GI12" i="32"/>
  <c r="GC12" i="32"/>
  <c r="FW12" i="32"/>
  <c r="FQ12" i="32"/>
  <c r="BZ12" i="32"/>
  <c r="BB12" i="32"/>
  <c r="X12" i="32"/>
  <c r="F12" i="32"/>
  <c r="KA11" i="32"/>
  <c r="JY33" i="32" s="1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K11" i="32"/>
  <c r="FE11" i="32"/>
  <c r="EY11" i="32"/>
  <c r="ES11" i="32"/>
  <c r="EM11" i="32"/>
  <c r="EF11" i="32"/>
  <c r="DZ11" i="32"/>
  <c r="DT11" i="32"/>
  <c r="DN11" i="32"/>
  <c r="DH11" i="32"/>
  <c r="DB11" i="32"/>
  <c r="CV11" i="32"/>
  <c r="CJ11" i="32"/>
  <c r="CD11" i="32"/>
  <c r="BX11" i="32"/>
  <c r="BR11" i="32"/>
  <c r="BL11" i="32"/>
  <c r="BF11" i="32"/>
  <c r="BB11" i="32"/>
  <c r="AV11" i="32"/>
  <c r="AP11" i="32"/>
  <c r="AJ11" i="32"/>
  <c r="X11" i="32"/>
  <c r="L11" i="32"/>
  <c r="JO10" i="32"/>
  <c r="IE10" i="32"/>
  <c r="IC27" i="32" s="1"/>
  <c r="HM10" i="32"/>
  <c r="HG10" i="32"/>
  <c r="HA10" i="32"/>
  <c r="GY10" i="32"/>
  <c r="GY3" i="32" s="1"/>
  <c r="GI10" i="32"/>
  <c r="GC10" i="32"/>
  <c r="FW10" i="32"/>
  <c r="FS10" i="32"/>
  <c r="FQ10" i="32"/>
  <c r="FK10" i="32"/>
  <c r="FE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Y2" i="32" s="1"/>
  <c r="IW2" i="32" s="1"/>
  <c r="IO9" i="32"/>
  <c r="IK9" i="32"/>
  <c r="II42" i="32" s="1"/>
  <c r="HM9" i="32"/>
  <c r="HK9" i="32"/>
  <c r="HG9" i="32"/>
  <c r="HE9" i="32"/>
  <c r="GI9" i="32"/>
  <c r="GC9" i="32"/>
  <c r="FQ9" i="32"/>
  <c r="FM9" i="32"/>
  <c r="FK9" i="32"/>
  <c r="FE9" i="32"/>
  <c r="EY9" i="32"/>
  <c r="ES9" i="32"/>
  <c r="EM9" i="32"/>
  <c r="EF9" i="32"/>
  <c r="DZ9" i="32"/>
  <c r="DT9" i="32"/>
  <c r="DN9" i="32"/>
  <c r="DH9" i="32"/>
  <c r="DB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L8" i="32"/>
  <c r="BB8" i="32"/>
  <c r="AV8" i="32"/>
  <c r="AP8" i="32"/>
  <c r="AJ8" i="32"/>
  <c r="AD8" i="32"/>
  <c r="X8" i="32"/>
  <c r="JQ7" i="32"/>
  <c r="HG7" i="32"/>
  <c r="HA7" i="32"/>
  <c r="GU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DN7" i="32"/>
  <c r="CV7" i="32"/>
  <c r="CP7" i="32"/>
  <c r="CJ7" i="32"/>
  <c r="CD7" i="32"/>
  <c r="BX7" i="32"/>
  <c r="BR7" i="32"/>
  <c r="BL7" i="32"/>
  <c r="BF7" i="32"/>
  <c r="BB7" i="32"/>
  <c r="AV7" i="32"/>
  <c r="AP7" i="32"/>
  <c r="AJ7" i="32"/>
  <c r="AD7" i="32"/>
  <c r="L7" i="32"/>
  <c r="F7" i="32"/>
  <c r="JE6" i="32"/>
  <c r="JA6" i="32"/>
  <c r="HU6" i="32"/>
  <c r="HK6" i="32"/>
  <c r="GO6" i="32"/>
  <c r="GG6" i="32"/>
  <c r="GA6" i="32"/>
  <c r="GA3" i="32" s="1"/>
  <c r="GC3" i="32" s="1"/>
  <c r="FE6" i="32"/>
  <c r="EF6" i="32"/>
  <c r="DH6" i="32"/>
  <c r="CJ6" i="32"/>
  <c r="BX6" i="32"/>
  <c r="BL6" i="32"/>
  <c r="BB6" i="32"/>
  <c r="AP6" i="32"/>
  <c r="AJ6" i="32"/>
  <c r="AD6" i="32"/>
  <c r="R6" i="32"/>
  <c r="JU5" i="32"/>
  <c r="JK5" i="32"/>
  <c r="JE5" i="32"/>
  <c r="JE2" i="32" s="1"/>
  <c r="IY5" i="32"/>
  <c r="IU5" i="32"/>
  <c r="IU2" i="32" s="1"/>
  <c r="HU5" i="32"/>
  <c r="BB5" i="32"/>
  <c r="BB3" i="32" s="1"/>
  <c r="BF3" i="32" s="1"/>
  <c r="L5" i="32"/>
  <c r="F5" i="32"/>
  <c r="JQ4" i="32"/>
  <c r="JW4" i="32" s="1"/>
  <c r="KC3" i="32"/>
  <c r="JW3" i="32"/>
  <c r="JW2" i="32" s="1"/>
  <c r="JQ3" i="32"/>
  <c r="IS3" i="32"/>
  <c r="IM3" i="32"/>
  <c r="IG3" i="32"/>
  <c r="IA3" i="32"/>
  <c r="IA2" i="32" s="1"/>
  <c r="HW3" i="32"/>
  <c r="HQ3" i="32"/>
  <c r="HO3" i="32"/>
  <c r="HK3" i="32"/>
  <c r="HI3" i="32"/>
  <c r="HC3" i="32"/>
  <c r="GW3" i="32"/>
  <c r="GW2" i="32" s="1"/>
  <c r="GS3" i="32"/>
  <c r="GQ3" i="32"/>
  <c r="GU3" i="32" s="1"/>
  <c r="GM3" i="32"/>
  <c r="GK3" i="32"/>
  <c r="GE3" i="32"/>
  <c r="FY3" i="32"/>
  <c r="FS3" i="32"/>
  <c r="FO3" i="32"/>
  <c r="FM3" i="32"/>
  <c r="FG3" i="32"/>
  <c r="FC3" i="32"/>
  <c r="FA3" i="32"/>
  <c r="EW3" i="32"/>
  <c r="EU3" i="32"/>
  <c r="EY3" i="32" s="1"/>
  <c r="EQ3" i="32"/>
  <c r="EK3" i="32"/>
  <c r="EI3" i="32"/>
  <c r="ED3" i="32"/>
  <c r="EB3" i="32"/>
  <c r="DX3" i="32"/>
  <c r="DV3" i="32"/>
  <c r="DR3" i="32"/>
  <c r="DT3" i="32" s="1"/>
  <c r="DL3" i="32"/>
  <c r="DJ3" i="32"/>
  <c r="DN3" i="32" s="1"/>
  <c r="DF3" i="32"/>
  <c r="DD3" i="32"/>
  <c r="CZ3" i="32"/>
  <c r="CX3" i="32"/>
  <c r="DB3" i="32" s="1"/>
  <c r="CT3" i="32"/>
  <c r="CR3" i="32"/>
  <c r="CL3" i="32"/>
  <c r="CH3" i="32"/>
  <c r="CF3" i="32"/>
  <c r="CB3" i="32"/>
  <c r="BZ3" i="32"/>
  <c r="BV3" i="32"/>
  <c r="BX3" i="32" s="1"/>
  <c r="BT3" i="32"/>
  <c r="BP3" i="32"/>
  <c r="BN3" i="32"/>
  <c r="BJ3" i="32"/>
  <c r="BH3" i="32"/>
  <c r="BD3" i="32"/>
  <c r="AX3" i="32"/>
  <c r="AT3" i="32"/>
  <c r="AN3" i="32"/>
  <c r="AL3" i="32"/>
  <c r="AH3" i="32"/>
  <c r="AF3" i="32"/>
  <c r="AB3" i="32"/>
  <c r="Z3" i="32"/>
  <c r="V3" i="32"/>
  <c r="X3" i="32" s="1"/>
  <c r="T3" i="32"/>
  <c r="P3" i="32"/>
  <c r="N3" i="32"/>
  <c r="J3" i="32"/>
  <c r="H3" i="32"/>
  <c r="F3" i="32"/>
  <c r="B3" i="32"/>
  <c r="KC2" i="32"/>
  <c r="JY2" i="32"/>
  <c r="JQ2" i="32"/>
  <c r="JM2" i="32"/>
  <c r="JA2" i="32"/>
  <c r="IS2" i="32"/>
  <c r="IO2" i="32"/>
  <c r="IG2" i="32"/>
  <c r="IC2" i="32"/>
  <c r="HO2" i="32"/>
  <c r="HI2" i="32"/>
  <c r="HC2" i="32"/>
  <c r="FY2" i="32"/>
  <c r="BY43" i="28"/>
  <c r="BY35" i="28"/>
  <c r="FD32" i="28"/>
  <c r="FD31" i="28"/>
  <c r="FD30" i="28"/>
  <c r="FD29" i="28"/>
  <c r="CQ29" i="28"/>
  <c r="FC28" i="28"/>
  <c r="FD25" i="28"/>
  <c r="AO25" i="28"/>
  <c r="FC24" i="28"/>
  <c r="DI23" i="28"/>
  <c r="AO23" i="28"/>
  <c r="FC22" i="28"/>
  <c r="DC22" i="28"/>
  <c r="FC21" i="28"/>
  <c r="AO21" i="28"/>
  <c r="FC20" i="28"/>
  <c r="EA19" i="28"/>
  <c r="DM19" i="28"/>
  <c r="AI19" i="28"/>
  <c r="AC19" i="28"/>
  <c r="W19" i="28"/>
  <c r="FC18" i="28"/>
  <c r="EY18" i="28"/>
  <c r="EO18" i="28"/>
  <c r="FC17" i="28"/>
  <c r="FC16" i="28"/>
  <c r="CK16" i="28"/>
  <c r="FC15" i="28"/>
  <c r="EW15" i="28"/>
  <c r="AO15" i="28"/>
  <c r="EY14" i="28"/>
  <c r="ES14" i="28"/>
  <c r="EQ14" i="28"/>
  <c r="CU14" i="28"/>
  <c r="AU14" i="28"/>
  <c r="AC14" i="28"/>
  <c r="DO13" i="28"/>
  <c r="AI13" i="28"/>
  <c r="W13" i="28"/>
  <c r="EY12" i="28"/>
  <c r="EU12" i="28"/>
  <c r="ES12" i="28"/>
  <c r="EQ12" i="28"/>
  <c r="EO12" i="28"/>
  <c r="EK12" i="28"/>
  <c r="BA12" i="28"/>
  <c r="W12" i="28"/>
  <c r="ES11" i="28"/>
  <c r="W11" i="28"/>
  <c r="EQ10" i="28"/>
  <c r="DQ10" i="28"/>
  <c r="DE10" i="28"/>
  <c r="BM10" i="28"/>
  <c r="BA10" i="28"/>
  <c r="AU10" i="28"/>
  <c r="AI10" i="28"/>
  <c r="Q10" i="28"/>
  <c r="EY9" i="28"/>
  <c r="ES9" i="28"/>
  <c r="EM9" i="28"/>
  <c r="EK9" i="28"/>
  <c r="EI9" i="28"/>
  <c r="EG9" i="28"/>
  <c r="EA9" i="28"/>
  <c r="DC9" i="28"/>
  <c r="CW9" i="28"/>
  <c r="CQ9" i="28"/>
  <c r="CK9" i="28"/>
  <c r="CE9" i="28"/>
  <c r="BY9" i="28"/>
  <c r="BS9" i="28"/>
  <c r="BM9" i="28"/>
  <c r="BG9" i="28"/>
  <c r="BA9" i="28"/>
  <c r="AU9" i="28"/>
  <c r="AO9" i="28"/>
  <c r="FC8" i="28"/>
  <c r="EY8" i="28"/>
  <c r="ES8" i="28"/>
  <c r="EM8" i="28"/>
  <c r="EG8" i="28"/>
  <c r="EE8" i="28"/>
  <c r="EA8" i="28"/>
  <c r="DU8" i="28"/>
  <c r="DO8" i="28"/>
  <c r="DI8" i="28"/>
  <c r="DC8" i="28"/>
  <c r="CW8" i="28"/>
  <c r="CU8" i="28"/>
  <c r="CQ8" i="28"/>
  <c r="CK8" i="28"/>
  <c r="CE8" i="28"/>
  <c r="BY8" i="28"/>
  <c r="BS8" i="28"/>
  <c r="BA8" i="28"/>
  <c r="AO8" i="28"/>
  <c r="AI8" i="28"/>
  <c r="AC8" i="28"/>
  <c r="W8" i="28"/>
  <c r="FC7" i="28"/>
  <c r="EY7" i="28"/>
  <c r="ES7" i="28"/>
  <c r="EQ7" i="28"/>
  <c r="EM7" i="28"/>
  <c r="EK7" i="28"/>
  <c r="EG7" i="28"/>
  <c r="EA7" i="28"/>
  <c r="DY7" i="28"/>
  <c r="DU7" i="28"/>
  <c r="DS7" i="28"/>
  <c r="DQ7" i="28"/>
  <c r="DM7" i="28"/>
  <c r="DK7" i="28"/>
  <c r="DI7" i="28"/>
  <c r="DG7" i="28"/>
  <c r="CW7" i="28"/>
  <c r="CQ7" i="28"/>
  <c r="CO7" i="28"/>
  <c r="CE7" i="28"/>
  <c r="BY7" i="28"/>
  <c r="BM7" i="28"/>
  <c r="BG7" i="28"/>
  <c r="BA7" i="28"/>
  <c r="AA7" i="28"/>
  <c r="W7" i="28"/>
  <c r="E7" i="28"/>
  <c r="FC6" i="28"/>
  <c r="EM6" i="28"/>
  <c r="EG6" i="28"/>
  <c r="EA6" i="28"/>
  <c r="DU6" i="28"/>
  <c r="DO6" i="28"/>
  <c r="DI6" i="28"/>
  <c r="DC6" i="28"/>
  <c r="CW6" i="28"/>
  <c r="CQ6" i="28"/>
  <c r="CK6" i="28"/>
  <c r="AO6" i="28"/>
  <c r="FC5" i="28"/>
  <c r="CE5" i="28"/>
  <c r="BY5" i="28"/>
  <c r="BS5" i="28"/>
  <c r="BM5" i="28"/>
  <c r="BG5" i="28"/>
  <c r="BA5" i="28"/>
  <c r="AU5" i="28"/>
  <c r="AM5" i="28"/>
  <c r="EY4" i="28"/>
  <c r="ES4" i="28"/>
  <c r="EM4" i="28"/>
  <c r="EG4" i="28"/>
  <c r="EA4" i="28"/>
  <c r="DU4" i="28"/>
  <c r="DO4" i="28"/>
  <c r="DI4" i="28"/>
  <c r="DC4" i="28"/>
  <c r="CW4" i="28"/>
  <c r="CQ4" i="28"/>
  <c r="CK4" i="28"/>
  <c r="CE4" i="28"/>
  <c r="BY4" i="28"/>
  <c r="BS4" i="28"/>
  <c r="BM4" i="28"/>
  <c r="BG4" i="28"/>
  <c r="BA4" i="28"/>
  <c r="AU4" i="28"/>
  <c r="AS4" i="28"/>
  <c r="AO4" i="28"/>
  <c r="AI4" i="28"/>
  <c r="AC4" i="28"/>
  <c r="W4" i="28"/>
  <c r="Q4" i="28"/>
  <c r="K4" i="28"/>
  <c r="E4" i="28"/>
  <c r="EY3" i="28"/>
  <c r="ES3" i="28"/>
  <c r="EM3" i="28"/>
  <c r="EG3" i="28"/>
  <c r="EA3" i="28"/>
  <c r="DU3" i="28"/>
  <c r="DO3" i="28"/>
  <c r="DI3" i="28"/>
  <c r="DC3" i="28"/>
  <c r="CW3" i="28"/>
  <c r="CQ3" i="28"/>
  <c r="CK3" i="28"/>
  <c r="CE3" i="28"/>
  <c r="BY3" i="28"/>
  <c r="BS3" i="28"/>
  <c r="BM3" i="28"/>
  <c r="BG3" i="28"/>
  <c r="BA3" i="28"/>
  <c r="AU3" i="28"/>
  <c r="AO3" i="28"/>
  <c r="AI3" i="28"/>
  <c r="AC3" i="28"/>
  <c r="W3" i="28"/>
  <c r="Q3" i="28"/>
  <c r="K3" i="28"/>
  <c r="E3" i="28"/>
  <c r="FF2" i="28"/>
  <c r="FD2" i="28"/>
  <c r="FC2" i="28"/>
  <c r="FA2" i="28"/>
  <c r="EY2" i="28"/>
  <c r="EW2" i="28"/>
  <c r="EU2" i="28"/>
  <c r="ES2" i="28"/>
  <c r="EQ2" i="28"/>
  <c r="EO2" i="28"/>
  <c r="EM2" i="28"/>
  <c r="EK2" i="28"/>
  <c r="EI2" i="28"/>
  <c r="EG2" i="28"/>
  <c r="EE2" i="28"/>
  <c r="EC2" i="28"/>
  <c r="EA2" i="28"/>
  <c r="DY2" i="28"/>
  <c r="DW2" i="28"/>
  <c r="DU2" i="28"/>
  <c r="DS2" i="28"/>
  <c r="DQ2" i="28"/>
  <c r="DO2" i="28"/>
  <c r="DM2" i="28"/>
  <c r="DK2" i="28"/>
  <c r="DI2" i="28"/>
  <c r="DG2" i="28"/>
  <c r="DE2" i="28"/>
  <c r="DC2" i="28"/>
  <c r="DA2" i="28"/>
  <c r="CY2" i="28"/>
  <c r="CW2" i="28"/>
  <c r="CU2" i="28"/>
  <c r="CS2" i="28"/>
  <c r="CQ2" i="28"/>
  <c r="CO2" i="28"/>
  <c r="CM2" i="28"/>
  <c r="CK2" i="28"/>
  <c r="CI2" i="28"/>
  <c r="CG2" i="28"/>
  <c r="CE2" i="28"/>
  <c r="CC2" i="28"/>
  <c r="CA2" i="28"/>
  <c r="BY2" i="28"/>
  <c r="BW2" i="28"/>
  <c r="BU2" i="28"/>
  <c r="BS2" i="28"/>
  <c r="BQ2" i="28"/>
  <c r="BO2" i="28"/>
  <c r="BM2" i="28"/>
  <c r="BK2" i="28"/>
  <c r="BI2" i="28"/>
  <c r="BG2" i="28"/>
  <c r="BE2" i="28"/>
  <c r="BC2" i="28"/>
  <c r="BA2" i="28"/>
  <c r="AY2" i="28"/>
  <c r="AW2" i="28"/>
  <c r="AU2" i="28"/>
  <c r="AS2" i="28"/>
  <c r="AQ2" i="28"/>
  <c r="AO2" i="28"/>
  <c r="AM2" i="28"/>
  <c r="AK2" i="28"/>
  <c r="AI2" i="28"/>
  <c r="AG2" i="28"/>
  <c r="AE2" i="28"/>
  <c r="AC2" i="28"/>
  <c r="AA2" i="28"/>
  <c r="Y2" i="28"/>
  <c r="W2" i="28"/>
  <c r="U2" i="28"/>
  <c r="S2" i="28"/>
  <c r="Q2" i="28"/>
  <c r="O2" i="28"/>
  <c r="M2" i="28"/>
  <c r="K2" i="28"/>
  <c r="I2" i="28"/>
  <c r="G2" i="28"/>
  <c r="E2" i="28"/>
  <c r="C2" i="28"/>
  <c r="E19" i="31"/>
  <c r="C19" i="31"/>
  <c r="E18" i="31"/>
  <c r="E17" i="31"/>
  <c r="E16" i="31"/>
  <c r="H39" i="26"/>
  <c r="G39" i="26"/>
  <c r="E39" i="26"/>
  <c r="H37" i="26"/>
  <c r="E36" i="26"/>
  <c r="E35" i="26"/>
  <c r="H34" i="26"/>
  <c r="E34" i="26"/>
  <c r="E33" i="26"/>
  <c r="E32" i="26"/>
  <c r="E31" i="26"/>
  <c r="E30" i="26"/>
  <c r="E29" i="26"/>
  <c r="E28" i="26"/>
  <c r="H27" i="26"/>
  <c r="E27" i="26"/>
  <c r="E26" i="26"/>
  <c r="D26" i="26"/>
  <c r="H25" i="26"/>
  <c r="E25" i="26"/>
  <c r="H23" i="26"/>
  <c r="E23" i="26"/>
  <c r="E22" i="26"/>
  <c r="H21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O44" i="34"/>
  <c r="M44" i="34"/>
  <c r="J44" i="34"/>
  <c r="G44" i="34"/>
  <c r="G43" i="34"/>
  <c r="P40" i="34"/>
  <c r="O40" i="34"/>
  <c r="N40" i="34"/>
  <c r="M40" i="34"/>
  <c r="K40" i="34"/>
  <c r="J40" i="34"/>
  <c r="H40" i="34"/>
  <c r="G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J20" i="34"/>
  <c r="G20" i="34"/>
  <c r="K19" i="34"/>
  <c r="H19" i="34"/>
  <c r="K18" i="34"/>
  <c r="H18" i="34"/>
  <c r="K17" i="34"/>
  <c r="K15" i="34"/>
  <c r="K14" i="34"/>
  <c r="K12" i="34"/>
  <c r="H10" i="34"/>
  <c r="N5" i="34"/>
  <c r="K5" i="34"/>
  <c r="H5" i="34"/>
  <c r="K4" i="34"/>
  <c r="H4" i="34"/>
  <c r="AW69" i="21"/>
  <c r="AQ57" i="21"/>
  <c r="Y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AK39" i="21"/>
  <c r="AY38" i="21"/>
  <c r="AK38" i="21"/>
  <c r="AE37" i="21"/>
  <c r="BC36" i="21"/>
  <c r="AK36" i="21"/>
  <c r="W35" i="2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Q21" i="21"/>
  <c r="Q20" i="21"/>
  <c r="AQ19" i="21"/>
  <c r="AK19" i="21"/>
  <c r="Y19" i="21"/>
  <c r="Q19" i="21"/>
  <c r="BC18" i="21"/>
  <c r="AC18" i="21"/>
  <c r="Q18" i="21"/>
  <c r="BC17" i="21"/>
  <c r="AK17" i="21"/>
  <c r="S17" i="21"/>
  <c r="M17" i="21"/>
  <c r="AY16" i="21"/>
  <c r="W16" i="21"/>
  <c r="S16" i="21"/>
  <c r="BC15" i="21"/>
  <c r="AE15" i="21"/>
  <c r="S15" i="21"/>
  <c r="Y14" i="21"/>
  <c r="M14" i="21"/>
  <c r="M13" i="21"/>
  <c r="Y12" i="21"/>
  <c r="S12" i="21"/>
  <c r="AE11" i="21"/>
  <c r="S11" i="21"/>
  <c r="K11" i="21"/>
  <c r="AQ10" i="21"/>
  <c r="AM10" i="21"/>
  <c r="AK10" i="21"/>
  <c r="AE10" i="21"/>
  <c r="Y10" i="21"/>
  <c r="S10" i="21"/>
  <c r="AS9" i="21"/>
  <c r="AG9" i="21"/>
  <c r="AA9" i="21"/>
  <c r="Y9" i="21"/>
  <c r="U9" i="21"/>
  <c r="S9" i="21"/>
  <c r="M9" i="21"/>
  <c r="AQ8" i="21"/>
  <c r="AM8" i="21"/>
  <c r="AK8" i="21"/>
  <c r="AG8" i="21"/>
  <c r="AE8" i="21"/>
  <c r="S8" i="21"/>
  <c r="G8" i="21"/>
  <c r="AS7" i="21"/>
  <c r="AQ7" i="21"/>
  <c r="AK7" i="21"/>
  <c r="AE7" i="21"/>
  <c r="Y7" i="21"/>
  <c r="S7" i="21"/>
  <c r="M7" i="21"/>
  <c r="AO6" i="21"/>
  <c r="Y6" i="21"/>
  <c r="S6" i="21"/>
  <c r="O6" i="21"/>
  <c r="K6" i="21"/>
  <c r="I6" i="21"/>
  <c r="AQ5" i="21"/>
  <c r="AK5" i="21"/>
  <c r="AE5" i="21"/>
  <c r="S5" i="21"/>
  <c r="O5" i="21"/>
  <c r="I5" i="21"/>
  <c r="AQ4" i="21"/>
  <c r="AK4" i="21"/>
  <c r="AE4" i="21"/>
  <c r="Y4" i="21"/>
  <c r="S4" i="21"/>
  <c r="M4" i="21"/>
  <c r="BC3" i="21"/>
  <c r="AY3" i="21"/>
  <c r="AS3" i="21"/>
  <c r="AQ3" i="21"/>
  <c r="AO3" i="21"/>
  <c r="AM3" i="21"/>
  <c r="AK3" i="21"/>
  <c r="AI3" i="21"/>
  <c r="AG3" i="21"/>
  <c r="AE3" i="21"/>
  <c r="AC3" i="21"/>
  <c r="AA3" i="21"/>
  <c r="Y3" i="21"/>
  <c r="W3" i="21"/>
  <c r="U3" i="21"/>
  <c r="S3" i="21"/>
  <c r="Q3" i="21"/>
  <c r="O3" i="21"/>
  <c r="M3" i="21"/>
  <c r="K3" i="21"/>
  <c r="I3" i="21"/>
  <c r="G3" i="21"/>
  <c r="E3" i="21"/>
  <c r="C3" i="21"/>
  <c r="E31" i="19"/>
  <c r="B31" i="19"/>
  <c r="E28" i="19"/>
  <c r="B28" i="19"/>
  <c r="E22" i="19"/>
  <c r="B22" i="19"/>
  <c r="E21" i="19"/>
  <c r="B21" i="19"/>
  <c r="AL10" i="19"/>
  <c r="AI10" i="19"/>
  <c r="AF10" i="19"/>
  <c r="AC10" i="19"/>
  <c r="Z10" i="19"/>
  <c r="W10" i="19"/>
  <c r="T10" i="19"/>
  <c r="Q10" i="19"/>
  <c r="N10" i="19"/>
  <c r="K10" i="19"/>
  <c r="BS9" i="19"/>
  <c r="BP9" i="19"/>
  <c r="BM9" i="19"/>
  <c r="BJ9" i="19"/>
  <c r="BG9" i="19"/>
  <c r="BD9" i="19"/>
  <c r="BA9" i="19"/>
  <c r="AX9" i="19"/>
  <c r="AU9" i="19"/>
  <c r="AR9" i="19"/>
  <c r="AO9" i="19"/>
  <c r="H8" i="19"/>
  <c r="E8" i="19"/>
  <c r="B8" i="19"/>
  <c r="BS7" i="19"/>
  <c r="BP7" i="19"/>
  <c r="BM7" i="19"/>
  <c r="BJ7" i="19"/>
  <c r="BG7" i="19"/>
  <c r="BD7" i="19"/>
  <c r="BA7" i="19"/>
  <c r="AX7" i="19"/>
  <c r="AU7" i="19"/>
  <c r="AR7" i="19"/>
  <c r="AO7" i="19"/>
  <c r="AL7" i="19"/>
  <c r="AI7" i="19"/>
  <c r="AF7" i="19"/>
  <c r="AC7" i="19"/>
  <c r="Z7" i="19"/>
  <c r="W7" i="19"/>
  <c r="T7" i="19"/>
  <c r="Q7" i="19"/>
  <c r="N7" i="19"/>
  <c r="K7" i="19"/>
  <c r="H5" i="19"/>
  <c r="B5" i="19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BS1" i="19"/>
  <c r="BP1" i="19"/>
  <c r="BM1" i="19"/>
  <c r="BJ1" i="19"/>
  <c r="BG1" i="19"/>
  <c r="BD1" i="19"/>
  <c r="BA1" i="19"/>
  <c r="AX1" i="19"/>
  <c r="AU1" i="19"/>
  <c r="AR1" i="19"/>
  <c r="AO1" i="19"/>
  <c r="AL1" i="19"/>
  <c r="AI1" i="19"/>
  <c r="AF1" i="19"/>
  <c r="AC1" i="19"/>
  <c r="Z1" i="19"/>
  <c r="W1" i="19"/>
  <c r="T1" i="19"/>
  <c r="Q1" i="19"/>
  <c r="N1" i="19"/>
  <c r="K1" i="19"/>
  <c r="H1" i="19"/>
  <c r="E1" i="19"/>
  <c r="B1" i="19"/>
  <c r="F15" i="24"/>
  <c r="F8" i="24"/>
  <c r="F6" i="24"/>
  <c r="F5" i="24"/>
  <c r="G4" i="24"/>
  <c r="F4" i="24"/>
  <c r="F3" i="24"/>
  <c r="JC2" i="32" l="1"/>
  <c r="F4" i="32"/>
  <c r="AZ3" i="32"/>
  <c r="IE6" i="32"/>
  <c r="FI3" i="32"/>
  <c r="FK3" i="32" s="1"/>
  <c r="HE3" i="32"/>
  <c r="IM2" i="32"/>
  <c r="IQ2" i="32" s="1"/>
  <c r="JS2" i="32"/>
  <c r="JU2" i="32" s="1"/>
  <c r="CP3" i="32"/>
  <c r="EO3" i="32"/>
  <c r="IQ5" i="32"/>
  <c r="HU3" i="32"/>
  <c r="HU2" i="32" s="1"/>
  <c r="JI5" i="32"/>
  <c r="GG3" i="32"/>
  <c r="GI3" i="32" s="1"/>
  <c r="CV6" i="32"/>
  <c r="JY36" i="32"/>
  <c r="R3" i="32"/>
  <c r="R4" i="32" s="1"/>
  <c r="AD3" i="32"/>
  <c r="AP3" i="32"/>
  <c r="AP4" i="32" s="1"/>
  <c r="BR3" i="32"/>
  <c r="CD3" i="32"/>
  <c r="CD5" i="32" s="1"/>
  <c r="DH3" i="32"/>
  <c r="DZ3" i="32"/>
  <c r="DZ4" i="32" s="1"/>
  <c r="EM3" i="32"/>
  <c r="FE3" i="32"/>
  <c r="FE4" i="32" s="1"/>
  <c r="FQ3" i="32"/>
  <c r="GO3" i="32"/>
  <c r="GO5" i="32" s="1"/>
  <c r="HS3" i="32"/>
  <c r="IK6" i="32"/>
  <c r="HA9" i="32"/>
  <c r="JK2" i="32"/>
  <c r="JI2" i="32" s="1"/>
  <c r="FU3" i="32"/>
  <c r="FW3" i="32" s="1"/>
  <c r="DT12" i="32"/>
  <c r="GU10" i="32"/>
  <c r="JM32" i="32"/>
  <c r="DH10" i="32"/>
  <c r="GI6" i="32"/>
  <c r="GI5" i="32" s="1"/>
  <c r="KA2" i="32"/>
  <c r="DB4" i="32"/>
  <c r="DN4" i="32"/>
  <c r="EY4" i="32"/>
  <c r="JU4" i="32"/>
  <c r="JU3" i="32"/>
  <c r="CP4" i="32"/>
  <c r="R5" i="32"/>
  <c r="AD4" i="32"/>
  <c r="AD5" i="32"/>
  <c r="AP5" i="32"/>
  <c r="BF5" i="32"/>
  <c r="BF4" i="32"/>
  <c r="BR5" i="32"/>
  <c r="BR4" i="32"/>
  <c r="CD4" i="32"/>
  <c r="DZ5" i="32"/>
  <c r="EM4" i="32"/>
  <c r="HS4" i="32"/>
  <c r="JC3" i="32"/>
  <c r="JC4" i="32" s="1"/>
  <c r="KA3" i="32"/>
  <c r="X5" i="32"/>
  <c r="X4" i="32"/>
  <c r="BX5" i="32"/>
  <c r="BX4" i="32"/>
  <c r="DH5" i="32"/>
  <c r="DH4" i="32"/>
  <c r="FE5" i="32"/>
  <c r="FK4" i="32"/>
  <c r="FQ4" i="32"/>
  <c r="FW5" i="32"/>
  <c r="GC5" i="32"/>
  <c r="GC4" i="32"/>
  <c r="GI4" i="32"/>
  <c r="GO4" i="32"/>
  <c r="HG2" i="32"/>
  <c r="HY2" i="32"/>
  <c r="IE2" i="32"/>
  <c r="JO2" i="32"/>
  <c r="L3" i="32"/>
  <c r="L4" i="32" s="1"/>
  <c r="AJ3" i="32"/>
  <c r="AV3" i="32"/>
  <c r="BL3" i="32"/>
  <c r="CJ3" i="32"/>
  <c r="CV3" i="32"/>
  <c r="EF3" i="32"/>
  <c r="ES3" i="32"/>
  <c r="GE2" i="32"/>
  <c r="HA3" i="32"/>
  <c r="HM2" i="32"/>
  <c r="HK25" i="32"/>
  <c r="HM6" i="32"/>
  <c r="DZ10" i="32"/>
  <c r="DZ6" i="32"/>
  <c r="EY6" i="32"/>
  <c r="EY5" i="32" s="1"/>
  <c r="FK8" i="32"/>
  <c r="FK6" i="32"/>
  <c r="FK5" i="32" s="1"/>
  <c r="DB10" i="32"/>
  <c r="DB6" i="32"/>
  <c r="DB5" i="32" s="1"/>
  <c r="DN10" i="32"/>
  <c r="DN6" i="32"/>
  <c r="DN5" i="32" s="1"/>
  <c r="CP11" i="32"/>
  <c r="CP6" i="32"/>
  <c r="CP5" i="32" s="1"/>
  <c r="JA33" i="32"/>
  <c r="ES6" i="32"/>
  <c r="FQ6" i="32"/>
  <c r="FQ5" i="32" s="1"/>
  <c r="HA6" i="32"/>
  <c r="HS6" i="32"/>
  <c r="HS5" i="32" s="1"/>
  <c r="EY8" i="32"/>
  <c r="JO5" i="32"/>
  <c r="HY7" i="32"/>
  <c r="JC6" i="32"/>
  <c r="JC5" i="32" s="1"/>
  <c r="KA5" i="32"/>
  <c r="IO37" i="32"/>
  <c r="DT8" i="32"/>
  <c r="DT4" i="32" s="1"/>
  <c r="DT5" i="32" s="1"/>
  <c r="DT7" i="32"/>
  <c r="DT6" i="32" s="1"/>
  <c r="FW8" i="32"/>
  <c r="FW4" i="32" s="1"/>
  <c r="FW6" i="32"/>
  <c r="IU24" i="32"/>
  <c r="IW3" i="32" s="1"/>
  <c r="IW4" i="32" s="1"/>
  <c r="IW6" i="32"/>
  <c r="IW5" i="32" s="1"/>
  <c r="EM6" i="32"/>
  <c r="EM5" i="32" s="1"/>
  <c r="GQ38" i="32"/>
  <c r="GQ2" i="32" s="1"/>
  <c r="GU8" i="32"/>
  <c r="GU4" i="32" s="1"/>
  <c r="GU6" i="32"/>
  <c r="GU5" i="32" s="1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JI4" i="32" l="1"/>
  <c r="JI3" i="32"/>
  <c r="IQ3" i="32"/>
  <c r="IQ4" i="32"/>
  <c r="IK2" i="32"/>
  <c r="KA4" i="32"/>
  <c r="HA5" i="32"/>
  <c r="HA4" i="32"/>
  <c r="ES5" i="32"/>
  <c r="ES4" i="32"/>
  <c r="CV5" i="32"/>
  <c r="CV4" i="32"/>
  <c r="BL5" i="32"/>
  <c r="BL4" i="32"/>
  <c r="AJ5" i="32"/>
  <c r="AJ4" i="32"/>
  <c r="JO4" i="32"/>
  <c r="JO3" i="32"/>
  <c r="HY6" i="32"/>
  <c r="HY4" i="32"/>
  <c r="HY5" i="32" s="1"/>
  <c r="HM5" i="32"/>
  <c r="HM3" i="32"/>
  <c r="HM4" i="32" s="1"/>
  <c r="EF5" i="32"/>
  <c r="EF4" i="32"/>
  <c r="CJ5" i="32"/>
  <c r="CJ4" i="32"/>
  <c r="AV5" i="32"/>
  <c r="AV4" i="32"/>
  <c r="IE5" i="32"/>
  <c r="IE3" i="32"/>
  <c r="IE4" i="32" s="1"/>
  <c r="HG5" i="32"/>
  <c r="HG3" i="32"/>
  <c r="HG4" i="32" s="1"/>
  <c r="IK3" i="32" l="1"/>
  <c r="IK4" i="32" s="1"/>
  <c r="IK5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700-000015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700-000016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700-000017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700-000018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 xr:uid="{00000000-0006-0000-0700-000019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700-00001A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700-00001B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700-00001C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18" authorId="3" shapeId="0" xr:uid="{00000000-0006-0000-0700-00001D000000}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 xr:uid="{00000000-0006-0000-0700-00001E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10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<sst xmlns="http://schemas.openxmlformats.org/spreadsheetml/2006/main" count="7279" uniqueCount="2953">
  <si>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</si>
  <si>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</si>
  <si>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</si>
  <si>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</si>
  <si>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</si>
  <si>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</si>
  <si>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</si>
  <si>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</si>
  <si>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</si>
  <si>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</si>
  <si>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</si>
  <si>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</si>
  <si>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</si>
  <si>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</si>
  <si>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</si>
  <si>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</si>
  <si>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</si>
  <si>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</si>
  <si>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</si>
  <si>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</si>
  <si>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</si>
  <si>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</si>
  <si>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</si>
  <si>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</si>
  <si>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</si>
  <si>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</si>
  <si>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</si>
  <si>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</si>
  <si>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</si>
  <si>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</si>
  <si>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</si>
  <si>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</si>
  <si>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</si>
  <si>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</si>
  <si>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</si>
  <si>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</si>
  <si>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</si>
  <si>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</si>
  <si>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</si>
  <si>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</si>
  <si>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</si>
  <si>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</si>
  <si>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</si>
  <si>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</si>
  <si>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</si>
  <si>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</si>
  <si>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</si>
  <si>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</si>
  <si>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</si>
  <si>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</si>
  <si>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</si>
  <si>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</si>
  <si>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</si>
  <si>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</si>
  <si>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</si>
  <si>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</si>
  <si>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</si>
  <si>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</si>
  <si>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</si>
  <si>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</si>
  <si>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</si>
  <si>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</si>
  <si>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</si>
  <si>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</si>
  <si>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</si>
  <si>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</si>
  <si>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</si>
  <si>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</si>
  <si>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</si>
  <si>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</si>
  <si>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</si>
  <si>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</si>
  <si>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</si>
  <si>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</si>
  <si>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</si>
  <si>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</si>
  <si>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</si>
  <si>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</si>
  <si>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</si>
  <si>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</si>
  <si>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</si>
  <si>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</si>
  <si>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</si>
  <si>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</si>
  <si>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</si>
  <si>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</si>
  <si>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</si>
  <si>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</si>
  <si>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</si>
  <si>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</si>
  <si>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</si>
  <si>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</si>
  <si>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</si>
  <si>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</si>
  <si>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</si>
  <si>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</si>
  <si>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</si>
  <si>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</si>
  <si>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</si>
  <si>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</si>
  <si>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</si>
  <si>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</si>
  <si>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</si>
  <si>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</si>
  <si>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</si>
  <si>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</si>
  <si>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</si>
  <si>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</si>
  <si>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</si>
  <si>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</si>
  <si>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</si>
  <si>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</si>
  <si>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</si>
  <si>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</si>
  <si>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</si>
  <si>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</si>
  <si>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</si>
  <si>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</si>
  <si>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</si>
  <si>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</si>
  <si>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</si>
  <si>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</si>
  <si>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</si>
  <si>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</si>
  <si>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</si>
  <si>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</si>
  <si>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</si>
  <si>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</si>
  <si>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</si>
  <si>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</si>
  <si>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</si>
  <si>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</si>
  <si>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</si>
  <si>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</si>
  <si>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</si>
  <si>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</si>
  <si>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</si>
  <si>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</si>
  <si>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</si>
  <si>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</si>
  <si>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</si>
  <si>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</si>
  <si>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</si>
  <si>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</si>
  <si>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</si>
  <si>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</si>
  <si>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</si>
  <si>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</si>
  <si>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</si>
  <si>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</si>
  <si>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</si>
  <si>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</si>
  <si>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</si>
  <si>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</si>
  <si>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</si>
  <si>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</si>
  <si>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</si>
  <si>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</si>
  <si>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</si>
  <si>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</si>
  <si>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</si>
  <si>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</si>
  <si>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</si>
  <si>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</si>
  <si>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</si>
  <si>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</si>
  <si>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</si>
  <si>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</si>
  <si>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</si>
  <si>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</si>
  <si>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</si>
  <si>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</si>
  <si>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</si>
  <si>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</si>
  <si>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</si>
  <si>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</si>
  <si>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</si>
  <si>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</si>
  <si>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</si>
  <si>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</si>
  <si>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</si>
  <si>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</si>
  <si>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</si>
  <si>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</si>
  <si>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</si>
  <si>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</si>
  <si>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</si>
  <si>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</si>
  <si>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</si>
  <si>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</si>
  <si>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</si>
  <si>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</si>
  <si>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</si>
  <si>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</si>
  <si>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</si>
  <si>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</si>
  <si>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</si>
  <si>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</si>
  <si>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</si>
  <si>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</si>
  <si>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</si>
  <si>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</si>
  <si>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</si>
  <si>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</si>
  <si>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</si>
  <si>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</si>
  <si>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</si>
  <si>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</si>
  <si>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</si>
  <si>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</si>
  <si>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</si>
  <si>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</si>
  <si>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</si>
  <si>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</si>
  <si>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</si>
  <si>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</si>
  <si>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</si>
  <si>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</si>
  <si>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</si>
  <si>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</si>
  <si>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</si>
  <si>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</si>
  <si>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</si>
  <si>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</si>
  <si>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</si>
  <si>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</si>
  <si>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</si>
  <si>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</si>
  <si>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</si>
  <si>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</si>
  <si>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</si>
  <si>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</si>
  <si>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</si>
  <si>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</si>
  <si>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</si>
  <si>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</si>
  <si>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</si>
  <si>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</si>
  <si>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</si>
  <si>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</si>
  <si>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</si>
  <si>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</si>
  <si>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</si>
  <si>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</si>
  <si>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</si>
  <si>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</si>
  <si>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</si>
  <si>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</si>
  <si>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</si>
  <si>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</si>
  <si>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</si>
  <si>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</si>
  <si>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</si>
  <si>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</si>
  <si>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</si>
  <si>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</si>
  <si>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</si>
  <si>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</si>
  <si>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</si>
  <si>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</si>
  <si>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</si>
  <si>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</si>
  <si>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</si>
  <si>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</si>
  <si>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</si>
  <si>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</si>
  <si>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</si>
  <si>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</si>
  <si>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</si>
  <si>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</si>
  <si>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</si>
  <si>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</si>
  <si>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</si>
  <si>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</si>
  <si>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</si>
  <si>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</si>
  <si>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</si>
  <si>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</si>
  <si>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</si>
  <si>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</si>
  <si>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</si>
  <si>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</si>
  <si>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</si>
  <si>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</si>
  <si>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</si>
  <si>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</si>
  <si>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</si>
  <si>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</si>
  <si>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</si>
  <si>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</si>
  <si>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</si>
  <si>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</si>
  <si>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</si>
  <si>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</si>
  <si>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</si>
  <si>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</si>
  <si>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</si>
  <si>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</si>
  <si>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</si>
  <si>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</si>
  <si>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</si>
  <si>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</si>
  <si>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</si>
  <si>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</si>
  <si>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</si>
  <si>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</si>
  <si>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</si>
  <si>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</si>
  <si>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</si>
  <si>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</si>
  <si>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</si>
  <si>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</si>
  <si>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</si>
  <si>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</si>
  <si>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</si>
  <si>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</si>
  <si>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</si>
  <si>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</si>
  <si>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</si>
  <si>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</si>
  <si>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</si>
  <si>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</si>
  <si>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</si>
  <si>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</si>
  <si>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</si>
  <si>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</si>
  <si>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</si>
  <si>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</si>
  <si>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</si>
  <si>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</si>
  <si>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</si>
  <si>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</si>
  <si>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</si>
  <si>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</si>
  <si>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</si>
  <si>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</si>
  <si>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</si>
  <si>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</si>
  <si>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</si>
  <si>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</si>
  <si>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</si>
  <si>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</si>
  <si>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</si>
  <si>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</si>
  <si>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</si>
  <si>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</si>
  <si>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</si>
  <si>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</si>
  <si>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</si>
  <si>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</si>
  <si>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</si>
  <si>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</si>
  <si>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</si>
  <si>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</si>
  <si>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</si>
  <si>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</si>
  <si>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</si>
  <si>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</si>
  <si>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</si>
  <si>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</si>
  <si>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</si>
  <si>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</si>
  <si>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</si>
  <si>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</si>
  <si>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</si>
  <si>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</si>
  <si>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</si>
  <si>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</si>
  <si>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</si>
  <si>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</si>
  <si>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</si>
  <si>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</si>
  <si>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</si>
  <si>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</si>
  <si>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</si>
  <si>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</si>
  <si>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</si>
  <si>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</si>
  <si>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</si>
  <si>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</si>
  <si>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</si>
  <si>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</si>
  <si>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</si>
  <si>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</si>
  <si>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</si>
  <si>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</si>
  <si>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</si>
  <si>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</si>
  <si>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</si>
  <si>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</si>
  <si>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</si>
  <si>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</si>
  <si>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</si>
  <si>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</si>
  <si>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</si>
  <si>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</si>
  <si>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</si>
  <si>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</si>
  <si>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</si>
  <si>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</si>
  <si>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</si>
  <si>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</si>
  <si>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</si>
  <si>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</si>
  <si>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</si>
  <si>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</si>
  <si>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</si>
  <si>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</si>
  <si>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</si>
  <si>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</si>
  <si>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</si>
  <si>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</si>
  <si>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</si>
  <si>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</si>
  <si>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</si>
  <si>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</si>
  <si>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</si>
  <si>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</si>
  <si>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</si>
  <si>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</si>
  <si>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</si>
  <si>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</si>
  <si>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</si>
  <si>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</si>
  <si>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</si>
  <si>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</si>
  <si>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</si>
  <si>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</si>
  <si>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</si>
  <si>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</si>
  <si>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</si>
  <si>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</si>
  <si>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</si>
  <si>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</si>
  <si>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</si>
  <si>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</si>
  <si>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</si>
  <si>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</si>
  <si>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</si>
  <si>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</si>
  <si>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</si>
  <si>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</si>
  <si>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</si>
  <si>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</si>
  <si>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</si>
  <si>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</si>
  <si>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</si>
  <si>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</si>
  <si>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</si>
  <si>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</si>
  <si>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</si>
  <si>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</si>
  <si>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</si>
  <si>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</si>
  <si>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</si>
  <si>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</si>
  <si>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</si>
  <si>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</si>
  <si>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</si>
  <si>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</si>
  <si>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</si>
  <si>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</si>
  <si>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</si>
  <si>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</si>
  <si>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</si>
  <si>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</si>
  <si>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</si>
  <si>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</si>
  <si>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</si>
  <si>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</si>
  <si>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</si>
  <si>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</si>
  <si>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</si>
  <si>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</si>
  <si>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</si>
  <si>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</si>
  <si>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</si>
  <si>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</si>
  <si>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</si>
  <si>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</si>
  <si>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</si>
  <si>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</si>
  <si>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</si>
  <si>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</si>
  <si>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</si>
  <si>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</si>
  <si>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</si>
  <si>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</si>
  <si>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</si>
  <si>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</si>
  <si>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</si>
  <si>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</si>
  <si>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</si>
  <si>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</si>
  <si>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</si>
  <si>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</si>
  <si>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</si>
  <si>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</si>
  <si>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</si>
  <si>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</si>
  <si>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</si>
  <si>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</si>
  <si>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</si>
  <si>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</si>
  <si>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</si>
  <si>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</si>
  <si>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</si>
  <si>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</si>
  <si>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</si>
  <si>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</si>
  <si>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</si>
  <si>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</si>
  <si>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</si>
  <si>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</si>
  <si>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</si>
  <si>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</si>
  <si>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</si>
  <si>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</si>
  <si>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</si>
  <si>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</si>
  <si>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</si>
  <si>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</si>
  <si>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</si>
  <si>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</si>
  <si>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</si>
  <si>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</si>
  <si>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</si>
  <si>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</si>
  <si>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</si>
  <si>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</si>
  <si>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</si>
  <si>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</si>
  <si>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</si>
  <si>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</si>
  <si>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</si>
  <si>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</si>
  <si>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</si>
  <si>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</si>
  <si>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</si>
  <si>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</si>
  <si>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</si>
  <si>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</si>
  <si>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</si>
  <si>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</si>
  <si>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</si>
  <si>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</si>
  <si>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</si>
  <si>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</si>
  <si>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</si>
  <si>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</si>
  <si>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</si>
  <si>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</si>
  <si>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</si>
  <si>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</si>
  <si>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</si>
  <si>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</si>
  <si>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</si>
  <si>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</si>
  <si>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</si>
  <si>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</si>
  <si>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</si>
  <si>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</si>
  <si>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</si>
  <si>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</si>
  <si>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</si>
  <si>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</si>
  <si>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</si>
  <si>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</si>
  <si>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</si>
  <si>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</si>
  <si>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</si>
  <si>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</si>
  <si>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</si>
  <si>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</si>
  <si>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</si>
  <si>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</si>
  <si>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</si>
  <si>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</si>
  <si>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</si>
  <si>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</si>
  <si>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</si>
  <si>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</si>
  <si>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</si>
  <si>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</si>
  <si>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</si>
  <si>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</si>
  <si>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</si>
  <si>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</si>
  <si>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</si>
  <si>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</si>
  <si>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</si>
  <si>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</si>
  <si>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</si>
  <si>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</si>
  <si>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</si>
  <si>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</si>
  <si>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</si>
  <si>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</si>
  <si>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</si>
  <si>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</si>
  <si>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</si>
  <si>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</si>
  <si>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</si>
  <si>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</si>
  <si>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</si>
  <si>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</si>
  <si>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</si>
  <si>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</si>
  <si>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</si>
  <si>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</si>
  <si>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</si>
  <si>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</si>
  <si>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</si>
  <si>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</si>
  <si>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</si>
  <si>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</si>
  <si>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</si>
  <si>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</si>
  <si>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</si>
  <si>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</si>
  <si>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</si>
  <si>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</si>
  <si>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</si>
  <si>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</si>
  <si>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</si>
  <si>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</si>
  <si>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</si>
  <si>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</si>
  <si>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</si>
  <si>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</si>
  <si>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</si>
  <si>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</si>
  <si>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</si>
  <si>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</si>
  <si>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</si>
  <si>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</si>
  <si>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</si>
  <si>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</si>
  <si>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</si>
  <si>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</si>
  <si>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</si>
  <si>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</si>
  <si>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</si>
  <si>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</si>
  <si>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</si>
  <si>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</si>
  <si>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</si>
  <si>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</si>
  <si>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</si>
  <si>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</si>
  <si>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</si>
  <si>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</si>
  <si>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</si>
  <si>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</si>
  <si>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</si>
  <si>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</si>
  <si>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</si>
  <si>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</si>
  <si>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</si>
  <si>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</si>
  <si>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</si>
  <si>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</si>
  <si>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</si>
  <si>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</si>
  <si>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</si>
  <si>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</si>
  <si>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</si>
  <si>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</si>
  <si>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</si>
  <si>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</si>
  <si>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</si>
  <si>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</si>
  <si>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</si>
  <si>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</si>
  <si>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</si>
  <si>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</si>
  <si>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</si>
  <si>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</si>
  <si>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</si>
  <si>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</si>
  <si>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</si>
  <si>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</si>
  <si>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</si>
  <si>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</si>
  <si>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</si>
  <si>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</si>
  <si>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</si>
  <si>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</si>
  <si>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</si>
  <si>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</si>
  <si>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</si>
  <si>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</si>
  <si>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</si>
  <si>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</si>
  <si>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</si>
  <si>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</si>
  <si>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</si>
  <si>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</si>
  <si>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</si>
  <si>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</si>
  <si>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</si>
  <si>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</si>
  <si>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</si>
  <si>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</si>
  <si>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</si>
  <si>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</si>
  <si>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</si>
  <si>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</si>
  <si>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</si>
  <si>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</si>
  <si>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</si>
  <si>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</si>
  <si>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</si>
  <si>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</si>
  <si>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</si>
  <si>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</si>
  <si>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</si>
  <si>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</si>
  <si>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</si>
  <si>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</si>
  <si>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</si>
  <si>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</si>
  <si>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</si>
  <si>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</si>
  <si>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</si>
  <si>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</si>
  <si>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</si>
  <si>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</si>
  <si>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</si>
  <si>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</si>
  <si>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</si>
  <si>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</si>
  <si>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</si>
  <si>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</si>
  <si>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</si>
  <si>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</si>
  <si>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</si>
  <si>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</si>
  <si>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</si>
  <si>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</si>
  <si>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</si>
  <si>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</si>
  <si>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</si>
  <si>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</si>
  <si>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</si>
  <si>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</si>
  <si>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</si>
  <si>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</si>
  <si>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</si>
  <si>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</si>
  <si>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</si>
  <si>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</si>
  <si>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</si>
  <si>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</si>
  <si>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</si>
  <si>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</si>
  <si>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</si>
  <si>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</si>
  <si>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</si>
  <si>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</si>
  <si>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</si>
  <si>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</si>
  <si>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</si>
  <si>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</si>
  <si>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</si>
  <si>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</si>
  <si>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</si>
  <si>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</si>
  <si>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</si>
  <si>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</si>
  <si>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</si>
  <si>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</si>
  <si>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</si>
  <si>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</si>
  <si>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</si>
  <si>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</si>
  <si>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</si>
  <si>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</si>
  <si>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</si>
  <si>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</si>
  <si>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</si>
  <si>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</si>
  <si>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</si>
  <si>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</si>
  <si>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</si>
  <si>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</si>
  <si>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</si>
  <si>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</si>
  <si>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</si>
  <si>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</si>
  <si>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</si>
  <si>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</si>
  <si>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</si>
  <si>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</si>
  <si>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</si>
  <si>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</si>
  <si>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</si>
  <si>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</si>
  <si>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</si>
  <si>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</si>
  <si>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</si>
  <si>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</si>
  <si>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</si>
  <si>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</si>
  <si>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</si>
  <si>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</si>
  <si>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</si>
  <si>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</si>
  <si>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</si>
  <si>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</si>
  <si>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</si>
  <si>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</si>
  <si>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</si>
  <si>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</si>
  <si>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</si>
  <si>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</si>
  <si>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</si>
  <si>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</si>
  <si>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</si>
  <si>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</si>
  <si>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</si>
  <si>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</si>
  <si>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</si>
  <si>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</si>
  <si>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</si>
  <si>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</si>
  <si>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</si>
  <si>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</si>
  <si>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</si>
  <si>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</si>
  <si>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</si>
  <si>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</si>
  <si>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</si>
  <si>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</si>
  <si>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</si>
  <si>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</si>
  <si>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</si>
  <si>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</si>
  <si>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</si>
  <si>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</si>
  <si>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</si>
  <si>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</si>
  <si>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</si>
  <si>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</si>
  <si>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</si>
  <si>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</si>
  <si>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</si>
  <si>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</si>
  <si>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</si>
  <si>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</si>
  <si>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</si>
  <si>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</si>
  <si>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</si>
  <si>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</si>
  <si>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</si>
  <si>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</si>
  <si>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</si>
  <si>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</si>
  <si>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</si>
  <si>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</si>
  <si>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</si>
  <si>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</si>
  <si>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</si>
  <si>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</si>
  <si>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</si>
  <si>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</si>
  <si>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</si>
  <si>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</si>
  <si>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</si>
  <si>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</si>
  <si>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</si>
  <si>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</si>
  <si>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</si>
  <si>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</si>
  <si>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</si>
  <si>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</si>
  <si>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</si>
  <si>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</si>
  <si>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</si>
  <si>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</si>
  <si>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</si>
  <si>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</si>
  <si>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</si>
  <si>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</si>
  <si>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</si>
  <si>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</si>
  <si>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</si>
  <si>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</si>
  <si>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</si>
  <si>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</si>
  <si>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</si>
  <si>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</si>
  <si>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</si>
  <si>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</si>
  <si>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</si>
  <si>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</si>
  <si>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</si>
  <si>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</si>
  <si>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</si>
  <si>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</si>
  <si>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</si>
  <si>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</si>
  <si>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</si>
  <si>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</si>
  <si>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</si>
  <si>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</si>
  <si>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</si>
  <si>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</si>
  <si>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</si>
  <si>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</si>
  <si>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</si>
  <si>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</si>
  <si>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</si>
  <si>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</si>
  <si>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</si>
  <si>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</si>
  <si>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</si>
  <si>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</si>
  <si>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</si>
  <si>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</si>
  <si>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</si>
  <si>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</si>
  <si>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</si>
  <si>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</si>
  <si>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</si>
  <si>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</si>
  <si>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</si>
  <si>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</si>
  <si>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</si>
  <si>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</si>
  <si>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</si>
  <si>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</si>
  <si>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</si>
  <si>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</si>
  <si>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</si>
  <si>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</si>
  <si>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</si>
  <si>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</si>
  <si>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</si>
  <si>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</si>
  <si>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</si>
  <si>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</si>
  <si>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</si>
  <si>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</si>
  <si>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</si>
  <si>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</si>
  <si>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</si>
  <si>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</si>
  <si>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</si>
  <si>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</si>
  <si>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</si>
  <si>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</si>
  <si>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</si>
  <si>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</si>
  <si>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</si>
  <si>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</si>
  <si>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</si>
  <si>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</si>
  <si>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</si>
  <si>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</si>
  <si>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</si>
  <si>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</si>
  <si>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</si>
  <si>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</si>
  <si>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</si>
  <si>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</si>
  <si>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</si>
  <si>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</si>
  <si>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</si>
  <si>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</si>
  <si>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</si>
  <si>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</si>
  <si>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</si>
  <si>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</si>
  <si>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</si>
  <si>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</si>
  <si>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</si>
  <si>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</si>
  <si>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</si>
  <si>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</si>
  <si>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</si>
  <si>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</si>
  <si>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</si>
  <si>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</si>
  <si>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</si>
  <si>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</si>
  <si>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</si>
  <si>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</si>
  <si>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</si>
  <si>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</si>
  <si>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</si>
  <si>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</si>
  <si>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</si>
  <si>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</si>
  <si>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</si>
  <si>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</si>
  <si>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</si>
  <si>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</si>
  <si>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</si>
  <si>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</si>
  <si>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</si>
  <si>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</si>
  <si>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</si>
  <si>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</si>
  <si>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</si>
  <si>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</si>
  <si>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</si>
  <si>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</si>
  <si>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</si>
  <si>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</si>
  <si>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</si>
  <si>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</si>
  <si>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</si>
  <si>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</si>
  <si>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</si>
  <si>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</si>
  <si>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</si>
  <si>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</si>
  <si>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</si>
  <si>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</si>
  <si>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</si>
  <si>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</si>
  <si>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</si>
  <si>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</si>
  <si>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</si>
  <si>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</si>
  <si>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</si>
  <si>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</si>
  <si>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</si>
  <si>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</si>
  <si>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</si>
  <si>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</si>
  <si>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</si>
  <si>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</si>
  <si>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</si>
  <si>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</si>
  <si>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</si>
  <si>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</si>
  <si>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</si>
  <si>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</si>
  <si>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</si>
  <si>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</si>
  <si>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</si>
  <si>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</si>
  <si>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</si>
  <si>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</si>
  <si>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</si>
  <si>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</si>
  <si>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</si>
  <si>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</si>
  <si>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</si>
  <si>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</si>
  <si>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</si>
  <si>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</si>
  <si>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</si>
  <si>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</si>
  <si>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</si>
  <si>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</si>
  <si>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</si>
  <si>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</si>
  <si>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</si>
  <si>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</si>
  <si>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</si>
  <si>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</si>
  <si>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</si>
  <si>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</si>
  <si>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</si>
  <si>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</si>
  <si>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</si>
  <si>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</si>
  <si>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</si>
  <si>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</si>
  <si>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</si>
  <si>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</si>
  <si>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</si>
  <si>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</si>
  <si>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</si>
  <si>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</si>
  <si>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</si>
  <si>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</si>
  <si>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</si>
  <si>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</si>
  <si>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</si>
  <si>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</si>
  <si>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</si>
  <si>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</si>
  <si>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</si>
  <si>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</si>
  <si>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</si>
  <si>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</si>
  <si>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</si>
  <si>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</si>
  <si>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</si>
  <si>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</si>
  <si>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</si>
  <si>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</si>
  <si>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</si>
  <si>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</si>
  <si>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</si>
  <si>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</si>
  <si>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</si>
  <si>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</si>
  <si>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</si>
  <si>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</si>
  <si>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</si>
  <si>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</si>
  <si>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</si>
  <si>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</si>
  <si>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</si>
  <si>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</si>
  <si>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</si>
  <si>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</si>
  <si>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</si>
  <si>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</si>
  <si>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</si>
  <si>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</si>
  <si>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</si>
  <si>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</si>
  <si>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</si>
  <si>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</si>
  <si>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</si>
  <si>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</si>
  <si>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</si>
  <si>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</si>
  <si>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</si>
  <si>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</si>
  <si>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</si>
  <si>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</si>
  <si>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</si>
  <si>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</si>
  <si>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</si>
  <si>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</si>
  <si>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</si>
  <si>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</si>
  <si>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</si>
  <si>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</si>
  <si>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</si>
  <si>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</si>
  <si>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</si>
  <si>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</si>
  <si>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</si>
  <si>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</si>
  <si>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</si>
  <si>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</si>
  <si>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</si>
  <si>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</si>
  <si>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</si>
  <si>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</si>
  <si>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</si>
  <si>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</si>
  <si>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</si>
  <si>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</si>
  <si>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</si>
  <si>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</si>
  <si>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</si>
  <si>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</si>
  <si>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</si>
  <si>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</si>
  <si>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</si>
  <si>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</si>
  <si>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</si>
  <si>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</si>
  <si>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</si>
  <si>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</si>
  <si>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</si>
  <si>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</si>
  <si>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</si>
  <si>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</si>
  <si>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</si>
  <si>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</si>
  <si>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</si>
  <si>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</si>
  <si>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</si>
  <si>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</si>
  <si>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</si>
  <si>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</si>
  <si>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</si>
  <si>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</si>
  <si>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</si>
  <si>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</si>
  <si>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</si>
  <si>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</si>
  <si>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</si>
  <si>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</si>
  <si>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</si>
  <si>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</si>
  <si>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</si>
  <si>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</si>
  <si>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</si>
  <si>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</si>
  <si>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</si>
  <si>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</si>
  <si>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</si>
  <si>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</si>
  <si>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</si>
  <si>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</si>
  <si>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</si>
  <si>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</si>
  <si>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</si>
  <si>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</si>
  <si>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</si>
  <si>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</si>
  <si>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</si>
  <si>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</si>
  <si>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</si>
  <si>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</si>
  <si>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</si>
  <si>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</si>
  <si>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</si>
  <si>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</si>
  <si>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</si>
  <si>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</si>
  <si>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</si>
  <si>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</si>
  <si>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</si>
  <si>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</si>
  <si>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</si>
  <si>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</si>
  <si>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</si>
  <si>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</si>
  <si>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</si>
  <si>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</si>
  <si>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</si>
  <si>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</si>
  <si>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</si>
  <si>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</si>
  <si>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</si>
  <si>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</si>
  <si>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</si>
  <si>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</si>
  <si>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</si>
  <si>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</si>
  <si>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</si>
  <si>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</si>
  <si>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</si>
  <si>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</si>
  <si>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</si>
  <si>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</si>
  <si>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</si>
  <si>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</si>
  <si>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</si>
  <si>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</si>
  <si>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</si>
  <si>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</si>
  <si>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</si>
  <si>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</si>
  <si>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</si>
  <si>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</si>
  <si>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</si>
  <si>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</si>
  <si>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</si>
  <si>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</si>
  <si>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</si>
  <si>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</si>
  <si>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</si>
  <si>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</si>
  <si>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</si>
  <si>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</si>
  <si>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</si>
  <si>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</si>
  <si>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</si>
  <si>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</si>
  <si>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</si>
  <si>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</si>
  <si>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</si>
  <si>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</si>
  <si>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</si>
  <si>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</si>
  <si>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</si>
  <si>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</si>
  <si>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</si>
  <si>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</si>
  <si>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</si>
  <si>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</si>
  <si>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</si>
  <si>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</si>
  <si>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</si>
  <si>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</si>
  <si>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</si>
  <si>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</si>
  <si>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</si>
  <si>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</si>
  <si>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</si>
  <si>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</si>
  <si>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</si>
  <si>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</si>
  <si>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</si>
  <si>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</si>
  <si>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</si>
  <si>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</si>
  <si>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</si>
  <si>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</si>
  <si>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</si>
  <si>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</si>
  <si>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</si>
  <si>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</si>
  <si>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</si>
  <si>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</si>
  <si>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</si>
  <si>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</si>
  <si>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</si>
  <si>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</si>
  <si>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</si>
  <si>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</si>
  <si>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</si>
  <si>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</si>
  <si>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</si>
  <si>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</si>
  <si>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</si>
  <si>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</si>
  <si>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</si>
  <si>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</si>
  <si>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</si>
  <si>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</si>
  <si>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</si>
  <si>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</si>
  <si>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</si>
  <si>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</si>
  <si>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</si>
  <si>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</si>
  <si>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</si>
  <si>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</si>
  <si>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</si>
  <si>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</si>
  <si>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</si>
  <si>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</si>
  <si>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</si>
  <si>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</si>
  <si>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</si>
  <si>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</si>
  <si>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</si>
  <si>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</si>
  <si>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</si>
  <si>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</si>
  <si>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</si>
  <si>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</si>
  <si>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</si>
  <si>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</si>
  <si>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</si>
  <si>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</si>
  <si>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</si>
  <si>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</si>
  <si>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</si>
  <si>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</si>
  <si>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</si>
  <si>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</si>
  <si>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</si>
  <si>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</si>
  <si>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</si>
  <si>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</si>
  <si>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</si>
  <si>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</si>
  <si>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</si>
  <si>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</si>
  <si>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</si>
  <si>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</si>
  <si>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</si>
  <si>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</si>
  <si>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</si>
  <si>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</si>
  <si>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</si>
  <si>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</si>
  <si>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</si>
  <si>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</si>
  <si>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</si>
  <si>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</si>
  <si>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</si>
  <si>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</si>
  <si>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</si>
  <si>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</si>
  <si>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</si>
  <si>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</si>
  <si>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</si>
  <si>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</si>
  <si>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</si>
  <si>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</si>
  <si>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</si>
  <si>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</si>
  <si>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</si>
  <si>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</si>
  <si>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</si>
  <si>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</si>
  <si>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</si>
  <si>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</si>
  <si>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</si>
  <si>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</si>
  <si>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</si>
  <si>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</si>
  <si>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</si>
  <si>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</si>
  <si>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</si>
  <si>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</si>
  <si>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</si>
  <si>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</si>
  <si>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</si>
  <si>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</si>
  <si>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</si>
  <si>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</si>
  <si>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</si>
  <si>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</si>
  <si>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</si>
  <si>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</si>
  <si>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</si>
  <si>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</si>
  <si>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</si>
  <si>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</si>
  <si>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</si>
  <si>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</si>
  <si>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</si>
  <si>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</si>
  <si>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</si>
  <si>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</si>
  <si>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</si>
  <si>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</si>
  <si>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</si>
  <si>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</si>
  <si>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</si>
  <si>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</si>
  <si>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</si>
  <si>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</si>
  <si>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</si>
  <si>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</si>
  <si>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</si>
  <si>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</si>
  <si>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</si>
  <si>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</si>
  <si>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</si>
  <si>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</si>
  <si>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</si>
  <si>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</si>
  <si>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</si>
  <si>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</si>
  <si>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</si>
  <si>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</si>
  <si>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</si>
  <si>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</si>
  <si>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</si>
  <si>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</si>
  <si>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</si>
  <si>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</si>
  <si>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</si>
  <si>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</si>
  <si>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</si>
  <si>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</si>
  <si>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</si>
  <si>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</si>
  <si>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</si>
  <si>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</si>
  <si>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</si>
  <si>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</si>
  <si>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</si>
  <si>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</si>
  <si>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</si>
  <si>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</si>
  <si>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</si>
  <si>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</si>
  <si>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</si>
  <si>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</si>
  <si>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</si>
  <si>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</si>
  <si>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</si>
  <si>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</si>
  <si>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</si>
  <si>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</si>
  <si>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</si>
  <si>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</si>
  <si>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</si>
  <si>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</si>
  <si>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</si>
  <si>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</si>
  <si>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</si>
  <si>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</si>
  <si>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</si>
  <si>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</si>
  <si>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</si>
  <si>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</si>
  <si>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</si>
  <si>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</si>
  <si>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</si>
  <si>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</si>
  <si>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</si>
  <si>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</si>
  <si>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</si>
  <si>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</si>
  <si>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</si>
  <si>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</si>
  <si>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</si>
  <si>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</si>
  <si>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</si>
  <si>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</si>
  <si>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</si>
  <si>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</si>
  <si>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</si>
  <si>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</si>
  <si>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</si>
  <si>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</si>
  <si>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</si>
  <si>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</si>
  <si>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</si>
  <si>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</si>
  <si>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</si>
  <si>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</si>
  <si>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</si>
  <si>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</si>
  <si>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</si>
  <si>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</si>
  <si>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</si>
  <si>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</si>
  <si>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</si>
  <si>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</si>
  <si>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</si>
  <si>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</si>
  <si>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</si>
  <si>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</si>
  <si>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</si>
  <si>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</si>
  <si>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</si>
  <si>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</si>
  <si>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</si>
  <si>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</si>
  <si>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</si>
  <si>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</si>
  <si>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</si>
  <si>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</si>
  <si>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</si>
  <si>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</si>
  <si>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</si>
  <si>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</si>
  <si>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</si>
  <si>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</si>
  <si>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</si>
  <si>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</si>
  <si>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</si>
  <si>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</si>
  <si>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</si>
  <si>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</si>
  <si>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</si>
  <si>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</si>
  <si>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</si>
  <si>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</si>
  <si>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</si>
  <si>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</si>
  <si>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</si>
  <si>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</si>
  <si>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</si>
  <si>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</si>
  <si>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</si>
  <si>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</si>
  <si>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</si>
  <si>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</si>
  <si>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</si>
  <si>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</si>
  <si>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</si>
  <si>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</si>
  <si>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</si>
  <si>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</si>
  <si>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</si>
  <si>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</si>
  <si>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</si>
  <si>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</si>
  <si>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</si>
  <si>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</si>
  <si>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</si>
  <si>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</si>
  <si>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</si>
  <si>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</si>
  <si>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</si>
  <si>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</si>
  <si>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</si>
  <si>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</si>
  <si>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</si>
  <si>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</si>
  <si>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</si>
  <si>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</si>
  <si>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</si>
  <si>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</si>
  <si>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</si>
  <si>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</si>
  <si>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</si>
  <si>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</si>
  <si>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</si>
  <si>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</si>
  <si>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</si>
  <si>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</si>
  <si>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</si>
  <si>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</si>
  <si>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</si>
  <si>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</si>
  <si>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</si>
  <si>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</si>
  <si>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</si>
  <si>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</si>
  <si>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</si>
  <si>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</si>
  <si>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</si>
  <si>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</si>
  <si>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</si>
  <si>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</si>
  <si>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</si>
  <si>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</si>
  <si>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</si>
  <si>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</si>
  <si>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</si>
  <si>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</si>
  <si>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</si>
  <si>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</si>
  <si>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</si>
  <si>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</si>
  <si>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</si>
  <si>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</si>
  <si>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</si>
  <si>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</si>
  <si>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</si>
  <si>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</si>
  <si>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</si>
  <si>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</si>
  <si>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</si>
  <si>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</si>
  <si>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</si>
  <si>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</si>
  <si>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</si>
  <si>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</si>
  <si>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</si>
  <si>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</si>
  <si>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</si>
  <si>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</si>
  <si>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</si>
  <si>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</si>
  <si>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</si>
  <si>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</si>
  <si>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</si>
  <si>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</si>
  <si>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</si>
  <si>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</si>
  <si>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</si>
  <si>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</si>
  <si>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</si>
  <si>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</si>
  <si>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</si>
  <si>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</si>
  <si>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</si>
  <si>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</si>
  <si>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</si>
  <si>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</si>
  <si>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</si>
  <si>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</si>
  <si>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</si>
  <si>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</si>
  <si>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</si>
  <si>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</si>
  <si>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</si>
  <si>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</si>
  <si>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</si>
  <si>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</si>
  <si>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</si>
  <si>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</si>
  <si>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</si>
  <si>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</si>
  <si>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</si>
  <si>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</si>
  <si>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</si>
  <si>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</si>
  <si>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</si>
  <si>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</si>
  <si>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</si>
  <si>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</si>
  <si>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</si>
  <si>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</si>
  <si>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</si>
  <si>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</si>
  <si>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</si>
  <si>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</si>
  <si>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</si>
  <si>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</si>
  <si>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</si>
  <si>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</si>
  <si>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</si>
  <si>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</si>
  <si>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</si>
  <si>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</si>
  <si>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</si>
  <si>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</si>
  <si>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</si>
  <si>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</si>
  <si>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</si>
  <si>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</si>
  <si>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</si>
  <si>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</si>
  <si>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</si>
  <si>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</si>
  <si>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</si>
  <si>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</si>
  <si>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</si>
  <si>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</si>
  <si>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</si>
  <si>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</si>
  <si>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</si>
  <si>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</si>
  <si>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</si>
  <si>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</si>
  <si>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</si>
  <si>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</si>
  <si>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</si>
  <si>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</si>
  <si>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</si>
  <si>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</si>
  <si>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</si>
  <si>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</si>
  <si>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</si>
  <si>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</si>
  <si>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</si>
  <si>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</si>
  <si>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</si>
  <si>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</si>
  <si>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</si>
  <si>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</si>
  <si>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</si>
  <si>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</si>
  <si>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</si>
  <si>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</si>
  <si>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</si>
  <si>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</si>
  <si>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</si>
  <si>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</si>
  <si>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</si>
  <si>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</si>
  <si>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</si>
  <si>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</si>
  <si>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</si>
  <si>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</si>
  <si>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</si>
  <si>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</si>
  <si>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</si>
  <si>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</si>
  <si>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</si>
  <si>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</si>
  <si>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</si>
  <si>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</si>
  <si>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</si>
  <si>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</si>
  <si>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</si>
  <si>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</si>
  <si>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</si>
  <si>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</si>
  <si>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</si>
  <si>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</si>
  <si>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</si>
  <si>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</si>
  <si>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</si>
  <si>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</si>
  <si>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</si>
  <si>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</si>
  <si>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</si>
  <si>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</si>
  <si>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</si>
  <si>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</si>
  <si>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</si>
  <si>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</si>
  <si>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</si>
  <si>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</si>
  <si>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</si>
  <si>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</si>
  <si>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</si>
  <si>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</si>
  <si>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</si>
  <si>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</si>
  <si>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</si>
  <si>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</si>
  <si>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</si>
  <si>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</si>
  <si>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</si>
  <si>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</si>
  <si>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</si>
  <si>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</si>
  <si>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</si>
  <si>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</si>
  <si>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</si>
  <si>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</si>
  <si>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</si>
  <si>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</si>
  <si>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</si>
  <si>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</si>
  <si>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</si>
  <si>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</si>
  <si>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</si>
  <si>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</si>
  <si>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</si>
  <si>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</si>
  <si>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</si>
  <si>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</si>
  <si>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</si>
  <si>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</si>
  <si>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</si>
  <si>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</si>
  <si>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</si>
  <si>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</si>
  <si>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</si>
  <si>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</si>
  <si>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</si>
  <si>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</si>
  <si>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</si>
  <si>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</si>
  <si>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</si>
  <si>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</si>
  <si>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</si>
  <si>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</si>
  <si>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</si>
  <si>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</si>
  <si>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</si>
  <si>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</si>
  <si>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</si>
  <si>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</si>
  <si>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</si>
  <si>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</si>
  <si>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</si>
  <si>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</si>
  <si>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</si>
  <si>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</si>
  <si>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</si>
  <si>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</si>
  <si>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</si>
  <si>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</si>
  <si>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</si>
  <si>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</si>
  <si>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</si>
  <si>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</si>
  <si>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</si>
  <si>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</si>
  <si>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</si>
  <si>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</si>
  <si>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</si>
  <si>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</si>
  <si>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</si>
  <si>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</si>
  <si>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</si>
  <si>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</si>
  <si>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</si>
  <si>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</si>
  <si>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</si>
  <si>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</si>
  <si>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</si>
  <si>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</si>
  <si>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</si>
  <si>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</si>
  <si>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</si>
  <si>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</si>
  <si>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</si>
  <si>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</si>
  <si>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</si>
  <si>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</si>
  <si>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</si>
  <si>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</si>
  <si>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</si>
  <si>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</si>
  <si>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</si>
  <si>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</si>
  <si>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</si>
  <si>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</si>
  <si>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</si>
  <si>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</si>
  <si>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</si>
  <si>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</si>
  <si>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</si>
  <si>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</si>
  <si>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</si>
  <si>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</si>
  <si>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</si>
  <si>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</si>
  <si>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</si>
  <si>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</si>
  <si>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</si>
  <si>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</si>
  <si>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</si>
  <si>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</si>
  <si>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</si>
  <si>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</si>
  <si>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</si>
  <si>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</si>
  <si>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</si>
  <si>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</si>
  <si>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</si>
  <si>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</si>
  <si>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</si>
  <si>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</si>
  <si>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</si>
  <si>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</si>
  <si>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</si>
  <si>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</si>
  <si>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</si>
  <si>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</si>
  <si>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</si>
  <si>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</si>
  <si>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</si>
  <si>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</si>
  <si>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</si>
  <si>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</si>
  <si>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</si>
  <si>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</si>
  <si>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</si>
  <si>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</si>
  <si>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</si>
  <si>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</si>
  <si>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</si>
  <si>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</si>
  <si>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</si>
  <si>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</si>
  <si>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</si>
  <si>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</si>
  <si>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</si>
  <si>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</si>
  <si>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</si>
  <si>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</si>
  <si>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</si>
  <si>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</si>
  <si>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</si>
  <si>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</si>
  <si>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</si>
  <si>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</si>
  <si>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</si>
  <si>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</si>
  <si>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</si>
  <si>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</si>
  <si>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</si>
  <si>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</si>
  <si>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</si>
  <si>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</si>
  <si>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</si>
  <si>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</si>
  <si>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</si>
  <si>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</si>
  <si>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</si>
  <si>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</si>
  <si>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</si>
  <si>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</si>
  <si>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</si>
  <si>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</si>
  <si>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</si>
  <si>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</si>
  <si>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</si>
  <si>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</si>
  <si>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</si>
  <si>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</si>
  <si>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</si>
  <si>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</si>
  <si>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</si>
  <si>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</si>
  <si>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</si>
  <si>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</si>
  <si>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</si>
  <si>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</si>
  <si>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</si>
  <si>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</si>
  <si>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</si>
  <si>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</si>
  <si>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</si>
  <si>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</si>
  <si>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</si>
  <si>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</si>
  <si>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</si>
  <si>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</si>
  <si>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</si>
  <si>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</si>
  <si>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</si>
  <si>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</si>
  <si>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</si>
  <si>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</si>
  <si>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</si>
  <si>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</si>
  <si>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</si>
  <si>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</si>
  <si>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</si>
  <si>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</si>
  <si>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</si>
  <si>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</si>
  <si>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</si>
  <si>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</si>
  <si>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</si>
  <si>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</si>
  <si>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</si>
  <si>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</si>
  <si>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</si>
  <si>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</si>
  <si>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</si>
  <si>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</si>
  <si>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</si>
  <si>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</si>
  <si>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</si>
  <si>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</si>
  <si>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</si>
  <si>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</si>
  <si>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</si>
  <si>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</si>
  <si>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</si>
  <si>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</si>
  <si>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</si>
  <si>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</si>
  <si>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</si>
  <si>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</si>
  <si>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</si>
  <si>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</si>
  <si>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</si>
  <si>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</si>
  <si>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</si>
  <si>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</si>
  <si>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</si>
  <si>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</si>
  <si>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</si>
  <si>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</si>
  <si>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</si>
  <si>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</si>
  <si>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</si>
  <si>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</si>
  <si>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</si>
  <si>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</si>
  <si>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</si>
  <si>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</si>
  <si>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</si>
  <si>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</si>
  <si>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</si>
  <si>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</si>
  <si>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</si>
  <si>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</si>
  <si>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</si>
  <si>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</si>
  <si>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</si>
  <si>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</si>
  <si>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</si>
  <si>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</si>
  <si>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</si>
  <si>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</si>
  <si>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</si>
  <si>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</si>
  <si>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</si>
  <si>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</si>
  <si>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</si>
  <si>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</si>
  <si>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</si>
  <si>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</si>
  <si>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</si>
  <si>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</si>
  <si>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</si>
  <si>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</si>
  <si>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</si>
  <si>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</si>
  <si>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</si>
  <si>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</si>
  <si>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</si>
  <si>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</si>
  <si>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</si>
  <si>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</si>
  <si>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</si>
  <si>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</si>
  <si>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</si>
  <si>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</si>
  <si>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</si>
  <si>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</si>
  <si>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</si>
  <si>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</si>
  <si>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</si>
  <si>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</si>
  <si>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</si>
  <si>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</si>
  <si>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</si>
  <si>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</si>
  <si>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</si>
  <si>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</si>
  <si>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</si>
  <si>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</si>
  <si>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</si>
  <si>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</si>
  <si>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</si>
  <si>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</si>
  <si>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</si>
  <si>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</si>
  <si>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</si>
  <si>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</si>
  <si>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</si>
  <si>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</si>
  <si>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</si>
  <si>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</si>
  <si>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</si>
  <si>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</si>
  <si>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</si>
  <si>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</si>
  <si>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</si>
  <si>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</si>
  <si>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</si>
  <si>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</si>
  <si>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</si>
  <si>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</si>
  <si>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</si>
  <si>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</si>
  <si>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</si>
  <si>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</si>
  <si>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</si>
  <si>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</si>
  <si>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</si>
  <si>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</si>
  <si>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</si>
  <si>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</si>
  <si>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</si>
  <si>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</si>
  <si>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</si>
  <si>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</si>
  <si>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</si>
  <si>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</si>
  <si>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</si>
  <si>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</si>
  <si>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</si>
  <si>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</si>
  <si>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</si>
  <si>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</si>
  <si>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</si>
  <si>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</si>
  <si>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</si>
  <si>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</si>
  <si>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</si>
  <si>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</si>
  <si>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</si>
  <si>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</si>
  <si>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</si>
  <si>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</si>
  <si>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</si>
  <si>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</si>
  <si>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</si>
  <si>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</si>
  <si>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</si>
  <si>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</si>
  <si>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</si>
  <si>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</si>
  <si>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</si>
  <si>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</si>
  <si>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</si>
  <si>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</si>
  <si>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</si>
  <si>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</si>
  <si>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</si>
  <si>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</si>
  <si>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</si>
  <si>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</si>
  <si>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</si>
  <si>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</si>
  <si>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</si>
  <si>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</si>
  <si>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</si>
  <si>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</si>
  <si>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</si>
  <si>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</si>
  <si>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</si>
  <si>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</si>
  <si>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</si>
  <si>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</si>
  <si>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</si>
  <si>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</si>
  <si>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</si>
  <si>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</si>
  <si>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</si>
  <si>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</si>
  <si>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</si>
  <si>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</si>
  <si>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</si>
  <si>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</si>
  <si>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</si>
  <si>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</si>
  <si>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</si>
  <si>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</si>
  <si>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</si>
  <si>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</si>
  <si>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</si>
  <si>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</si>
  <si>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</si>
  <si>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</si>
  <si>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</si>
  <si>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</si>
  <si>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</si>
  <si>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</si>
  <si>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</si>
  <si>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</si>
  <si>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</si>
  <si>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</si>
  <si>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</si>
  <si>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</si>
  <si>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</si>
  <si>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</si>
  <si>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</si>
  <si>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</si>
  <si>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</si>
  <si>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</si>
  <si>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</si>
  <si>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</si>
  <si>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</si>
  <si>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</si>
  <si>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</si>
  <si>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</si>
  <si>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</si>
  <si>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</si>
  <si>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</si>
  <si>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</si>
  <si>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</si>
  <si>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</si>
  <si>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</si>
  <si>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</si>
  <si>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</si>
  <si>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</si>
  <si>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</si>
  <si>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</si>
  <si>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</si>
  <si>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</si>
  <si>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</si>
  <si>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</si>
  <si>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</si>
  <si>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</si>
  <si>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</si>
  <si>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</si>
  <si>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</si>
  <si>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</si>
  <si>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</si>
  <si>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</si>
  <si>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</si>
  <si>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</si>
  <si>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</si>
  <si>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</si>
  <si>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</si>
  <si>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</si>
  <si>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</si>
  <si>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</si>
  <si>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</si>
  <si>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</si>
  <si>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</si>
  <si>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</si>
  <si>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</si>
  <si>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</si>
  <si>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</si>
  <si>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</si>
  <si>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</si>
  <si>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</si>
  <si>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</si>
  <si>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</si>
  <si>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</si>
  <si>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</si>
  <si>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</si>
  <si>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</si>
  <si>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</si>
  <si>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</si>
  <si>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</si>
  <si>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</si>
  <si>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</si>
  <si>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</si>
  <si>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</si>
  <si>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</si>
  <si>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</si>
  <si>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</si>
  <si>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</si>
  <si>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</si>
  <si>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</si>
  <si>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</si>
  <si>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</si>
  <si>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</si>
  <si>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</si>
  <si>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</si>
  <si>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</si>
  <si>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</si>
  <si>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</si>
  <si>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</si>
  <si>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</si>
  <si>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</si>
  <si>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</si>
  <si>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</si>
  <si>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</si>
  <si>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</si>
  <si>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</si>
  <si>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</si>
  <si>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</si>
  <si>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</si>
  <si>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</si>
  <si>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</si>
  <si>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</si>
  <si>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</si>
  <si>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</si>
  <si>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</si>
  <si>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</si>
  <si>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</si>
  <si>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</si>
  <si>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</si>
  <si>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</si>
  <si>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</si>
  <si>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</si>
  <si>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</si>
  <si>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</si>
  <si>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</si>
  <si>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</si>
  <si>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</si>
  <si>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</si>
  <si>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</si>
  <si>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</si>
  <si>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</si>
  <si>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</si>
  <si>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</si>
  <si>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</si>
  <si>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</si>
  <si>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</si>
  <si>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</si>
  <si>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</si>
  <si>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</si>
  <si>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</si>
  <si>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</si>
  <si>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</si>
  <si>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</si>
  <si>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</si>
  <si>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</si>
  <si>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</si>
  <si>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</si>
  <si>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</si>
  <si>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</si>
  <si>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</si>
  <si>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</si>
  <si>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</si>
  <si>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</si>
  <si>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</si>
  <si>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</si>
  <si>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</si>
  <si>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</si>
  <si>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</si>
  <si>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</si>
  <si>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</si>
  <si>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</si>
  <si>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</si>
  <si>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</si>
  <si>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</si>
  <si>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</si>
  <si>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</si>
  <si>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</si>
  <si>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</si>
  <si>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</si>
  <si>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</si>
  <si>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</si>
  <si>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</si>
  <si>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</si>
  <si>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</si>
  <si>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</si>
  <si>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</si>
  <si>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</si>
  <si>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</si>
  <si>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</si>
  <si>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</si>
  <si>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</si>
  <si>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</si>
  <si>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</si>
  <si>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</si>
  <si>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</si>
  <si>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</si>
  <si>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</si>
  <si>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</si>
  <si>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</si>
  <si>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</si>
  <si>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</si>
  <si>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</si>
  <si>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</si>
  <si>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</si>
  <si>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</si>
  <si>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</si>
  <si>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</si>
  <si>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</si>
  <si>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</si>
  <si>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</si>
  <si>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</si>
  <si>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</si>
  <si>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</si>
  <si>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</si>
  <si>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</si>
  <si>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</si>
  <si>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</si>
  <si>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</si>
  <si>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</si>
  <si>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</si>
  <si>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</si>
  <si>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</si>
  <si>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</si>
  <si>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</si>
  <si>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</si>
  <si>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</si>
  <si>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</si>
  <si>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</si>
  <si>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</si>
  <si>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</si>
  <si>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</si>
  <si>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</si>
  <si>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</si>
  <si>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</si>
  <si>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</si>
  <si>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</si>
  <si>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</si>
  <si>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</si>
  <si>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</si>
  <si>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</si>
  <si>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</si>
  <si>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</si>
  <si>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</si>
  <si>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</si>
  <si>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</si>
  <si>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</si>
  <si>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</si>
  <si>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</si>
  <si>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</si>
  <si>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</si>
  <si>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</si>
  <si>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</si>
  <si>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</si>
  <si>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</si>
  <si>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</si>
  <si>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</si>
  <si>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</si>
  <si>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</si>
  <si>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</si>
  <si>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</si>
  <si>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</si>
  <si>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</si>
  <si>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</si>
  <si>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</si>
  <si>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</si>
  <si>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</si>
  <si>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</si>
  <si>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</si>
  <si>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</si>
  <si>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</si>
  <si>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</si>
  <si>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</si>
  <si>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</si>
  <si>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</si>
  <si>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</si>
  <si>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</si>
  <si>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</si>
  <si>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</si>
  <si>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</si>
  <si>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</si>
  <si>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</si>
  <si>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</si>
  <si>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</si>
  <si>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</si>
  <si>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</si>
  <si>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</si>
  <si>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</si>
  <si>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</si>
  <si>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</si>
  <si>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</si>
  <si>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</si>
  <si>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</si>
  <si>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</si>
  <si>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</si>
  <si>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</si>
  <si>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</si>
  <si>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</si>
  <si>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</si>
  <si>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</si>
  <si>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</si>
  <si>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</si>
  <si>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</si>
  <si>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</si>
  <si>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</si>
  <si>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</si>
  <si>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</si>
  <si>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</si>
  <si>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</si>
  <si>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</si>
  <si>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</si>
  <si>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</si>
  <si>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</si>
  <si>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</si>
  <si>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</si>
  <si>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</si>
  <si>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</si>
  <si>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</si>
  <si>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</si>
  <si>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</si>
  <si>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</si>
  <si>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</si>
  <si>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</si>
  <si>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</si>
  <si>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</si>
  <si>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</si>
  <si>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</si>
  <si>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</si>
  <si>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</si>
  <si>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</si>
  <si>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</si>
  <si>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</si>
  <si>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</si>
  <si>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</si>
  <si>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</si>
  <si>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</si>
  <si>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</si>
  <si>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</si>
  <si>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</si>
  <si>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</si>
  <si>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</si>
  <si>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</si>
  <si>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</si>
  <si>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</si>
  <si>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</si>
  <si>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</si>
  <si>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</si>
  <si>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</si>
  <si>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</si>
  <si>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</si>
  <si>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</si>
  <si>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</si>
  <si>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</si>
  <si>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</si>
  <si>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</si>
  <si>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</si>
  <si>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</si>
  <si>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</si>
  <si>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</si>
  <si>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</si>
  <si>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</si>
  <si>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</si>
  <si>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</si>
  <si>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</si>
  <si>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</si>
  <si>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</si>
  <si>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</si>
  <si>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</si>
  <si>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</si>
  <si>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</si>
  <si>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</si>
  <si>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</si>
  <si>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</si>
  <si>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</si>
  <si>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</si>
  <si>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</si>
  <si>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</si>
  <si>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</si>
  <si>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</si>
  <si>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</si>
  <si>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</si>
  <si>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</si>
  <si>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</si>
  <si>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</si>
  <si>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</si>
  <si>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</si>
  <si>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</si>
  <si>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</si>
  <si>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</si>
  <si>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</si>
  <si>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</si>
  <si>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</si>
  <si>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</si>
  <si>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</si>
  <si>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</si>
  <si>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</si>
  <si>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</si>
  <si>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</si>
  <si>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</si>
  <si>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</si>
  <si>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</si>
  <si>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</si>
  <si>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</si>
  <si>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</si>
  <si>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</si>
  <si>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</si>
  <si>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</si>
  <si>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</si>
  <si>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</si>
  <si>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</si>
  <si>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</si>
  <si>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</si>
  <si>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</si>
  <si>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</si>
  <si>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</si>
  <si>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</si>
  <si>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</si>
  <si>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</si>
  <si>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</si>
  <si>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</si>
  <si>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</si>
  <si>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</si>
  <si>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</si>
  <si>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</si>
  <si>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</si>
  <si>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</si>
  <si>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</si>
  <si>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</si>
  <si>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</si>
  <si>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</si>
  <si>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</si>
  <si>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</si>
  <si>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</si>
  <si>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</si>
  <si>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</si>
  <si>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</si>
  <si>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</si>
  <si>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</si>
  <si>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</si>
  <si>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</si>
  <si>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</si>
  <si>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</si>
  <si>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</si>
  <si>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</si>
  <si>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</si>
  <si>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</si>
  <si>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</si>
  <si>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</si>
  <si>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</si>
  <si>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</si>
  <si>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</si>
  <si>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</si>
  <si>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</si>
  <si>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</si>
  <si>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</si>
  <si>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</si>
  <si>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</si>
  <si>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</si>
  <si>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</si>
  <si>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</si>
  <si>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</si>
  <si>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</si>
  <si>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</si>
  <si>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</si>
  <si>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</si>
  <si>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</si>
  <si>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</si>
  <si>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</si>
  <si>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</si>
  <si>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</si>
  <si>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</si>
  <si>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</si>
  <si>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</si>
  <si>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</si>
  <si>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</si>
  <si>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</si>
  <si>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</si>
  <si>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</si>
  <si>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</si>
  <si>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</si>
  <si>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</si>
  <si>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</si>
  <si>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</si>
  <si>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</si>
  <si>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</si>
  <si>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</si>
  <si>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</si>
  <si>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</si>
  <si>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</si>
  <si>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</si>
  <si>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</si>
  <si>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</si>
  <si>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</si>
  <si>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</si>
  <si>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</si>
  <si>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</si>
  <si>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</si>
  <si>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</si>
  <si>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</si>
  <si>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</si>
  <si>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</si>
  <si>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</si>
  <si>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</si>
  <si>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</si>
  <si>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</si>
  <si>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</si>
  <si>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</si>
  <si>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</si>
  <si>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</si>
  <si>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</si>
  <si>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</si>
  <si>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</si>
  <si>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</si>
  <si>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</si>
  <si>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</si>
  <si>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</si>
  <si>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</si>
  <si>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</si>
  <si>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</si>
  <si>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</si>
  <si>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</si>
  <si>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</si>
  <si>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</si>
  <si>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</si>
  <si>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</si>
  <si>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</si>
  <si>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</si>
  <si>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</si>
  <si>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</si>
  <si>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</si>
  <si>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</si>
  <si>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</si>
  <si>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</si>
  <si>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</si>
  <si>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</si>
  <si>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</si>
  <si>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</si>
  <si>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</si>
  <si>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</si>
  <si>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</si>
  <si>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</si>
  <si>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</si>
  <si>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</si>
  <si>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</si>
  <si>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</si>
  <si>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</si>
  <si>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</si>
  <si>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</si>
  <si>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</si>
  <si>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</si>
  <si>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</si>
  <si>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</si>
  <si>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</si>
  <si>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</si>
  <si>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</si>
  <si>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</si>
  <si>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</si>
  <si>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</si>
  <si>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</si>
  <si>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</si>
  <si>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</si>
  <si>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</si>
  <si>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</si>
  <si>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</si>
  <si>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</si>
  <si>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</si>
  <si>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</si>
  <si>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</si>
  <si>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</si>
  <si>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</si>
  <si>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</si>
  <si>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</si>
  <si>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</si>
  <si>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5k (2022)bonus-sharing 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</si>
  <si>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</si>
  <si>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</si>
  <si>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</si>
  <si>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</si>
  <si>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</si>
  <si>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</si>
  <si>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</si>
  <si>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</si>
  <si>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</si>
  <si>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</si>
  <si>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</si>
  <si>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</si>
  <si>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</si>
  <si>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</si>
  <si>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</si>
  <si>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</si>
  <si>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</si>
  <si>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</si>
  <si>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</si>
  <si>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</si>
  <si>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</si>
  <si>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</si>
  <si>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</si>
  <si>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</si>
  <si>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</si>
  <si>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</si>
  <si>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</si>
  <si>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</si>
  <si>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</si>
  <si>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</si>
  <si>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</si>
  <si>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</si>
  <si>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</si>
  <si>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</si>
  <si>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</si>
  <si>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</si>
  <si>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</si>
  <si>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</si>
  <si>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</si>
  <si>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</si>
  <si>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</si>
  <si>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</si>
  <si>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</si>
  <si>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</si>
  <si>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</si>
  <si>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</si>
  <si>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</si>
  <si>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</si>
  <si>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</si>
  <si>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</si>
  <si>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</si>
  <si>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</si>
  <si>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</si>
  <si>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</si>
  <si>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</si>
  <si>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</si>
  <si>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</si>
  <si>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</si>
  <si>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</si>
  <si>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</si>
  <si>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</si>
  <si>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</si>
  <si>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</si>
  <si>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</si>
  <si>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</si>
  <si>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</si>
  <si>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</si>
  <si>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</si>
  <si>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</si>
  <si>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</si>
  <si>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</si>
  <si>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</si>
  <si>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</si>
  <si>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</si>
  <si>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</si>
  <si>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</si>
  <si>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</si>
  <si>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</si>
  <si>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</si>
  <si>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</si>
  <si>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</si>
  <si>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</si>
  <si>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</si>
  <si>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</si>
  <si>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</si>
  <si>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</si>
  <si>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</si>
  <si>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</si>
  <si>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</si>
  <si>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</si>
  <si>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</si>
  <si>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</si>
  <si>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</si>
  <si>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</si>
  <si>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</si>
  <si>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</si>
  <si>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</si>
  <si>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</si>
  <si>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</si>
  <si>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</si>
  <si>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</si>
  <si>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</si>
  <si>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</si>
  <si>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</si>
  <si>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Jan bonus ===</t>
  </si>
  <si>
    <t>Mar bonus ===</t>
  </si>
  <si>
    <t>Feb bonus ===</t>
  </si>
  <si>
    <t>foods</t>
  </si>
  <si>
    <t>suspended us`SSP</t>
  </si>
  <si>
    <t>boy camp`</t>
  </si>
  <si>
    <t>MRT#MB16May</t>
  </si>
  <si>
    <t>NikeIMM20+25May</t>
  </si>
  <si>
    <t>2k int accrued up to 2022</t>
  </si>
  <si>
    <t>xfer2wife #int up to 2022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</si>
  <si>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</si>
  <si>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</si>
  <si>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</si>
  <si>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</si>
  <si>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</si>
  <si>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</si>
  <si>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</si>
  <si>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</si>
  <si>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</si>
  <si>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</si>
  <si>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</si>
  <si>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</si>
  <si>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</si>
  <si>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</si>
  <si>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</si>
  <si>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</si>
  <si>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</si>
  <si>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</si>
  <si>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</si>
  <si>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</si>
  <si>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</si>
  <si>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</si>
  <si>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</si>
  <si>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</si>
  <si>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</si>
  <si>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</si>
  <si>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</si>
  <si>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</si>
  <si>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</si>
  <si>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</si>
  <si>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</si>
  <si>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</si>
  <si>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</si>
  <si>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</si>
  <si>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</si>
  <si>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xxx Jul 2023</t>
  </si>
  <si>
    <t xml:space="preserve">ATM till 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</si>
  <si>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</si>
  <si>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</si>
  <si>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</si>
  <si>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</si>
  <si>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</si>
  <si>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</si>
  <si>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</si>
  <si>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</si>
  <si>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</si>
  <si>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bx placeholder</t>
  </si>
  <si>
    <t>dear wife</t>
  </si>
  <si>
    <t>SGD cash from BJ</t>
  </si>
  <si>
    <t>taxi { Changi</t>
  </si>
  <si>
    <t>rmb144.08 ??</t>
  </si>
  <si>
    <t>rmbXX HSBC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</si>
  <si>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</si>
  <si>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</si>
  <si>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</si>
  <si>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</si>
  <si>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</si>
  <si>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</si>
  <si>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</si>
  <si>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</si>
  <si>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</si>
  <si>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MCS baseInt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</si>
  <si>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</si>
  <si>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</si>
  <si>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</si>
  <si>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</si>
  <si>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</si>
  <si>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</si>
  <si>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eccard</t>
  </si>
  <si>
    <t>SgPow#BOC</t>
  </si>
  <si>
    <t>thick condom</t>
  </si>
  <si>
    <t>ikea 2Jul</t>
  </si>
  <si>
    <t>shpeePay4boy</t>
  </si>
  <si>
    <t>shpee buy1Jul</t>
  </si>
  <si>
    <t>Scoot #HSBC</t>
  </si>
  <si>
    <t>Laz mat #104</t>
  </si>
  <si>
    <t>GV #hsbcCcard</t>
  </si>
  <si>
    <t>wife took</t>
  </si>
  <si>
    <t>EGA BaseInt</t>
  </si>
  <si>
    <t>EGA StepUp int</t>
  </si>
  <si>
    <t>EGA baseInt</t>
  </si>
  <si>
    <t>EgaBaseInt#24/4</t>
  </si>
  <si>
    <t>^^ lateMar ADB</t>
  </si>
  <si>
    <t>foodcourts</t>
  </si>
  <si>
    <t>NTUC-FP</t>
  </si>
  <si>
    <t>foods4kids</t>
  </si>
  <si>
    <t>..ikea foods</t>
  </si>
  <si>
    <t>taobao4inlaws</t>
  </si>
  <si>
    <t>vivo4kids 8Jul</t>
  </si>
  <si>
    <t>MB mrt 4Jul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</si>
  <si>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</si>
  <si>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</si>
  <si>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</si>
  <si>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</si>
  <si>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</si>
  <si>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</si>
  <si>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</si>
  <si>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</si>
  <si>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</si>
  <si>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</si>
  <si>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</si>
  <si>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</si>
  <si>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</si>
  <si>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don't worry about FBF</t>
  </si>
  <si>
    <t>BocMCS</t>
  </si>
  <si>
    <t>MCS bonus 8Jul</t>
  </si>
  <si>
    <t>DrOng50%</t>
  </si>
  <si>
    <t>Ichiban 14Jul</t>
  </si>
  <si>
    <t>108&lt;EGA</t>
  </si>
  <si>
    <t>BOC&gt;wcpay&gt;ChnM</t>
  </si>
  <si>
    <t>33.03 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</si>
</sst>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</numFmts>
  <fonts count="90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44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24" borderId="0" xfId="0" applyFill="1"/>
    <xf numFmtId="0" fontId="0" fillId="0" borderId="0" xfId="0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 applyAlignment="1"/>
    <xf numFmtId="3" fontId="24" fillId="0" borderId="0" xfId="0" applyNumberFormat="1" applyFont="1"/>
    <xf numFmtId="3" fontId="0" fillId="25" borderId="0" xfId="0" applyNumberFormat="1" applyFont="1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3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0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3.2"/>
  <cols>
    <col min="1" max="1" width="2.5546875" customWidth="1"/>
    <col min="3" max="3" width="21.88671875" bestFit="1" customWidth="1"/>
    <col min="4" max="4" width="9.6640625" bestFit="1" customWidth="1"/>
    <col min="5" max="5" width="7.109375" bestFit="1" customWidth="1"/>
    <col min="6" max="6" width="10.10937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RowHeight="13.2"/>
  <cols>
    <col min="1" max="1" width="21.5546875" style="47" customWidth="1"/>
    <col min="2" max="2" width="8.44140625" customWidth="1"/>
    <col min="3" max="3" width="3.33203125" customWidth="1"/>
    <col min="4" max="4" width="22.109375" customWidth="1"/>
    <col min="5" max="5" width="9.109375" customWidth="1"/>
    <col min="6" max="6" width="1.88671875" customWidth="1"/>
    <col min="7" max="8" width="8.6640625" customWidth="1"/>
    <col min="9" max="9" width="2" customWidth="1"/>
    <col min="10" max="10" width="8.6640625" customWidth="1"/>
    <col min="11" max="11" width="8.6640625" style="26" customWidth="1"/>
    <col min="12" max="12" width="1.33203125" customWidth="1"/>
    <col min="13" max="14" width="8.6640625" customWidth="1"/>
    <col min="15" max="15" width="1.5546875" customWidth="1"/>
    <col min="16" max="17" width="8.6640625" customWidth="1"/>
    <col min="18" max="18" width="1.5546875" customWidth="1"/>
    <col min="19" max="20" width="8.6640625" customWidth="1"/>
    <col min="21" max="21" width="2.5546875" customWidth="1"/>
    <col min="22" max="22" width="10.88671875" customWidth="1"/>
    <col min="23" max="23" width="8.6640625" customWidth="1"/>
    <col min="24" max="24" width="2.109375" customWidth="1"/>
    <col min="25" max="26" width="8.6640625" customWidth="1"/>
    <col min="27" max="27" width="2" customWidth="1"/>
    <col min="28" max="28" width="20.44140625" customWidth="1"/>
    <col min="30" max="30" width="2" customWidth="1"/>
    <col min="31" max="31" width="22.88671875" bestFit="1" customWidth="1"/>
    <col min="33" max="33" width="2" customWidth="1"/>
    <col min="34" max="34" width="21.44140625" customWidth="1"/>
    <col min="36" max="36" width="2" customWidth="1"/>
    <col min="37" max="37" width="20.44140625" customWidth="1"/>
    <col min="39" max="39" width="2" customWidth="1"/>
    <col min="40" max="40" width="20.44140625" customWidth="1"/>
    <col min="42" max="42" width="2" customWidth="1"/>
    <col min="43" max="43" width="16.33203125" customWidth="1"/>
    <col min="45" max="45" width="2" customWidth="1"/>
    <col min="46" max="46" width="16.33203125" customWidth="1"/>
    <col min="48" max="48" width="2" customWidth="1"/>
    <col min="49" max="49" width="16.33203125" customWidth="1"/>
    <col min="51" max="51" width="2" customWidth="1"/>
    <col min="52" max="52" width="16.33203125" customWidth="1"/>
    <col min="54" max="54" width="2" customWidth="1"/>
    <col min="55" max="55" width="16.33203125" customWidth="1"/>
    <col min="57" max="57" width="2" customWidth="1"/>
    <col min="58" max="58" width="16.33203125" customWidth="1"/>
    <col min="60" max="60" width="2" customWidth="1"/>
    <col min="61" max="61" width="16.33203125" customWidth="1"/>
    <col min="63" max="63" width="2" customWidth="1"/>
    <col min="64" max="64" width="16.33203125" customWidth="1"/>
    <col min="66" max="66" width="2" customWidth="1"/>
    <col min="67" max="67" width="16.33203125" customWidth="1"/>
    <col min="69" max="69" width="2" customWidth="1"/>
    <col min="70" max="70" width="16.33203125" customWidth="1"/>
    <col min="72" max="72" width="3.109375" customWidth="1"/>
    <col min="73" max="73" width="21.44140625" customWidth="1"/>
    <col min="75" max="75" width="5.109375" customWidth="1"/>
    <col min="76" max="76" width="17.332031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RowHeight="13.2"/>
  <cols>
    <col min="1" max="1" width="1" customWidth="1"/>
    <col min="2" max="2" width="3.33203125" customWidth="1"/>
    <col min="3" max="3" width="14.109375" customWidth="1"/>
    <col min="4" max="4" width="3.33203125" customWidth="1"/>
    <col min="5" max="5" width="3.33203125" style="61" customWidth="1"/>
    <col min="6" max="6" width="23.33203125" bestFit="1" customWidth="1"/>
    <col min="7" max="7" width="12" bestFit="1" customWidth="1"/>
    <col min="8" max="8" width="15.6640625" customWidth="1"/>
    <col min="10" max="10" width="15.33203125" style="47" bestFit="1" customWidth="1"/>
    <col min="11" max="11" width="11" style="61" bestFit="1" customWidth="1"/>
    <col min="12" max="12" width="21.88671875" style="47" customWidth="1"/>
    <col min="13" max="13" width="12.554687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8671875" style="47" customWidth="1"/>
    <col min="19" max="19" width="14.44140625" style="61" customWidth="1"/>
    <col min="20" max="20" width="11.33203125" customWidth="1"/>
    <col min="22" max="22" width="16.44140625" customWidth="1"/>
    <col min="23" max="23" width="14" customWidth="1"/>
    <col min="24" max="24" width="21.33203125" style="121" customWidth="1"/>
    <col min="25" max="25" width="11.33203125" style="122" customWidth="1"/>
    <col min="26" max="26" width="18.33203125" customWidth="1"/>
    <col min="28" max="28" width="10.5546875" style="143" customWidth="1"/>
    <col min="29" max="29" width="10.33203125" style="143" customWidth="1"/>
    <col min="30" max="30" width="19.6640625" style="142" customWidth="1"/>
    <col min="31" max="31" width="12.88671875" style="142" customWidth="1"/>
    <col min="32" max="32" width="25.88671875" customWidth="1"/>
    <col min="34" max="34" width="12" bestFit="1" customWidth="1"/>
    <col min="35" max="35" width="6.6640625" bestFit="1" customWidth="1"/>
    <col min="36" max="36" width="18.5546875" style="154" customWidth="1"/>
    <col min="37" max="37" width="9.33203125" style="154" customWidth="1"/>
    <col min="38" max="38" width="16.5546875" customWidth="1"/>
    <col min="39" max="39" width="12.109375" style="179" bestFit="1" customWidth="1"/>
    <col min="40" max="40" width="13.88671875" style="168" customWidth="1"/>
    <col min="41" max="41" width="10.44140625" style="168" customWidth="1"/>
    <col min="42" max="42" width="25.88671875" style="170" bestFit="1" customWidth="1"/>
    <col min="43" max="43" width="11" style="170" customWidth="1"/>
    <col min="44" max="44" width="17" customWidth="1"/>
    <col min="45" max="45" width="12.109375" style="179" bestFit="1" customWidth="1"/>
    <col min="46" max="47" width="1.6640625" customWidth="1"/>
    <col min="48" max="48" width="21.33203125" customWidth="1"/>
    <col min="49" max="49" width="8.5546875" customWidth="1"/>
    <col min="50" max="50" width="26.6640625" customWidth="1"/>
    <col min="51" max="51" width="14.6640625" style="199" customWidth="1"/>
    <col min="52" max="52" width="9.5546875" bestFit="1" customWidth="1"/>
    <col min="53" max="53" width="1.5546875" style="1" customWidth="1"/>
    <col min="54" max="54" width="32.5546875" customWidth="1"/>
    <col min="55" max="55" width="14.5546875" style="199" bestFit="1" customWidth="1"/>
    <col min="56" max="56" width="9.5546875" bestFit="1" customWidth="1"/>
  </cols>
  <sheetData>
    <row r="1" spans="2:63">
      <c r="B1" s="853" t="s">
        <v>124</v>
      </c>
      <c r="C1" s="853"/>
      <c r="D1" s="856" t="s">
        <v>292</v>
      </c>
      <c r="E1" s="856"/>
      <c r="F1" s="856" t="s">
        <v>341</v>
      </c>
      <c r="G1" s="856"/>
      <c r="H1" s="854" t="s">
        <v>127</v>
      </c>
      <c r="I1" s="854"/>
      <c r="J1" s="850" t="s">
        <v>292</v>
      </c>
      <c r="K1" s="850"/>
      <c r="L1" s="855" t="s">
        <v>520</v>
      </c>
      <c r="M1" s="855"/>
      <c r="N1" s="854" t="s">
        <v>146</v>
      </c>
      <c r="O1" s="854"/>
      <c r="P1" s="850" t="s">
        <v>293</v>
      </c>
      <c r="Q1" s="850"/>
      <c r="R1" s="855" t="s">
        <v>522</v>
      </c>
      <c r="S1" s="855"/>
      <c r="T1" s="844" t="s">
        <v>193</v>
      </c>
      <c r="U1" s="844"/>
      <c r="V1" s="850" t="s">
        <v>292</v>
      </c>
      <c r="W1" s="850"/>
      <c r="X1" s="849" t="s">
        <v>524</v>
      </c>
      <c r="Y1" s="849"/>
      <c r="Z1" s="844" t="s">
        <v>241</v>
      </c>
      <c r="AA1" s="844"/>
      <c r="AB1" s="851" t="s">
        <v>292</v>
      </c>
      <c r="AC1" s="851"/>
      <c r="AD1" s="852" t="s">
        <v>524</v>
      </c>
      <c r="AE1" s="852"/>
      <c r="AF1" s="844" t="s">
        <v>367</v>
      </c>
      <c r="AG1" s="844"/>
      <c r="AH1" s="851" t="s">
        <v>292</v>
      </c>
      <c r="AI1" s="851"/>
      <c r="AJ1" s="849" t="s">
        <v>530</v>
      </c>
      <c r="AK1" s="849"/>
      <c r="AL1" s="844" t="s">
        <v>389</v>
      </c>
      <c r="AM1" s="844"/>
      <c r="AN1" s="861" t="s">
        <v>292</v>
      </c>
      <c r="AO1" s="861"/>
      <c r="AP1" s="859" t="s">
        <v>531</v>
      </c>
      <c r="AQ1" s="859"/>
      <c r="AR1" s="844" t="s">
        <v>416</v>
      </c>
      <c r="AS1" s="844"/>
      <c r="AV1" s="859" t="s">
        <v>285</v>
      </c>
      <c r="AW1" s="859"/>
      <c r="AX1" s="862" t="s">
        <v>998</v>
      </c>
      <c r="AY1" s="862"/>
      <c r="AZ1" s="862"/>
      <c r="BA1" s="208"/>
      <c r="BB1" s="857">
        <v>42942</v>
      </c>
      <c r="BC1" s="858"/>
      <c r="BD1" s="858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843" t="s">
        <v>261</v>
      </c>
      <c r="U4" s="843"/>
      <c r="X4" s="119" t="s">
        <v>233</v>
      </c>
      <c r="Y4" s="123">
        <f>Y3-Y6</f>
        <v>4.9669099999591708</v>
      </c>
      <c r="Z4" s="843" t="s">
        <v>262</v>
      </c>
      <c r="AA4" s="843"/>
      <c r="AD4" s="154" t="s">
        <v>233</v>
      </c>
      <c r="AE4" s="154">
        <f>AE3-AE5</f>
        <v>-52.526899999851594</v>
      </c>
      <c r="AF4" s="843" t="s">
        <v>262</v>
      </c>
      <c r="AG4" s="843"/>
      <c r="AH4" s="143"/>
      <c r="AI4" s="143"/>
      <c r="AJ4" s="154" t="s">
        <v>233</v>
      </c>
      <c r="AK4" s="154">
        <f>AK3-AK5</f>
        <v>94.988909999992757</v>
      </c>
      <c r="AL4" s="843" t="s">
        <v>262</v>
      </c>
      <c r="AM4" s="843"/>
      <c r="AP4" s="170" t="s">
        <v>233</v>
      </c>
      <c r="AQ4" s="174">
        <f>AQ3-AQ5</f>
        <v>33.841989999942598</v>
      </c>
      <c r="AR4" s="843" t="s">
        <v>262</v>
      </c>
      <c r="AS4" s="843"/>
      <c r="AX4" s="843" t="s">
        <v>564</v>
      </c>
      <c r="AY4" s="843"/>
      <c r="BB4" s="843" t="s">
        <v>567</v>
      </c>
      <c r="BC4" s="843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843"/>
      <c r="U5" s="843"/>
      <c r="V5" s="3" t="s">
        <v>258</v>
      </c>
      <c r="W5">
        <v>2050</v>
      </c>
      <c r="X5" s="82"/>
      <c r="Z5" s="843"/>
      <c r="AA5" s="843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843"/>
      <c r="AG5" s="843"/>
      <c r="AH5" s="143"/>
      <c r="AI5" s="143"/>
      <c r="AJ5" s="154" t="s">
        <v>352</v>
      </c>
      <c r="AK5" s="162">
        <f>SUM(AK11:AK59)</f>
        <v>30858.011000000002</v>
      </c>
      <c r="AL5" s="843"/>
      <c r="AM5" s="843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843"/>
      <c r="AS5" s="843"/>
      <c r="AX5" s="843"/>
      <c r="AY5" s="843"/>
      <c r="BB5" s="843"/>
      <c r="BC5" s="843"/>
      <c r="BD5" s="860" t="s">
        <v>999</v>
      </c>
      <c r="BE5" s="860"/>
      <c r="BF5" s="860"/>
      <c r="BG5" s="860"/>
      <c r="BH5" s="860"/>
      <c r="BI5" s="860"/>
      <c r="BJ5" s="860"/>
      <c r="BK5" s="860"/>
    </row>
    <row r="6" spans="2:63" ht="26.4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9.6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6.4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6.4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6.4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9.6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6.4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6.4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845" t="s">
        <v>264</v>
      </c>
      <c r="W23" s="846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847"/>
      <c r="W24" s="848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3.8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8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6.4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7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2"/>
  <sheetViews>
    <sheetView zoomScaleNormal="100" workbookViewId="0">
      <selection activeCell="G65" sqref="G65"/>
    </sheetView>
  </sheetViews>
  <sheetFormatPr defaultRowHeight="13.2"/>
  <cols>
    <col min="1" max="1" width="1" customWidth="1"/>
    <col min="2" max="2" width="8" bestFit="1" customWidth="1"/>
    <col min="3" max="3" width="8.33203125" bestFit="1" customWidth="1"/>
    <col min="4" max="4" width="11.33203125" bestFit="1" customWidth="1"/>
    <col min="5" max="5" width="23" bestFit="1" customWidth="1"/>
    <col min="6" max="6" width="5.109375" customWidth="1"/>
    <col min="7" max="7" width="11.109375" style="114" customWidth="1"/>
    <col min="8" max="8" width="11.88671875" style="2" bestFit="1" customWidth="1"/>
    <col min="9" max="9" width="0.6640625" style="2" customWidth="1"/>
    <col min="10" max="10" width="10.109375" style="114" bestFit="1" customWidth="1"/>
    <col min="11" max="11" width="11.88671875" style="2" bestFit="1" customWidth="1"/>
    <col min="12" max="12" width="0.6640625" style="2" customWidth="1"/>
    <col min="13" max="13" width="10.109375" style="114" bestFit="1" customWidth="1"/>
    <col min="14" max="14" width="11.88671875" style="2" bestFit="1" customWidth="1"/>
    <col min="15" max="15" width="11.332031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2571</v>
      </c>
      <c r="E3" s="256"/>
      <c r="F3" s="256"/>
      <c r="G3" s="863" t="s">
        <v>2664</v>
      </c>
      <c r="H3" s="864"/>
      <c r="I3" s="590"/>
      <c r="J3" s="863" t="s">
        <v>2665</v>
      </c>
      <c r="K3" s="864"/>
      <c r="L3" s="299"/>
      <c r="M3" s="863">
        <v>43739</v>
      </c>
      <c r="N3" s="864"/>
      <c r="O3" s="863">
        <v>42401</v>
      </c>
      <c r="P3" s="864"/>
    </row>
    <row r="4" spans="2:16">
      <c r="B4" s="63" t="s">
        <v>322</v>
      </c>
      <c r="C4" s="71" t="s">
        <v>2577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2577</v>
      </c>
      <c r="D5" s="71" t="s">
        <v>1037</v>
      </c>
      <c r="E5" s="63" t="s">
        <v>2578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2577</v>
      </c>
      <c r="D6" s="71" t="s">
        <v>1044</v>
      </c>
      <c r="E6" s="63" t="s">
        <v>2581</v>
      </c>
      <c r="F6" s="63" t="s">
        <v>1183</v>
      </c>
      <c r="G6" s="594" t="s">
        <v>2696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2580</v>
      </c>
      <c r="F7" s="63" t="s">
        <v>1183</v>
      </c>
      <c r="G7" s="594"/>
      <c r="H7" s="227" t="s">
        <v>2695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2630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2582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2583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2562</v>
      </c>
      <c r="F11" s="63" t="s">
        <v>2566</v>
      </c>
      <c r="G11" s="594"/>
      <c r="H11" s="227" t="s">
        <v>2666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2629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2663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2663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2663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2663</v>
      </c>
      <c r="E17" s="63" t="s">
        <v>2552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2" customHeight="1">
      <c r="B18" s="63"/>
      <c r="C18" s="869" t="s">
        <v>2587</v>
      </c>
      <c r="D18" s="71" t="s">
        <v>2663</v>
      </c>
      <c r="E18" s="63" t="s">
        <v>2573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870"/>
      <c r="D19" s="71" t="s">
        <v>2663</v>
      </c>
      <c r="E19" s="63" t="s">
        <v>2575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870"/>
      <c r="D20" s="71" t="s">
        <v>2663</v>
      </c>
      <c r="E20" s="63" t="s">
        <v>2574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870"/>
      <c r="D21" s="71" t="s">
        <v>2663</v>
      </c>
      <c r="E21" s="63" t="s">
        <v>2572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870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870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870"/>
      <c r="D24" s="71" t="s">
        <v>1044</v>
      </c>
      <c r="E24" s="63" t="s">
        <v>2555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870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2553</v>
      </c>
      <c r="C26" s="871"/>
      <c r="D26" s="71" t="s">
        <v>2663</v>
      </c>
      <c r="E26" s="63" t="s">
        <v>2585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2553</v>
      </c>
      <c r="C27" s="71" t="s">
        <v>314</v>
      </c>
      <c r="D27" s="71" t="s">
        <v>2663</v>
      </c>
      <c r="E27" s="63" t="s">
        <v>2576</v>
      </c>
      <c r="F27" s="63" t="s">
        <v>1183</v>
      </c>
      <c r="G27" s="595" t="s">
        <v>2554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2568</v>
      </c>
      <c r="F28" s="63" t="s">
        <v>1184</v>
      </c>
      <c r="G28" s="595">
        <v>1000</v>
      </c>
      <c r="H28" s="227" t="s">
        <v>2557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2663</v>
      </c>
      <c r="E29" s="63" t="s">
        <v>2564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2570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2569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6.4">
      <c r="B33" s="63" t="s">
        <v>315</v>
      </c>
      <c r="C33" s="71" t="s">
        <v>315</v>
      </c>
      <c r="D33" s="872" t="s">
        <v>1182</v>
      </c>
      <c r="E33" s="613" t="s">
        <v>2631</v>
      </c>
      <c r="F33" s="183" t="s">
        <v>2606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873"/>
      <c r="E34" s="613" t="s">
        <v>2632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2562</v>
      </c>
      <c r="F35" s="71" t="s">
        <v>2566</v>
      </c>
      <c r="G35" s="595" t="s">
        <v>2563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2609</v>
      </c>
      <c r="F36" s="183" t="s">
        <v>1183</v>
      </c>
      <c r="G36" s="597" t="s">
        <v>2660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2628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2607</v>
      </c>
      <c r="F38" s="71" t="s">
        <v>2566</v>
      </c>
      <c r="G38" s="595" t="s">
        <v>2608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2565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2561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2610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2584</v>
      </c>
      <c r="F42" s="202">
        <v>1.33</v>
      </c>
      <c r="G42" s="114"/>
      <c r="H42" s="114" t="s">
        <v>2556</v>
      </c>
      <c r="I42" s="2"/>
      <c r="J42" s="114"/>
      <c r="K42" s="591"/>
      <c r="L42" s="2"/>
    </row>
    <row r="43" spans="2:16" s="589" customFormat="1">
      <c r="E43" s="207"/>
      <c r="F43" s="207" t="s">
        <v>2661</v>
      </c>
      <c r="G43" s="868">
        <f>G40/F42+H40</f>
        <v>1932511.2781954887</v>
      </c>
      <c r="H43" s="868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2662</v>
      </c>
      <c r="G44" s="867">
        <f>H40*F42+G40</f>
        <v>2570240</v>
      </c>
      <c r="H44" s="867"/>
      <c r="I44" s="2"/>
      <c r="J44" s="867">
        <f>K40*1.37+J40</f>
        <v>1877697.6600000001</v>
      </c>
      <c r="K44" s="867"/>
      <c r="L44" s="2"/>
      <c r="M44" s="867">
        <f>N40*1.37+M40</f>
        <v>1789659</v>
      </c>
      <c r="N44" s="867"/>
      <c r="O44" s="867">
        <f>P40*1.36+O40</f>
        <v>1320187.2</v>
      </c>
      <c r="P44" s="867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866" t="s">
        <v>1186</v>
      </c>
      <c r="C47" s="866"/>
      <c r="D47" s="866"/>
      <c r="E47" s="866"/>
      <c r="F47" s="866"/>
      <c r="G47" s="866"/>
      <c r="H47" s="866"/>
      <c r="I47" s="866"/>
      <c r="J47" s="866"/>
      <c r="K47" s="866"/>
      <c r="L47" s="866"/>
      <c r="M47" s="866"/>
      <c r="N47" s="866"/>
    </row>
    <row r="48" spans="2:16">
      <c r="B48" s="866" t="s">
        <v>2560</v>
      </c>
      <c r="C48" s="866"/>
      <c r="D48" s="866"/>
      <c r="E48" s="866"/>
      <c r="F48" s="866"/>
      <c r="G48" s="866"/>
      <c r="H48" s="866"/>
      <c r="I48" s="866"/>
      <c r="J48" s="866"/>
      <c r="K48" s="866"/>
      <c r="L48" s="866"/>
      <c r="M48" s="866"/>
      <c r="N48" s="866"/>
    </row>
    <row r="49" spans="2:14">
      <c r="B49" s="866" t="s">
        <v>2559</v>
      </c>
      <c r="C49" s="866"/>
      <c r="D49" s="866"/>
      <c r="E49" s="866"/>
      <c r="F49" s="866"/>
      <c r="G49" s="866"/>
      <c r="H49" s="866"/>
      <c r="I49" s="866"/>
      <c r="J49" s="866"/>
      <c r="K49" s="866"/>
      <c r="L49" s="866"/>
      <c r="M49" s="866"/>
      <c r="N49" s="866"/>
    </row>
    <row r="50" spans="2:14">
      <c r="B50" s="865" t="s">
        <v>2558</v>
      </c>
      <c r="C50" s="865"/>
      <c r="D50" s="865"/>
      <c r="E50" s="865"/>
      <c r="F50" s="865"/>
      <c r="G50" s="865"/>
      <c r="H50" s="865"/>
      <c r="I50" s="865"/>
      <c r="J50" s="865"/>
      <c r="K50" s="865"/>
      <c r="L50" s="865"/>
      <c r="M50" s="865"/>
      <c r="N50" s="865"/>
    </row>
    <row r="51" spans="2:14">
      <c r="B51" s="865"/>
      <c r="C51" s="865"/>
      <c r="D51" s="865"/>
      <c r="E51" s="865"/>
      <c r="F51" s="865"/>
      <c r="G51" s="865"/>
      <c r="H51" s="865"/>
      <c r="I51" s="865"/>
      <c r="J51" s="865"/>
      <c r="K51" s="865"/>
      <c r="L51" s="865"/>
      <c r="M51" s="865"/>
      <c r="N51" s="865"/>
    </row>
    <row r="52" spans="2:14">
      <c r="B52" s="865"/>
      <c r="C52" s="865"/>
      <c r="D52" s="865"/>
      <c r="E52" s="865"/>
      <c r="F52" s="865"/>
      <c r="G52" s="865"/>
      <c r="H52" s="865"/>
      <c r="I52" s="865"/>
      <c r="J52" s="865"/>
      <c r="K52" s="865"/>
      <c r="L52" s="865"/>
      <c r="M52" s="865"/>
      <c r="N52" s="865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zoomScaleNormal="100" workbookViewId="0">
      <selection activeCell="H9" sqref="H9"/>
    </sheetView>
  </sheetViews>
  <sheetFormatPr defaultRowHeight="13.2"/>
  <cols>
    <col min="1" max="1" width="1" customWidth="1"/>
    <col min="2" max="2" width="24.33203125" style="625" bestFit="1" customWidth="1"/>
    <col min="3" max="3" width="11.5546875" style="638" bestFit="1" customWidth="1"/>
    <col min="4" max="5" width="11.6640625" bestFit="1" customWidth="1"/>
    <col min="6" max="6" width="11.5546875" bestFit="1" customWidth="1"/>
    <col min="7" max="7" width="9.88671875" bestFit="1" customWidth="1"/>
    <col min="8" max="8" width="6.88671875" bestFit="1" customWidth="1"/>
    <col min="10" max="11" width="10.109375" bestFit="1" customWidth="1"/>
  </cols>
  <sheetData>
    <row r="1" spans="2:10" ht="20.399999999999999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2634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2643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2641</v>
      </c>
      <c r="C5" s="637">
        <v>44561</v>
      </c>
      <c r="D5" s="63" t="s">
        <v>2649</v>
      </c>
      <c r="E5" s="90">
        <v>505987.67999999993</v>
      </c>
      <c r="F5" s="63" t="s">
        <v>2649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2637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2637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2637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2637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2637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2637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2637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2637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2637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2637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2636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2633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2638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>
      <c r="B21" s="183" t="s">
        <v>2635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2648</v>
      </c>
      <c r="C24" s="637">
        <v>43100</v>
      </c>
      <c r="D24" s="63" t="s">
        <v>2649</v>
      </c>
      <c r="E24" s="90">
        <v>705314.48</v>
      </c>
      <c r="F24" s="63" t="s">
        <v>2649</v>
      </c>
      <c r="G24" s="90"/>
      <c r="H24" s="90"/>
      <c r="K24" s="52"/>
    </row>
    <row r="25" spans="2:11">
      <c r="B25" s="63" t="s">
        <v>2646</v>
      </c>
      <c r="C25" s="637" t="s">
        <v>2627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2642</v>
      </c>
      <c r="C26" s="637" t="s">
        <v>2647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2644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2645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875" t="s">
        <v>2652</v>
      </c>
      <c r="F38" s="876"/>
      <c r="G38" s="90"/>
      <c r="H38" s="90"/>
    </row>
    <row r="39" spans="2:8">
      <c r="B39" s="63" t="s">
        <v>2650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2651</v>
      </c>
    </row>
    <row r="41" spans="2:8" ht="17.399999999999999">
      <c r="B41" s="874" t="s">
        <v>989</v>
      </c>
      <c r="C41" s="874"/>
      <c r="D41" s="874"/>
      <c r="E41" s="874"/>
      <c r="F41" s="874"/>
      <c r="G41" s="874"/>
      <c r="H41" s="874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RowHeight="13.2"/>
  <cols>
    <col min="1" max="1" width="1.109375" customWidth="1"/>
    <col min="2" max="2" width="11.6640625" customWidth="1"/>
    <col min="3" max="3" width="10.6640625" style="284" bestFit="1" customWidth="1"/>
    <col min="4" max="4" width="12.88671875" bestFit="1" customWidth="1"/>
    <col min="5" max="5" width="9.10937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zoomScaleNormal="100" workbookViewId="0">
      <selection activeCell="FE10" sqref="FE10"/>
    </sheetView>
  </sheetViews>
  <sheetFormatPr defaultRowHeight="13.2"/>
  <cols>
    <col min="1" max="1" width="1.6640625" customWidth="1"/>
    <col min="2" max="2" width="9.6640625" bestFit="1" customWidth="1"/>
    <col min="3" max="3" width="9" bestFit="1" customWidth="1"/>
    <col min="4" max="4" width="10.33203125" style="142" customWidth="1"/>
    <col min="5" max="5" width="9" style="203" bestFit="1" customWidth="1"/>
    <col min="6" max="6" width="9.6640625" bestFit="1" customWidth="1"/>
    <col min="7" max="7" width="9" bestFit="1" customWidth="1"/>
    <col min="8" max="8" width="6.44140625" bestFit="1" customWidth="1"/>
    <col min="9" max="9" width="5" bestFit="1" customWidth="1"/>
    <col min="10" max="10" width="10.33203125" customWidth="1"/>
    <col min="11" max="11" width="8" bestFit="1" customWidth="1"/>
    <col min="12" max="12" width="10.33203125" customWidth="1"/>
    <col min="13" max="13" width="10" bestFit="1" customWidth="1"/>
    <col min="14" max="14" width="10.33203125" customWidth="1"/>
    <col min="15" max="15" width="7" bestFit="1" customWidth="1"/>
    <col min="16" max="16" width="10.33203125" customWidth="1"/>
    <col min="17" max="17" width="7.6640625" bestFit="1" customWidth="1"/>
    <col min="18" max="18" width="10.33203125" customWidth="1"/>
    <col min="19" max="19" width="10" bestFit="1" customWidth="1"/>
    <col min="20" max="99" width="10.33203125" customWidth="1"/>
    <col min="100" max="101" width="10.33203125" style="142" customWidth="1"/>
    <col min="102" max="105" width="10.33203125" customWidth="1"/>
    <col min="106" max="107" width="10.33203125" style="142" customWidth="1"/>
    <col min="108" max="111" width="10.33203125" customWidth="1"/>
    <col min="112" max="113" width="10.33203125" style="142" customWidth="1"/>
    <col min="114" max="117" width="10.33203125" customWidth="1"/>
    <col min="118" max="119" width="10.33203125" style="142" customWidth="1"/>
    <col min="120" max="123" width="10.33203125" customWidth="1"/>
    <col min="124" max="125" width="10.33203125" style="142" customWidth="1"/>
    <col min="126" max="129" width="10.33203125" customWidth="1"/>
    <col min="130" max="130" width="21.88671875" style="142" bestFit="1" customWidth="1"/>
    <col min="131" max="131" width="10.33203125" style="142" customWidth="1"/>
    <col min="132" max="135" width="10.33203125" customWidth="1"/>
    <col min="136" max="136" width="20.44140625" style="142" bestFit="1" customWidth="1"/>
    <col min="137" max="137" width="10.33203125" style="142" customWidth="1"/>
    <col min="138" max="141" width="10.33203125" customWidth="1"/>
    <col min="142" max="143" width="10.33203125" style="142" customWidth="1"/>
    <col min="144" max="147" width="10.33203125" customWidth="1"/>
    <col min="148" max="149" width="10.33203125" style="142" customWidth="1"/>
    <col min="150" max="150" width="11.33203125" customWidth="1"/>
    <col min="151" max="151" width="7" bestFit="1" customWidth="1"/>
    <col min="152" max="152" width="10.33203125" customWidth="1"/>
    <col min="153" max="153" width="10" bestFit="1" customWidth="1"/>
    <col min="154" max="154" width="10.33203125" style="142" customWidth="1"/>
    <col min="155" max="155" width="9" style="142" bestFit="1" customWidth="1"/>
    <col min="156" max="156" width="13.88671875" customWidth="1"/>
    <col min="157" max="157" width="8.33203125" customWidth="1"/>
    <col min="158" max="158" width="2.109375" bestFit="1" customWidth="1"/>
    <col min="159" max="159" width="12.33203125" bestFit="1" customWidth="1"/>
    <col min="160" max="160" width="11.88671875" customWidth="1"/>
    <col min="161" max="161" width="22.33203125" bestFit="1" customWidth="1"/>
    <col min="162" max="162" width="7.5546875" bestFit="1" customWidth="1"/>
  </cols>
  <sheetData>
    <row r="1" spans="2:162" ht="17.399999999999999">
      <c r="B1" s="853" t="s">
        <v>909</v>
      </c>
      <c r="C1" s="853"/>
      <c r="D1" s="852" t="s">
        <v>515</v>
      </c>
      <c r="E1" s="852"/>
      <c r="F1" s="853" t="s">
        <v>513</v>
      </c>
      <c r="G1" s="853"/>
      <c r="H1" s="880" t="s">
        <v>549</v>
      </c>
      <c r="I1" s="880"/>
      <c r="J1" s="852" t="s">
        <v>515</v>
      </c>
      <c r="K1" s="852"/>
      <c r="L1" s="853" t="s">
        <v>908</v>
      </c>
      <c r="M1" s="853"/>
      <c r="N1" s="880" t="s">
        <v>549</v>
      </c>
      <c r="O1" s="880"/>
      <c r="P1" s="852" t="s">
        <v>515</v>
      </c>
      <c r="Q1" s="852"/>
      <c r="R1" s="853" t="s">
        <v>552</v>
      </c>
      <c r="S1" s="853"/>
      <c r="T1" s="880" t="s">
        <v>549</v>
      </c>
      <c r="U1" s="880"/>
      <c r="V1" s="852" t="s">
        <v>515</v>
      </c>
      <c r="W1" s="852"/>
      <c r="X1" s="853" t="s">
        <v>907</v>
      </c>
      <c r="Y1" s="853"/>
      <c r="Z1" s="880" t="s">
        <v>549</v>
      </c>
      <c r="AA1" s="880"/>
      <c r="AB1" s="852" t="s">
        <v>515</v>
      </c>
      <c r="AC1" s="852"/>
      <c r="AD1" s="853" t="s">
        <v>591</v>
      </c>
      <c r="AE1" s="853"/>
      <c r="AF1" s="880" t="s">
        <v>549</v>
      </c>
      <c r="AG1" s="880"/>
      <c r="AH1" s="852" t="s">
        <v>515</v>
      </c>
      <c r="AI1" s="852"/>
      <c r="AJ1" s="853" t="s">
        <v>906</v>
      </c>
      <c r="AK1" s="853"/>
      <c r="AL1" s="880" t="s">
        <v>626</v>
      </c>
      <c r="AM1" s="880"/>
      <c r="AN1" s="852" t="s">
        <v>627</v>
      </c>
      <c r="AO1" s="852"/>
      <c r="AP1" s="853" t="s">
        <v>621</v>
      </c>
      <c r="AQ1" s="853"/>
      <c r="AR1" s="880" t="s">
        <v>549</v>
      </c>
      <c r="AS1" s="880"/>
      <c r="AT1" s="852" t="s">
        <v>515</v>
      </c>
      <c r="AU1" s="852"/>
      <c r="AV1" s="853" t="s">
        <v>905</v>
      </c>
      <c r="AW1" s="853"/>
      <c r="AX1" s="880" t="s">
        <v>549</v>
      </c>
      <c r="AY1" s="880"/>
      <c r="AZ1" s="852" t="s">
        <v>515</v>
      </c>
      <c r="BA1" s="852"/>
      <c r="BB1" s="853" t="s">
        <v>653</v>
      </c>
      <c r="BC1" s="853"/>
      <c r="BD1" s="880" t="s">
        <v>549</v>
      </c>
      <c r="BE1" s="880"/>
      <c r="BF1" s="852" t="s">
        <v>515</v>
      </c>
      <c r="BG1" s="852"/>
      <c r="BH1" s="853" t="s">
        <v>904</v>
      </c>
      <c r="BI1" s="853"/>
      <c r="BJ1" s="880" t="s">
        <v>549</v>
      </c>
      <c r="BK1" s="880"/>
      <c r="BL1" s="852" t="s">
        <v>515</v>
      </c>
      <c r="BM1" s="852"/>
      <c r="BN1" s="853" t="s">
        <v>921</v>
      </c>
      <c r="BO1" s="853"/>
      <c r="BP1" s="880" t="s">
        <v>549</v>
      </c>
      <c r="BQ1" s="880"/>
      <c r="BR1" s="852" t="s">
        <v>515</v>
      </c>
      <c r="BS1" s="852"/>
      <c r="BT1" s="853" t="s">
        <v>903</v>
      </c>
      <c r="BU1" s="853"/>
      <c r="BV1" s="880" t="s">
        <v>704</v>
      </c>
      <c r="BW1" s="880"/>
      <c r="BX1" s="852" t="s">
        <v>705</v>
      </c>
      <c r="BY1" s="852"/>
      <c r="BZ1" s="853" t="s">
        <v>703</v>
      </c>
      <c r="CA1" s="853"/>
      <c r="CB1" s="880" t="s">
        <v>730</v>
      </c>
      <c r="CC1" s="880"/>
      <c r="CD1" s="852" t="s">
        <v>731</v>
      </c>
      <c r="CE1" s="852"/>
      <c r="CF1" s="853" t="s">
        <v>902</v>
      </c>
      <c r="CG1" s="853"/>
      <c r="CH1" s="880" t="s">
        <v>730</v>
      </c>
      <c r="CI1" s="880"/>
      <c r="CJ1" s="852" t="s">
        <v>731</v>
      </c>
      <c r="CK1" s="852"/>
      <c r="CL1" s="853" t="s">
        <v>748</v>
      </c>
      <c r="CM1" s="853"/>
      <c r="CN1" s="880" t="s">
        <v>730</v>
      </c>
      <c r="CO1" s="880"/>
      <c r="CP1" s="852" t="s">
        <v>731</v>
      </c>
      <c r="CQ1" s="852"/>
      <c r="CR1" s="853" t="s">
        <v>901</v>
      </c>
      <c r="CS1" s="853"/>
      <c r="CT1" s="880" t="s">
        <v>730</v>
      </c>
      <c r="CU1" s="880"/>
      <c r="CV1" s="878" t="s">
        <v>731</v>
      </c>
      <c r="CW1" s="878"/>
      <c r="CX1" s="853" t="s">
        <v>769</v>
      </c>
      <c r="CY1" s="853"/>
      <c r="CZ1" s="880" t="s">
        <v>730</v>
      </c>
      <c r="DA1" s="880"/>
      <c r="DB1" s="878" t="s">
        <v>731</v>
      </c>
      <c r="DC1" s="878"/>
      <c r="DD1" s="853" t="s">
        <v>900</v>
      </c>
      <c r="DE1" s="853"/>
      <c r="DF1" s="880" t="s">
        <v>816</v>
      </c>
      <c r="DG1" s="880"/>
      <c r="DH1" s="878" t="s">
        <v>817</v>
      </c>
      <c r="DI1" s="878"/>
      <c r="DJ1" s="853" t="s">
        <v>809</v>
      </c>
      <c r="DK1" s="853"/>
      <c r="DL1" s="880" t="s">
        <v>816</v>
      </c>
      <c r="DM1" s="880"/>
      <c r="DN1" s="878" t="s">
        <v>731</v>
      </c>
      <c r="DO1" s="878"/>
      <c r="DP1" s="853" t="s">
        <v>899</v>
      </c>
      <c r="DQ1" s="853"/>
      <c r="DR1" s="880" t="s">
        <v>816</v>
      </c>
      <c r="DS1" s="880"/>
      <c r="DT1" s="878" t="s">
        <v>731</v>
      </c>
      <c r="DU1" s="878"/>
      <c r="DV1" s="853" t="s">
        <v>898</v>
      </c>
      <c r="DW1" s="853"/>
      <c r="DX1" s="880" t="s">
        <v>816</v>
      </c>
      <c r="DY1" s="880"/>
      <c r="DZ1" s="878" t="s">
        <v>731</v>
      </c>
      <c r="EA1" s="878"/>
      <c r="EB1" s="853" t="s">
        <v>897</v>
      </c>
      <c r="EC1" s="853"/>
      <c r="ED1" s="880" t="s">
        <v>816</v>
      </c>
      <c r="EE1" s="880"/>
      <c r="EF1" s="878" t="s">
        <v>731</v>
      </c>
      <c r="EG1" s="878"/>
      <c r="EH1" s="853" t="s">
        <v>883</v>
      </c>
      <c r="EI1" s="853"/>
      <c r="EJ1" s="880" t="s">
        <v>816</v>
      </c>
      <c r="EK1" s="880"/>
      <c r="EL1" s="878" t="s">
        <v>936</v>
      </c>
      <c r="EM1" s="878"/>
      <c r="EN1" s="853" t="s">
        <v>922</v>
      </c>
      <c r="EO1" s="853"/>
      <c r="EP1" s="880" t="s">
        <v>816</v>
      </c>
      <c r="EQ1" s="880"/>
      <c r="ER1" s="878" t="s">
        <v>950</v>
      </c>
      <c r="ES1" s="878"/>
      <c r="ET1" s="853" t="s">
        <v>937</v>
      </c>
      <c r="EU1" s="853"/>
      <c r="EV1" s="880" t="s">
        <v>816</v>
      </c>
      <c r="EW1" s="880"/>
      <c r="EX1" s="878" t="s">
        <v>530</v>
      </c>
      <c r="EY1" s="878"/>
      <c r="EZ1" s="853" t="s">
        <v>952</v>
      </c>
      <c r="FA1" s="853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3.8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879" t="s">
        <v>779</v>
      </c>
      <c r="CU7" s="853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879" t="s">
        <v>778</v>
      </c>
      <c r="DA8" s="853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879" t="s">
        <v>778</v>
      </c>
      <c r="DG8" s="853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879" t="s">
        <v>778</v>
      </c>
      <c r="DM8" s="853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879" t="s">
        <v>778</v>
      </c>
      <c r="DS8" s="853"/>
      <c r="DT8" s="142" t="s">
        <v>783</v>
      </c>
      <c r="DU8" s="142">
        <f>SUM(DU13:DU17)</f>
        <v>32</v>
      </c>
      <c r="DV8" s="63"/>
      <c r="DW8" s="63"/>
      <c r="DX8" s="879" t="s">
        <v>778</v>
      </c>
      <c r="DY8" s="853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879" t="s">
        <v>928</v>
      </c>
      <c r="EK8" s="853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879" t="s">
        <v>928</v>
      </c>
      <c r="EQ9" s="853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879" t="s">
        <v>928</v>
      </c>
      <c r="EW9" s="853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879" t="s">
        <v>928</v>
      </c>
      <c r="EE11" s="853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879" t="s">
        <v>778</v>
      </c>
      <c r="CU12" s="853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844" t="s">
        <v>782</v>
      </c>
      <c r="CU19" s="844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866" t="s">
        <v>858</v>
      </c>
      <c r="FA21" s="866"/>
      <c r="FC21" s="238">
        <f>FC20-FC22</f>
        <v>113457.16899999997</v>
      </c>
      <c r="FD21" s="230"/>
      <c r="FE21" s="877" t="s">
        <v>1546</v>
      </c>
      <c r="FF21" s="877"/>
      <c r="FG21" s="877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866" t="s">
        <v>871</v>
      </c>
      <c r="FA22" s="866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866" t="s">
        <v>1000</v>
      </c>
      <c r="FA23" s="866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866" t="s">
        <v>1076</v>
      </c>
      <c r="FA24" s="866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881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882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881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882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7.399999999999999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7.399999999999999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E79"/>
  <sheetViews>
    <sheetView tabSelected="1" topLeftCell="JS1" zoomScaleNormal="100" workbookViewId="0">
      <selection activeCell="KA46" sqref="KA46"/>
    </sheetView>
  </sheetViews>
  <sheetFormatPr defaultColWidth="14.5546875" defaultRowHeight="13.2"/>
  <cols>
    <col min="1" max="1" width="13.44140625" customWidth="1"/>
    <col min="2" max="2" width="8.6640625" style="61" bestFit="1" customWidth="1"/>
    <col min="3" max="4" width="1.109375" customWidth="1"/>
    <col min="5" max="5" width="19.5546875" style="142" bestFit="1" customWidth="1"/>
    <col min="6" max="6" width="9.109375" style="142" bestFit="1" customWidth="1"/>
    <col min="7" max="7" width="13.44140625" customWidth="1"/>
    <col min="8" max="8" width="8.6640625" style="61" bestFit="1" customWidth="1"/>
    <col min="9" max="10" width="9.109375" customWidth="1"/>
    <col min="11" max="11" width="19.5546875" style="142" bestFit="1" customWidth="1"/>
    <col min="12" max="12" width="8.109375" style="142" bestFit="1" customWidth="1"/>
    <col min="13" max="13" width="13.44140625" customWidth="1"/>
    <col min="14" max="14" width="8.6640625" style="61" bestFit="1" customWidth="1"/>
    <col min="15" max="15" width="9" bestFit="1" customWidth="1"/>
    <col min="16" max="16" width="5" bestFit="1" customWidth="1"/>
    <col min="17" max="17" width="22.109375" style="142" bestFit="1" customWidth="1"/>
    <col min="18" max="18" width="8.109375" style="142" bestFit="1" customWidth="1"/>
    <col min="19" max="19" width="13.44140625" customWidth="1"/>
    <col min="20" max="20" width="8.664062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33203125" style="142" customWidth="1"/>
    <col min="25" max="25" width="14.33203125" customWidth="1"/>
    <col min="26" max="26" width="8.664062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33203125" style="142" customWidth="1"/>
    <col min="31" max="31" width="14.33203125" customWidth="1"/>
    <col min="32" max="32" width="8.664062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09375" style="142" bestFit="1" customWidth="1"/>
    <col min="37" max="37" width="14.33203125" customWidth="1"/>
    <col min="38" max="38" width="8.664062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4140625" style="142" customWidth="1"/>
    <col min="43" max="43" width="15.33203125" customWidth="1"/>
    <col min="44" max="44" width="8.664062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546875" style="142" customWidth="1"/>
    <col min="49" max="49" width="16" customWidth="1"/>
    <col min="50" max="50" width="9.109375" style="61" bestFit="1" customWidth="1"/>
    <col min="51" max="51" width="10.33203125" style="142" bestFit="1" customWidth="1"/>
    <col min="52" max="52" width="6.5546875" style="142" bestFit="1" customWidth="1"/>
    <col min="53" max="53" width="16" customWidth="1"/>
    <col min="54" max="54" width="9.10937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09375" style="142" customWidth="1"/>
    <col min="59" max="59" width="16" customWidth="1"/>
    <col min="60" max="60" width="9.109375" style="61" bestFit="1" customWidth="1"/>
    <col min="61" max="61" width="10.5546875" style="9" bestFit="1" customWidth="1"/>
    <col min="62" max="62" width="6" style="9" bestFit="1" customWidth="1"/>
    <col min="63" max="63" width="19" style="218" bestFit="1" customWidth="1"/>
    <col min="64" max="64" width="9.109375" style="218" customWidth="1"/>
    <col min="65" max="65" width="16" customWidth="1"/>
    <col min="66" max="66" width="9.109375" style="61" bestFit="1" customWidth="1"/>
    <col min="67" max="67" width="10.5546875" style="9" bestFit="1" customWidth="1"/>
    <col min="68" max="68" width="6" style="9" bestFit="1" customWidth="1"/>
    <col min="69" max="69" width="19" style="218" bestFit="1" customWidth="1"/>
    <col min="70" max="70" width="9.109375" style="218" customWidth="1"/>
    <col min="71" max="71" width="16" customWidth="1"/>
    <col min="72" max="72" width="8.109375" style="2" bestFit="1" customWidth="1"/>
    <col min="73" max="73" width="10.5546875" style="9" bestFit="1" customWidth="1"/>
    <col min="74" max="74" width="6" style="9" bestFit="1" customWidth="1"/>
    <col min="75" max="75" width="19" style="218" bestFit="1" customWidth="1"/>
    <col min="76" max="76" width="9.109375" style="218" customWidth="1"/>
    <col min="77" max="77" width="17.44140625" customWidth="1"/>
    <col min="78" max="78" width="9" style="61" bestFit="1" customWidth="1"/>
    <col min="79" max="79" width="10.5546875" style="9" bestFit="1" customWidth="1"/>
    <col min="80" max="80" width="6" style="9" bestFit="1" customWidth="1"/>
    <col min="81" max="81" width="19" style="218" bestFit="1" customWidth="1"/>
    <col min="82" max="82" width="10.5546875" style="218" customWidth="1"/>
    <col min="83" max="83" width="17.44140625" customWidth="1"/>
    <col min="84" max="84" width="9" style="61" bestFit="1" customWidth="1"/>
    <col min="85" max="85" width="10.5546875" style="9" bestFit="1" customWidth="1"/>
    <col min="86" max="86" width="9.109375" style="9" bestFit="1" customWidth="1"/>
    <col min="87" max="87" width="19" style="218" bestFit="1" customWidth="1"/>
    <col min="88" max="88" width="9" style="218" customWidth="1"/>
    <col min="89" max="89" width="17.44140625" customWidth="1"/>
    <col min="90" max="90" width="9" style="61" bestFit="1" customWidth="1"/>
    <col min="91" max="91" width="10.5546875" style="9" bestFit="1" customWidth="1"/>
    <col min="92" max="92" width="9.109375" style="9" bestFit="1" customWidth="1"/>
    <col min="93" max="93" width="19" style="218" bestFit="1" customWidth="1"/>
    <col min="94" max="94" width="12" style="218" customWidth="1"/>
    <col min="95" max="95" width="17.44140625" customWidth="1"/>
    <col min="96" max="96" width="9" style="61" bestFit="1" customWidth="1"/>
    <col min="97" max="97" width="10.5546875" style="9" bestFit="1" customWidth="1"/>
    <col min="98" max="98" width="9.109375" style="9" customWidth="1"/>
    <col min="99" max="99" width="19" style="218" bestFit="1" customWidth="1"/>
    <col min="100" max="100" width="12" style="218" customWidth="1"/>
    <col min="101" max="101" width="17.44140625" customWidth="1"/>
    <col min="102" max="102" width="9" style="61" bestFit="1" customWidth="1"/>
    <col min="103" max="103" width="12" style="9" customWidth="1"/>
    <col min="104" max="104" width="9.109375" style="9" customWidth="1"/>
    <col min="105" max="105" width="19" style="218" bestFit="1" customWidth="1"/>
    <col min="106" max="106" width="12" style="218" customWidth="1"/>
    <col min="107" max="107" width="17.44140625" customWidth="1"/>
    <col min="108" max="108" width="9" style="61" bestFit="1" customWidth="1"/>
    <col min="109" max="109" width="18.5546875" style="9" customWidth="1"/>
    <col min="110" max="110" width="9.109375" style="9" customWidth="1"/>
    <col min="111" max="111" width="19" style="218" bestFit="1" customWidth="1"/>
    <col min="112" max="112" width="12" style="302" customWidth="1"/>
    <col min="113" max="113" width="20.88671875" customWidth="1"/>
    <col min="114" max="114" width="9" style="61" bestFit="1" customWidth="1"/>
    <col min="115" max="115" width="12.5546875" style="9" bestFit="1" customWidth="1"/>
    <col min="116" max="116" width="10.88671875" style="9" customWidth="1"/>
    <col min="117" max="117" width="19" style="218" bestFit="1" customWidth="1"/>
    <col min="118" max="118" width="11.88671875" style="302" customWidth="1"/>
    <col min="119" max="119" width="20.88671875" customWidth="1"/>
    <col min="120" max="120" width="8" style="61" bestFit="1" customWidth="1"/>
    <col min="121" max="121" width="12.5546875" style="9" bestFit="1" customWidth="1"/>
    <col min="122" max="122" width="9.33203125" style="9" customWidth="1"/>
    <col min="123" max="123" width="17.5546875" style="218" bestFit="1" customWidth="1"/>
    <col min="124" max="124" width="11.88671875" style="302" customWidth="1"/>
    <col min="125" max="125" width="20.88671875" customWidth="1"/>
    <col min="126" max="126" width="8" style="61" bestFit="1" customWidth="1"/>
    <col min="127" max="127" width="12.5546875" bestFit="1" customWidth="1"/>
    <col min="128" max="128" width="9.109375" customWidth="1"/>
    <col min="129" max="129" width="17.5546875" bestFit="1" customWidth="1"/>
    <col min="130" max="130" width="11.88671875" customWidth="1"/>
    <col min="131" max="131" width="20.88671875" customWidth="1"/>
    <col min="132" max="132" width="7.5546875" bestFit="1" customWidth="1"/>
    <col min="133" max="133" width="12.5546875" bestFit="1" customWidth="1"/>
    <col min="134" max="134" width="9.109375" customWidth="1"/>
    <col min="135" max="135" width="17.33203125" bestFit="1" customWidth="1"/>
    <col min="136" max="136" width="9.109375" bestFit="1" customWidth="1"/>
    <col min="137" max="137" width="0.6640625" customWidth="1"/>
    <col min="138" max="138" width="20.88671875" customWidth="1"/>
    <col min="139" max="139" width="7.5546875" bestFit="1" customWidth="1"/>
    <col min="140" max="140" width="12.5546875" bestFit="1" customWidth="1"/>
    <col min="141" max="141" width="9.109375" customWidth="1"/>
    <col min="142" max="142" width="17.33203125" bestFit="1" customWidth="1"/>
    <col min="143" max="143" width="10.88671875" customWidth="1"/>
    <col min="144" max="144" width="20.88671875" customWidth="1"/>
    <col min="145" max="145" width="7.5546875" bestFit="1" customWidth="1"/>
    <col min="146" max="146" width="12.5546875" bestFit="1" customWidth="1"/>
    <col min="147" max="147" width="9.109375" customWidth="1"/>
    <col min="148" max="148" width="17.33203125" bestFit="1" customWidth="1"/>
    <col min="149" max="149" width="10.88671875" style="142" customWidth="1"/>
    <col min="150" max="150" width="21.33203125" customWidth="1"/>
    <col min="151" max="151" width="7.5546875" bestFit="1" customWidth="1"/>
    <col min="152" max="152" width="12.5546875" bestFit="1" customWidth="1"/>
    <col min="153" max="153" width="9.109375" customWidth="1"/>
    <col min="154" max="154" width="17.33203125" bestFit="1" customWidth="1"/>
    <col min="155" max="155" width="8.6640625" bestFit="1" customWidth="1"/>
    <col min="156" max="156" width="21.33203125" customWidth="1"/>
    <col min="157" max="157" width="7.5546875" bestFit="1" customWidth="1"/>
    <col min="158" max="158" width="12.5546875" bestFit="1" customWidth="1"/>
    <col min="159" max="159" width="9.109375" customWidth="1"/>
    <col min="160" max="160" width="17.33203125" bestFit="1" customWidth="1"/>
    <col min="161" max="161" width="9.33203125" customWidth="1"/>
    <col min="162" max="162" width="21.33203125" customWidth="1"/>
    <col min="163" max="163" width="7.5546875" bestFit="1" customWidth="1"/>
    <col min="164" max="164" width="12.5546875" bestFit="1" customWidth="1"/>
    <col min="165" max="165" width="9.109375" bestFit="1" customWidth="1"/>
    <col min="166" max="166" width="17.33203125" bestFit="1" customWidth="1"/>
    <col min="167" max="167" width="9.33203125" bestFit="1" customWidth="1"/>
    <col min="168" max="168" width="21.33203125" customWidth="1"/>
    <col min="169" max="169" width="8.109375" bestFit="1" customWidth="1"/>
    <col min="170" max="170" width="17.44140625" bestFit="1" customWidth="1"/>
    <col min="171" max="171" width="9.109375" bestFit="1" customWidth="1"/>
    <col min="172" max="172" width="17.5546875" customWidth="1"/>
    <col min="173" max="173" width="10.33203125" customWidth="1"/>
    <col min="174" max="174" width="21.33203125" customWidth="1"/>
    <col min="175" max="175" width="8.109375" bestFit="1" customWidth="1"/>
    <col min="176" max="176" width="14.5546875" customWidth="1"/>
    <col min="177" max="177" width="10.5546875" customWidth="1"/>
    <col min="178" max="178" width="17" customWidth="1"/>
    <col min="179" max="179" width="9.109375" bestFit="1" customWidth="1"/>
    <col min="180" max="180" width="21.33203125" customWidth="1"/>
    <col min="181" max="181" width="7.5546875" bestFit="1" customWidth="1"/>
    <col min="182" max="182" width="13.6640625" bestFit="1" customWidth="1"/>
    <col min="183" max="183" width="9.109375" bestFit="1" customWidth="1"/>
    <col min="184" max="184" width="17" customWidth="1"/>
    <col min="185" max="185" width="14.88671875" bestFit="1" customWidth="1"/>
    <col min="186" max="186" width="21.33203125" customWidth="1"/>
    <col min="187" max="187" width="7.5546875" bestFit="1" customWidth="1"/>
    <col min="188" max="188" width="13.6640625" bestFit="1" customWidth="1"/>
    <col min="189" max="189" width="9.109375" bestFit="1" customWidth="1"/>
    <col min="190" max="190" width="17" customWidth="1"/>
    <col min="191" max="191" width="10.88671875" customWidth="1"/>
    <col min="192" max="192" width="19.44140625" customWidth="1"/>
    <col min="193" max="193" width="7.5546875" bestFit="1" customWidth="1"/>
    <col min="194" max="194" width="11.88671875" customWidth="1"/>
    <col min="195" max="195" width="9.109375" bestFit="1" customWidth="1"/>
    <col min="196" max="196" width="18.109375" customWidth="1"/>
    <col min="197" max="197" width="10.88671875" customWidth="1"/>
    <col min="198" max="198" width="19.44140625" customWidth="1"/>
    <col min="199" max="199" width="7.5546875" bestFit="1" customWidth="1"/>
    <col min="200" max="200" width="11.88671875" customWidth="1"/>
    <col min="201" max="201" width="9.109375" customWidth="1"/>
    <col min="202" max="202" width="18.109375" customWidth="1"/>
    <col min="203" max="203" width="10.88671875" customWidth="1"/>
    <col min="204" max="204" width="19.44140625" customWidth="1"/>
    <col min="205" max="205" width="7.5546875" bestFit="1" customWidth="1"/>
    <col min="206" max="206" width="11.88671875" customWidth="1"/>
    <col min="207" max="207" width="9.109375" customWidth="1"/>
    <col min="208" max="208" width="18.109375" customWidth="1"/>
    <col min="209" max="209" width="10.88671875" customWidth="1"/>
    <col min="210" max="210" width="16" customWidth="1"/>
    <col min="211" max="211" width="8.109375" bestFit="1" customWidth="1"/>
    <col min="212" max="212" width="11.88671875" customWidth="1"/>
    <col min="213" max="213" width="9.109375" customWidth="1"/>
    <col min="214" max="214" width="15.88671875" customWidth="1"/>
    <col min="215" max="215" width="9.5546875" customWidth="1"/>
    <col min="216" max="216" width="16" customWidth="1"/>
    <col min="217" max="217" width="8.109375" bestFit="1" customWidth="1"/>
    <col min="218" max="218" width="15.44140625" customWidth="1"/>
    <col min="219" max="219" width="9.109375" customWidth="1"/>
    <col min="220" max="220" width="15.88671875" customWidth="1"/>
    <col min="221" max="221" width="9.5546875" customWidth="1"/>
    <col min="222" max="222" width="15.88671875" customWidth="1"/>
    <col min="223" max="223" width="8.109375" bestFit="1" customWidth="1"/>
    <col min="224" max="224" width="15.5546875" bestFit="1" customWidth="1"/>
    <col min="225" max="225" width="9.109375" bestFit="1" customWidth="1"/>
    <col min="226" max="226" width="15.88671875" customWidth="1"/>
    <col min="227" max="227" width="9.5546875" customWidth="1"/>
    <col min="228" max="228" width="15.88671875" customWidth="1"/>
    <col min="229" max="229" width="9.5546875" customWidth="1"/>
    <col min="230" max="230" width="15.5546875" bestFit="1" customWidth="1"/>
    <col min="231" max="231" width="10.109375" bestFit="1" customWidth="1"/>
    <col min="232" max="232" width="15.88671875" customWidth="1"/>
    <col min="233" max="233" width="10.44140625" customWidth="1"/>
    <col min="234" max="234" width="16.6640625" customWidth="1"/>
    <col min="235" max="235" width="10.88671875" customWidth="1"/>
    <col min="236" max="236" width="15.5546875" bestFit="1" customWidth="1"/>
    <col min="237" max="237" width="9.109375" bestFit="1" customWidth="1"/>
    <col min="238" max="238" width="21.5546875" customWidth="1"/>
    <col min="239" max="239" width="11.5546875" bestFit="1" customWidth="1"/>
    <col min="240" max="240" width="18.88671875" customWidth="1"/>
    <col min="241" max="241" width="8.109375" bestFit="1" customWidth="1"/>
    <col min="242" max="242" width="14.5546875" customWidth="1"/>
    <col min="243" max="243" width="9.109375" bestFit="1" customWidth="1"/>
    <col min="244" max="244" width="15.88671875" customWidth="1"/>
    <col min="245" max="245" width="13.109375" customWidth="1"/>
    <col min="246" max="246" width="19" customWidth="1"/>
    <col min="247" max="247" width="9.109375" bestFit="1" customWidth="1"/>
    <col min="248" max="248" width="14.5546875" customWidth="1"/>
    <col min="249" max="249" width="9.109375" bestFit="1" customWidth="1"/>
    <col min="250" max="250" width="15.88671875" customWidth="1"/>
    <col min="251" max="251" width="11.88671875" bestFit="1" customWidth="1"/>
    <col min="252" max="252" width="18.33203125" customWidth="1"/>
    <col min="253" max="253" width="10.109375" bestFit="1" customWidth="1"/>
    <col min="254" max="254" width="14.5546875" style="570" customWidth="1"/>
    <col min="255" max="255" width="9.109375" style="570" bestFit="1" customWidth="1"/>
    <col min="256" max="256" width="15.88671875" style="570" customWidth="1"/>
    <col min="257" max="257" width="8.6640625" style="570" customWidth="1"/>
    <col min="258" max="258" width="18.33203125" style="570" customWidth="1"/>
    <col min="259" max="259" width="9.6640625" style="570" bestFit="1" customWidth="1"/>
    <col min="260" max="260" width="14.5546875" style="616" customWidth="1"/>
    <col min="261" max="261" width="9.6640625" style="616" bestFit="1" customWidth="1"/>
    <col min="262" max="262" width="15.88671875" style="616" customWidth="1"/>
    <col min="263" max="263" width="10.88671875" style="616" bestFit="1" customWidth="1"/>
    <col min="264" max="264" width="18" style="616" customWidth="1"/>
    <col min="265" max="265" width="10.88671875" style="616" customWidth="1"/>
    <col min="266" max="266" width="14.5546875" style="662" customWidth="1"/>
    <col min="267" max="267" width="11.6640625" style="662" customWidth="1"/>
    <col min="268" max="268" width="16.88671875" style="662" customWidth="1"/>
    <col min="269" max="269" width="11.88671875" style="662" bestFit="1" customWidth="1"/>
    <col min="270" max="270" width="17.6640625" style="662" customWidth="1"/>
    <col min="271" max="271" width="9" style="662" customWidth="1"/>
    <col min="272" max="272" width="14.5546875" style="711" customWidth="1"/>
    <col min="273" max="273" width="11.44140625" style="711" customWidth="1"/>
    <col min="274" max="274" width="16.88671875" style="711" customWidth="1"/>
    <col min="275" max="275" width="11.88671875" style="711" bestFit="1" customWidth="1"/>
    <col min="276" max="276" width="17.6640625" style="711" customWidth="1"/>
    <col min="277" max="277" width="9.44140625" style="711" customWidth="1"/>
    <col min="278" max="278" width="17.44140625" style="757" customWidth="1"/>
    <col min="279" max="279" width="10.109375" style="757" bestFit="1" customWidth="1"/>
    <col min="280" max="280" width="16.88671875" style="757" customWidth="1"/>
    <col min="281" max="281" width="11.88671875" style="757" bestFit="1" customWidth="1"/>
    <col min="282" max="282" width="17.6640625" style="757" customWidth="1"/>
    <col min="283" max="283" width="9.109375" style="757" bestFit="1" customWidth="1"/>
    <col min="284" max="284" width="17.44140625" style="796" customWidth="1"/>
    <col min="285" max="285" width="10.109375" style="796" bestFit="1" customWidth="1"/>
    <col min="286" max="286" width="16.88671875" style="796" customWidth="1"/>
    <col min="287" max="287" width="11.88671875" style="796" bestFit="1" customWidth="1"/>
    <col min="288" max="288" width="17.6640625" style="796" customWidth="1"/>
    <col min="289" max="289" width="9.109375" style="796" bestFit="1" customWidth="1"/>
    <col min="290" max="290" width="7.109375" style="796" customWidth="1"/>
    <col min="291" max="291" width="7.5546875" bestFit="1" customWidth="1"/>
  </cols>
  <sheetData>
    <row r="1" spans="1:291" s="142" customFormat="1">
      <c r="A1" s="893" t="s">
        <v>1209</v>
      </c>
      <c r="B1" s="893"/>
      <c r="C1" s="861" t="s">
        <v>292</v>
      </c>
      <c r="D1" s="861"/>
      <c r="E1" s="859" t="s">
        <v>1010</v>
      </c>
      <c r="F1" s="859"/>
      <c r="G1" s="893" t="s">
        <v>1210</v>
      </c>
      <c r="H1" s="893"/>
      <c r="I1" s="861" t="s">
        <v>292</v>
      </c>
      <c r="J1" s="861"/>
      <c r="K1" s="859" t="s">
        <v>1011</v>
      </c>
      <c r="L1" s="859"/>
      <c r="M1" s="893" t="s">
        <v>1211</v>
      </c>
      <c r="N1" s="893"/>
      <c r="O1" s="861" t="s">
        <v>292</v>
      </c>
      <c r="P1" s="861"/>
      <c r="Q1" s="859" t="s">
        <v>1057</v>
      </c>
      <c r="R1" s="859"/>
      <c r="S1" s="893" t="s">
        <v>1212</v>
      </c>
      <c r="T1" s="893"/>
      <c r="U1" s="861" t="s">
        <v>292</v>
      </c>
      <c r="V1" s="861"/>
      <c r="W1" s="859" t="s">
        <v>627</v>
      </c>
      <c r="X1" s="859"/>
      <c r="Y1" s="893" t="s">
        <v>1213</v>
      </c>
      <c r="Z1" s="893"/>
      <c r="AA1" s="861" t="s">
        <v>292</v>
      </c>
      <c r="AB1" s="861"/>
      <c r="AC1" s="859" t="s">
        <v>1084</v>
      </c>
      <c r="AD1" s="859"/>
      <c r="AE1" s="893" t="s">
        <v>1214</v>
      </c>
      <c r="AF1" s="893"/>
      <c r="AG1" s="861" t="s">
        <v>292</v>
      </c>
      <c r="AH1" s="861"/>
      <c r="AI1" s="859" t="s">
        <v>1134</v>
      </c>
      <c r="AJ1" s="859"/>
      <c r="AK1" s="893" t="s">
        <v>1217</v>
      </c>
      <c r="AL1" s="893"/>
      <c r="AM1" s="861" t="s">
        <v>1132</v>
      </c>
      <c r="AN1" s="861"/>
      <c r="AO1" s="859" t="s">
        <v>1133</v>
      </c>
      <c r="AP1" s="859"/>
      <c r="AQ1" s="893" t="s">
        <v>1218</v>
      </c>
      <c r="AR1" s="893"/>
      <c r="AS1" s="861" t="s">
        <v>1132</v>
      </c>
      <c r="AT1" s="861"/>
      <c r="AU1" s="859" t="s">
        <v>1178</v>
      </c>
      <c r="AV1" s="859"/>
      <c r="AW1" s="893" t="s">
        <v>1215</v>
      </c>
      <c r="AX1" s="893"/>
      <c r="AY1" s="859" t="s">
        <v>1241</v>
      </c>
      <c r="AZ1" s="859"/>
      <c r="BA1" s="893" t="s">
        <v>1215</v>
      </c>
      <c r="BB1" s="893"/>
      <c r="BC1" s="861" t="s">
        <v>816</v>
      </c>
      <c r="BD1" s="861"/>
      <c r="BE1" s="859" t="s">
        <v>1208</v>
      </c>
      <c r="BF1" s="859"/>
      <c r="BG1" s="893" t="s">
        <v>1216</v>
      </c>
      <c r="BH1" s="893"/>
      <c r="BI1" s="861" t="s">
        <v>816</v>
      </c>
      <c r="BJ1" s="861"/>
      <c r="BK1" s="859" t="s">
        <v>1208</v>
      </c>
      <c r="BL1" s="859"/>
      <c r="BM1" s="893" t="s">
        <v>1226</v>
      </c>
      <c r="BN1" s="893"/>
      <c r="BO1" s="861" t="s">
        <v>816</v>
      </c>
      <c r="BP1" s="861"/>
      <c r="BQ1" s="859" t="s">
        <v>1244</v>
      </c>
      <c r="BR1" s="859"/>
      <c r="BS1" s="893" t="s">
        <v>1243</v>
      </c>
      <c r="BT1" s="893"/>
      <c r="BU1" s="861" t="s">
        <v>816</v>
      </c>
      <c r="BV1" s="861"/>
      <c r="BW1" s="859" t="s">
        <v>1248</v>
      </c>
      <c r="BX1" s="859"/>
      <c r="BY1" s="893" t="s">
        <v>1270</v>
      </c>
      <c r="BZ1" s="893"/>
      <c r="CA1" s="861" t="s">
        <v>816</v>
      </c>
      <c r="CB1" s="861"/>
      <c r="CC1" s="859" t="s">
        <v>1244</v>
      </c>
      <c r="CD1" s="859"/>
      <c r="CE1" s="893" t="s">
        <v>1291</v>
      </c>
      <c r="CF1" s="893"/>
      <c r="CG1" s="861" t="s">
        <v>816</v>
      </c>
      <c r="CH1" s="861"/>
      <c r="CI1" s="859" t="s">
        <v>1248</v>
      </c>
      <c r="CJ1" s="859"/>
      <c r="CK1" s="893" t="s">
        <v>1307</v>
      </c>
      <c r="CL1" s="893"/>
      <c r="CM1" s="861" t="s">
        <v>816</v>
      </c>
      <c r="CN1" s="861"/>
      <c r="CO1" s="859" t="s">
        <v>1244</v>
      </c>
      <c r="CP1" s="859"/>
      <c r="CQ1" s="893" t="s">
        <v>1335</v>
      </c>
      <c r="CR1" s="893"/>
      <c r="CS1" s="884" t="s">
        <v>816</v>
      </c>
      <c r="CT1" s="884"/>
      <c r="CU1" s="859" t="s">
        <v>1391</v>
      </c>
      <c r="CV1" s="859"/>
      <c r="CW1" s="893" t="s">
        <v>1374</v>
      </c>
      <c r="CX1" s="893"/>
      <c r="CY1" s="884" t="s">
        <v>816</v>
      </c>
      <c r="CZ1" s="884"/>
      <c r="DA1" s="859" t="s">
        <v>1597</v>
      </c>
      <c r="DB1" s="859"/>
      <c r="DC1" s="893" t="s">
        <v>1394</v>
      </c>
      <c r="DD1" s="893"/>
      <c r="DE1" s="884" t="s">
        <v>816</v>
      </c>
      <c r="DF1" s="884"/>
      <c r="DG1" s="859" t="s">
        <v>1491</v>
      </c>
      <c r="DH1" s="859"/>
      <c r="DI1" s="893" t="s">
        <v>1594</v>
      </c>
      <c r="DJ1" s="893"/>
      <c r="DK1" s="884" t="s">
        <v>816</v>
      </c>
      <c r="DL1" s="884"/>
      <c r="DM1" s="859" t="s">
        <v>1391</v>
      </c>
      <c r="DN1" s="859"/>
      <c r="DO1" s="893" t="s">
        <v>1595</v>
      </c>
      <c r="DP1" s="893"/>
      <c r="DQ1" s="884" t="s">
        <v>816</v>
      </c>
      <c r="DR1" s="884"/>
      <c r="DS1" s="859" t="s">
        <v>1590</v>
      </c>
      <c r="DT1" s="859"/>
      <c r="DU1" s="893" t="s">
        <v>1596</v>
      </c>
      <c r="DV1" s="893"/>
      <c r="DW1" s="884" t="s">
        <v>816</v>
      </c>
      <c r="DX1" s="884"/>
      <c r="DY1" s="859" t="s">
        <v>1616</v>
      </c>
      <c r="DZ1" s="859"/>
      <c r="EA1" s="883" t="s">
        <v>1611</v>
      </c>
      <c r="EB1" s="883"/>
      <c r="EC1" s="884" t="s">
        <v>816</v>
      </c>
      <c r="ED1" s="884"/>
      <c r="EE1" s="859" t="s">
        <v>1590</v>
      </c>
      <c r="EF1" s="859"/>
      <c r="EG1" s="361"/>
      <c r="EH1" s="883" t="s">
        <v>1641</v>
      </c>
      <c r="EI1" s="883"/>
      <c r="EJ1" s="884" t="s">
        <v>816</v>
      </c>
      <c r="EK1" s="884"/>
      <c r="EL1" s="859" t="s">
        <v>1675</v>
      </c>
      <c r="EM1" s="859"/>
      <c r="EN1" s="883" t="s">
        <v>1666</v>
      </c>
      <c r="EO1" s="883"/>
      <c r="EP1" s="884" t="s">
        <v>816</v>
      </c>
      <c r="EQ1" s="884"/>
      <c r="ER1" s="859" t="s">
        <v>1715</v>
      </c>
      <c r="ES1" s="859"/>
      <c r="ET1" s="883" t="s">
        <v>1708</v>
      </c>
      <c r="EU1" s="883"/>
      <c r="EV1" s="884" t="s">
        <v>816</v>
      </c>
      <c r="EW1" s="884"/>
      <c r="EX1" s="859" t="s">
        <v>1616</v>
      </c>
      <c r="EY1" s="859"/>
      <c r="EZ1" s="883" t="s">
        <v>1743</v>
      </c>
      <c r="FA1" s="883"/>
      <c r="FB1" s="884" t="s">
        <v>816</v>
      </c>
      <c r="FC1" s="884"/>
      <c r="FD1" s="859" t="s">
        <v>1597</v>
      </c>
      <c r="FE1" s="859"/>
      <c r="FF1" s="883" t="s">
        <v>1782</v>
      </c>
      <c r="FG1" s="883"/>
      <c r="FH1" s="884" t="s">
        <v>816</v>
      </c>
      <c r="FI1" s="884"/>
      <c r="FJ1" s="859" t="s">
        <v>1391</v>
      </c>
      <c r="FK1" s="859"/>
      <c r="FL1" s="883" t="s">
        <v>1817</v>
      </c>
      <c r="FM1" s="883"/>
      <c r="FN1" s="884" t="s">
        <v>816</v>
      </c>
      <c r="FO1" s="884"/>
      <c r="FP1" s="859" t="s">
        <v>1864</v>
      </c>
      <c r="FQ1" s="859"/>
      <c r="FR1" s="883" t="s">
        <v>1853</v>
      </c>
      <c r="FS1" s="883"/>
      <c r="FT1" s="884" t="s">
        <v>816</v>
      </c>
      <c r="FU1" s="884"/>
      <c r="FV1" s="859" t="s">
        <v>1864</v>
      </c>
      <c r="FW1" s="859"/>
      <c r="FX1" s="883" t="s">
        <v>1996</v>
      </c>
      <c r="FY1" s="883"/>
      <c r="FZ1" s="884" t="s">
        <v>816</v>
      </c>
      <c r="GA1" s="884"/>
      <c r="GB1" s="859" t="s">
        <v>1616</v>
      </c>
      <c r="GC1" s="859"/>
      <c r="GD1" s="883" t="s">
        <v>1997</v>
      </c>
      <c r="GE1" s="883"/>
      <c r="GF1" s="884" t="s">
        <v>816</v>
      </c>
      <c r="GG1" s="884"/>
      <c r="GH1" s="859" t="s">
        <v>1590</v>
      </c>
      <c r="GI1" s="859"/>
      <c r="GJ1" s="883" t="s">
        <v>2006</v>
      </c>
      <c r="GK1" s="883"/>
      <c r="GL1" s="884" t="s">
        <v>816</v>
      </c>
      <c r="GM1" s="884"/>
      <c r="GN1" s="859" t="s">
        <v>1590</v>
      </c>
      <c r="GO1" s="859"/>
      <c r="GP1" s="883" t="s">
        <v>2048</v>
      </c>
      <c r="GQ1" s="883"/>
      <c r="GR1" s="884" t="s">
        <v>816</v>
      </c>
      <c r="GS1" s="884"/>
      <c r="GT1" s="859" t="s">
        <v>1675</v>
      </c>
      <c r="GU1" s="859"/>
      <c r="GV1" s="883" t="s">
        <v>2082</v>
      </c>
      <c r="GW1" s="883"/>
      <c r="GX1" s="884" t="s">
        <v>816</v>
      </c>
      <c r="GY1" s="884"/>
      <c r="GZ1" s="859" t="s">
        <v>2121</v>
      </c>
      <c r="HA1" s="859"/>
      <c r="HB1" s="883" t="s">
        <v>2141</v>
      </c>
      <c r="HC1" s="883"/>
      <c r="HD1" s="884" t="s">
        <v>816</v>
      </c>
      <c r="HE1" s="884"/>
      <c r="HF1" s="859" t="s">
        <v>1715</v>
      </c>
      <c r="HG1" s="859"/>
      <c r="HH1" s="883" t="s">
        <v>2154</v>
      </c>
      <c r="HI1" s="883"/>
      <c r="HJ1" s="884" t="s">
        <v>816</v>
      </c>
      <c r="HK1" s="884"/>
      <c r="HL1" s="859" t="s">
        <v>1391</v>
      </c>
      <c r="HM1" s="859"/>
      <c r="HN1" s="883" t="s">
        <v>2200</v>
      </c>
      <c r="HO1" s="883"/>
      <c r="HP1" s="884" t="s">
        <v>816</v>
      </c>
      <c r="HQ1" s="884"/>
      <c r="HR1" s="859" t="s">
        <v>1391</v>
      </c>
      <c r="HS1" s="859"/>
      <c r="HT1" s="883" t="s">
        <v>2242</v>
      </c>
      <c r="HU1" s="883"/>
      <c r="HV1" s="884" t="s">
        <v>816</v>
      </c>
      <c r="HW1" s="884"/>
      <c r="HX1" s="859" t="s">
        <v>1616</v>
      </c>
      <c r="HY1" s="859"/>
      <c r="HZ1" s="883" t="s">
        <v>2298</v>
      </c>
      <c r="IA1" s="883"/>
      <c r="IB1" s="884" t="s">
        <v>816</v>
      </c>
      <c r="IC1" s="884"/>
      <c r="ID1" s="859" t="s">
        <v>1715</v>
      </c>
      <c r="IE1" s="859"/>
      <c r="IF1" s="883" t="s">
        <v>2365</v>
      </c>
      <c r="IG1" s="883"/>
      <c r="IH1" s="884" t="s">
        <v>816</v>
      </c>
      <c r="II1" s="884"/>
      <c r="IJ1" s="859" t="s">
        <v>1590</v>
      </c>
      <c r="IK1" s="859"/>
      <c r="IL1" s="883" t="s">
        <v>2440</v>
      </c>
      <c r="IM1" s="883"/>
      <c r="IN1" s="884" t="s">
        <v>816</v>
      </c>
      <c r="IO1" s="884"/>
      <c r="IP1" s="859" t="s">
        <v>1616</v>
      </c>
      <c r="IQ1" s="859"/>
      <c r="IR1" s="883" t="s">
        <v>2655</v>
      </c>
      <c r="IS1" s="883"/>
      <c r="IT1" s="884" t="s">
        <v>816</v>
      </c>
      <c r="IU1" s="884"/>
      <c r="IV1" s="859" t="s">
        <v>1748</v>
      </c>
      <c r="IW1" s="859"/>
      <c r="IX1" s="883" t="s">
        <v>2654</v>
      </c>
      <c r="IY1" s="883"/>
      <c r="IZ1" s="884" t="s">
        <v>816</v>
      </c>
      <c r="JA1" s="884"/>
      <c r="JB1" s="859" t="s">
        <v>1864</v>
      </c>
      <c r="JC1" s="859"/>
      <c r="JD1" s="883" t="s">
        <v>2701</v>
      </c>
      <c r="JE1" s="883"/>
      <c r="JF1" s="884" t="s">
        <v>816</v>
      </c>
      <c r="JG1" s="884"/>
      <c r="JH1" s="859" t="s">
        <v>1748</v>
      </c>
      <c r="JI1" s="859"/>
      <c r="JJ1" s="883" t="s">
        <v>2764</v>
      </c>
      <c r="JK1" s="883"/>
      <c r="JL1" s="713" t="s">
        <v>816</v>
      </c>
      <c r="JM1" s="713"/>
      <c r="JN1" s="710" t="s">
        <v>1748</v>
      </c>
      <c r="JO1" s="710"/>
      <c r="JP1" s="712" t="s">
        <v>2821</v>
      </c>
      <c r="JQ1" s="712"/>
      <c r="JR1" s="759" t="s">
        <v>816</v>
      </c>
      <c r="JS1" s="759"/>
      <c r="JT1" s="756" t="s">
        <v>1748</v>
      </c>
      <c r="JU1" s="756"/>
      <c r="JV1" s="758" t="s">
        <v>2879</v>
      </c>
      <c r="JW1" s="758"/>
      <c r="JX1" s="798" t="s">
        <v>816</v>
      </c>
      <c r="JY1" s="798"/>
      <c r="JZ1" s="795" t="s">
        <v>1748</v>
      </c>
      <c r="KA1" s="795"/>
      <c r="KB1" s="797" t="s">
        <v>2877</v>
      </c>
      <c r="KC1" s="797"/>
      <c r="KD1" s="580"/>
    </row>
    <row r="2" spans="1:291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SUM(JQ3:JQ33)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SUM(JY4:JY21)</f>
        <v>17583.009999999998</v>
      </c>
      <c r="JZ2" s="334" t="s">
        <v>296</v>
      </c>
      <c r="KA2" s="273">
        <f>JY2+JW2-KC2</f>
        <v>10841.469999999972</v>
      </c>
      <c r="KB2" s="796" t="s">
        <v>1911</v>
      </c>
      <c r="KC2" s="363">
        <f>SUM(KC3:KC26)</f>
        <v>308174.14</v>
      </c>
      <c r="KD2" s="606"/>
    </row>
    <row r="3" spans="1:291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2381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2381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2377</v>
      </c>
      <c r="HY3" s="273"/>
      <c r="HZ3" t="s">
        <v>2342</v>
      </c>
      <c r="IA3" s="363">
        <f>SUM(IA6:IA39)</f>
        <v>539306.65</v>
      </c>
      <c r="IB3" t="s">
        <v>633</v>
      </c>
      <c r="IC3" s="492">
        <v>15104.63</v>
      </c>
      <c r="ID3" s="334" t="s">
        <v>2381</v>
      </c>
      <c r="IE3" s="273">
        <f>IE2-IC26-IC27</f>
        <v>6802.6743333334671</v>
      </c>
      <c r="IF3" t="s">
        <v>2343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2343</v>
      </c>
      <c r="IM3" s="268">
        <f>$IA$6</f>
        <v>0</v>
      </c>
      <c r="IN3" t="s">
        <v>633</v>
      </c>
      <c r="IO3" s="541">
        <v>15104.63</v>
      </c>
      <c r="IP3" t="s">
        <v>2395</v>
      </c>
      <c r="IQ3" s="273">
        <f>IQ2-IO34-IO33</f>
        <v>5631.8933333332407</v>
      </c>
      <c r="IR3" t="s">
        <v>2343</v>
      </c>
      <c r="IS3" s="268">
        <f>$IA$6</f>
        <v>0</v>
      </c>
      <c r="IT3" s="570" t="s">
        <v>633</v>
      </c>
      <c r="IU3" s="541">
        <v>43151.3</v>
      </c>
      <c r="IV3" s="570" t="s">
        <v>2395</v>
      </c>
      <c r="IW3" s="273">
        <f>IW2-IU24-IU23</f>
        <v>5412.000333333297</v>
      </c>
      <c r="IX3" s="766"/>
      <c r="IY3" s="363"/>
      <c r="IZ3" s="654"/>
      <c r="JA3" s="492"/>
      <c r="JB3" s="616" t="s">
        <v>2395</v>
      </c>
      <c r="JC3" s="273">
        <f>JC2-JA30-JA29</f>
        <v>5095.8330000000415</v>
      </c>
      <c r="JD3" s="766"/>
      <c r="JE3" s="363"/>
      <c r="JG3" s="492"/>
      <c r="JH3" s="662" t="s">
        <v>2395</v>
      </c>
      <c r="JI3" s="273">
        <f>JI2-JG29-JG28</f>
        <v>5318.7558739726428</v>
      </c>
      <c r="JJ3" s="766"/>
      <c r="JK3" s="363"/>
      <c r="JM3" s="492"/>
      <c r="JN3" s="711" t="s">
        <v>2395</v>
      </c>
      <c r="JO3" s="273">
        <f>JO2-JM28-JM27</f>
        <v>7527.189000000023</v>
      </c>
      <c r="JP3" s="711" t="s">
        <v>2846</v>
      </c>
      <c r="JQ3" s="203">
        <f>$IA$6</f>
        <v>0</v>
      </c>
      <c r="JS3" s="492"/>
      <c r="JT3" s="757" t="s">
        <v>2395</v>
      </c>
      <c r="JU3" s="273">
        <f>JU2-JS26-JS25</f>
        <v>4220.0940000000155</v>
      </c>
      <c r="JV3" s="778" t="s">
        <v>2343</v>
      </c>
      <c r="JW3" s="203">
        <f>$IA$6</f>
        <v>0</v>
      </c>
      <c r="JY3" s="492"/>
      <c r="JZ3" s="796" t="s">
        <v>2395</v>
      </c>
      <c r="KA3" s="273">
        <f>KA2-JY31-JY30</f>
        <v>4863.2499999999727</v>
      </c>
      <c r="KB3" s="796" t="s">
        <v>2790</v>
      </c>
      <c r="KC3" s="268">
        <f>-71000-140000-135000</f>
        <v>-346000</v>
      </c>
      <c r="KD3" s="607"/>
    </row>
    <row r="4" spans="1:291" ht="12.75" customHeight="1" thickBot="1">
      <c r="A4" s="843" t="s">
        <v>991</v>
      </c>
      <c r="B4" s="843"/>
      <c r="E4" s="170" t="s">
        <v>233</v>
      </c>
      <c r="F4" s="174">
        <f>F3-F5</f>
        <v>17</v>
      </c>
      <c r="G4" s="843" t="s">
        <v>991</v>
      </c>
      <c r="H4" s="843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2382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2382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2381</v>
      </c>
      <c r="HY4" s="2">
        <f>HY2-HW25-HW24</f>
        <v>11602.456666666816</v>
      </c>
      <c r="HZ4" t="s">
        <v>2344</v>
      </c>
      <c r="IA4" s="363"/>
      <c r="IB4" t="s">
        <v>2348</v>
      </c>
      <c r="IC4" s="492">
        <v>-1437.02</v>
      </c>
      <c r="ID4" t="s">
        <v>2394</v>
      </c>
      <c r="IE4" s="273">
        <f>IE3-IE59</f>
        <v>3490.8843333334671</v>
      </c>
      <c r="IF4" s="1" t="s">
        <v>1630</v>
      </c>
      <c r="IG4" s="142">
        <v>-192</v>
      </c>
      <c r="IH4" t="s">
        <v>2424</v>
      </c>
      <c r="II4" s="492">
        <v>-1437.02</v>
      </c>
      <c r="IJ4" s="521" t="s">
        <v>2446</v>
      </c>
      <c r="IK4" s="273">
        <f>IK3-II45</f>
        <v>5752.8033333332605</v>
      </c>
      <c r="IL4" s="1" t="s">
        <v>2279</v>
      </c>
      <c r="IM4" s="272">
        <v>-75000</v>
      </c>
      <c r="IN4" t="s">
        <v>2424</v>
      </c>
      <c r="IO4" s="492">
        <v>-1437.02</v>
      </c>
      <c r="IP4" t="s">
        <v>1203</v>
      </c>
      <c r="IQ4" s="286">
        <f>IQ2-IQ5</f>
        <v>2.9699999999083957</v>
      </c>
      <c r="IR4" s="1" t="s">
        <v>2279</v>
      </c>
      <c r="IS4" s="272">
        <v>-75000</v>
      </c>
      <c r="IT4" s="608" t="s">
        <v>2658</v>
      </c>
      <c r="IU4" s="541">
        <v>-1437.02</v>
      </c>
      <c r="IV4" s="669" t="s">
        <v>2446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2446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2790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2790</v>
      </c>
      <c r="JW4" s="268">
        <f>$JQ$4</f>
        <v>-211000</v>
      </c>
      <c r="JX4" s="796" t="s">
        <v>633</v>
      </c>
      <c r="JY4" s="541">
        <v>17271.3</v>
      </c>
      <c r="JZ4" s="796" t="s">
        <v>1203</v>
      </c>
      <c r="KA4" s="286">
        <f>KA2-KA5</f>
        <v>3.338568717626913</v>
      </c>
      <c r="KB4" s="801" t="s">
        <v>2672</v>
      </c>
      <c r="KC4" s="442">
        <v>-77000</v>
      </c>
      <c r="KD4" s="607"/>
    </row>
    <row r="5" spans="1:291">
      <c r="A5" s="843"/>
      <c r="B5" s="843"/>
      <c r="E5" s="170" t="s">
        <v>352</v>
      </c>
      <c r="F5" s="174">
        <f>SUM(F15:F58)</f>
        <v>12750</v>
      </c>
      <c r="G5" s="843"/>
      <c r="H5" s="843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2224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2230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2349</v>
      </c>
      <c r="HW5" s="52">
        <v>-1437.02</v>
      </c>
      <c r="HX5" t="s">
        <v>2378</v>
      </c>
      <c r="HY5" s="273">
        <f>HY4-HY55</f>
        <v>4272.9566666668161</v>
      </c>
      <c r="HZ5" t="s">
        <v>2345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2417</v>
      </c>
      <c r="II5" s="492">
        <v>100</v>
      </c>
      <c r="IJ5" t="s">
        <v>1203</v>
      </c>
      <c r="IK5" s="286">
        <f>IK2-IK6</f>
        <v>1.0099999999274587</v>
      </c>
      <c r="IL5" s="523" t="s">
        <v>2400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2400</v>
      </c>
      <c r="IS5" s="2">
        <v>0</v>
      </c>
      <c r="IT5" s="654" t="s">
        <v>2601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2343</v>
      </c>
      <c r="IY5" s="268">
        <f>$IA$6</f>
        <v>0</v>
      </c>
      <c r="IZ5" s="616" t="s">
        <v>2658</v>
      </c>
      <c r="JA5" s="541">
        <v>-71</v>
      </c>
      <c r="JB5" s="616" t="s">
        <v>1203</v>
      </c>
      <c r="JC5" s="286">
        <f>JC2-JC6</f>
        <v>-3.9079999999557913</v>
      </c>
      <c r="JD5" s="616" t="s">
        <v>2343</v>
      </c>
      <c r="JE5" s="268">
        <f>$IA$6</f>
        <v>0</v>
      </c>
      <c r="JF5" s="662" t="s">
        <v>2658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2343</v>
      </c>
      <c r="JK5" s="203">
        <f>$IA$6</f>
        <v>0</v>
      </c>
      <c r="JL5" s="711" t="s">
        <v>2601</v>
      </c>
      <c r="JM5" s="492">
        <v>-1400</v>
      </c>
      <c r="JN5" s="711" t="s">
        <v>352</v>
      </c>
      <c r="JO5" s="273">
        <f>SUM(JO6:JO51)</f>
        <v>126905.181</v>
      </c>
      <c r="JP5" s="717" t="s">
        <v>2672</v>
      </c>
      <c r="JQ5" s="442">
        <v>-80000</v>
      </c>
      <c r="JR5" s="779" t="s">
        <v>2848</v>
      </c>
      <c r="JS5" s="541">
        <v>-30</v>
      </c>
      <c r="JT5" s="757" t="s">
        <v>352</v>
      </c>
      <c r="JU5" s="273">
        <f>SUM(JU6:JU50)</f>
        <v>13510.48</v>
      </c>
      <c r="JV5" s="762" t="s">
        <v>2672</v>
      </c>
      <c r="JW5" s="442">
        <v>-77000</v>
      </c>
      <c r="JX5" s="796" t="s">
        <v>2848</v>
      </c>
      <c r="JY5" s="541">
        <v>-30</v>
      </c>
      <c r="JZ5" s="796" t="s">
        <v>352</v>
      </c>
      <c r="KA5" s="273">
        <f>SUM(KA6:KA58)</f>
        <v>10838.131431282345</v>
      </c>
      <c r="KB5" s="800" t="s">
        <v>2671</v>
      </c>
      <c r="KC5" s="268">
        <v>-4000</v>
      </c>
      <c r="KD5" s="607"/>
    </row>
    <row r="6" spans="1:291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2224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2224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2224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2209</v>
      </c>
      <c r="HU6" s="422">
        <f>HO6+HT7</f>
        <v>-70000</v>
      </c>
      <c r="HV6" t="s">
        <v>2273</v>
      </c>
      <c r="HW6" s="52">
        <v>679999</v>
      </c>
      <c r="HX6" t="s">
        <v>1203</v>
      </c>
      <c r="HY6" s="286">
        <f>HY2-HY7</f>
        <v>0.61000000010244548</v>
      </c>
      <c r="HZ6" t="s">
        <v>2343</v>
      </c>
      <c r="IA6" s="203">
        <v>0</v>
      </c>
      <c r="IB6" t="s">
        <v>2323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2438</v>
      </c>
      <c r="II6" s="492">
        <v>150</v>
      </c>
      <c r="IJ6" t="s">
        <v>352</v>
      </c>
      <c r="IK6" s="273">
        <f>SUM(IK7:IK61)</f>
        <v>13099.409999999998</v>
      </c>
      <c r="IL6" t="s">
        <v>2421</v>
      </c>
      <c r="IM6" s="268">
        <v>235000</v>
      </c>
      <c r="IO6" s="492"/>
      <c r="IP6" s="351" t="s">
        <v>2456</v>
      </c>
      <c r="IQ6" s="61">
        <v>26</v>
      </c>
      <c r="IR6" t="s">
        <v>2421</v>
      </c>
      <c r="IS6" s="268">
        <v>305005</v>
      </c>
      <c r="IT6" s="570" t="s">
        <v>2673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2605</v>
      </c>
      <c r="IY6" s="611">
        <v>0.13300000000000001</v>
      </c>
      <c r="IZ6" s="616" t="s">
        <v>2601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2790</v>
      </c>
      <c r="JE6" s="268">
        <f>-140000-71000</f>
        <v>-211000</v>
      </c>
      <c r="JF6" s="662" t="s">
        <v>2601</v>
      </c>
      <c r="JG6" s="492">
        <v>-1401</v>
      </c>
      <c r="JH6" s="192" t="s">
        <v>2729</v>
      </c>
      <c r="JI6" s="580">
        <v>2000.06</v>
      </c>
      <c r="JJ6" s="733" t="s">
        <v>2790</v>
      </c>
      <c r="JK6" s="268">
        <v>-71000</v>
      </c>
      <c r="JM6" s="492"/>
      <c r="JN6" s="192" t="s">
        <v>2781</v>
      </c>
      <c r="JO6" s="580">
        <v>1000.07</v>
      </c>
      <c r="JP6" s="718" t="s">
        <v>2671</v>
      </c>
      <c r="JQ6" s="268">
        <v>-4000</v>
      </c>
      <c r="JR6" s="757" t="s">
        <v>2658</v>
      </c>
      <c r="JS6" s="541" t="s">
        <v>2836</v>
      </c>
      <c r="JT6" s="821" t="s">
        <v>2841</v>
      </c>
      <c r="JU6" s="61">
        <v>2000</v>
      </c>
      <c r="JV6" s="763" t="s">
        <v>2671</v>
      </c>
      <c r="JW6" s="268">
        <v>-4000</v>
      </c>
      <c r="JX6" s="796" t="s">
        <v>2658</v>
      </c>
      <c r="JY6" s="541"/>
      <c r="JZ6" s="821" t="s">
        <v>2781</v>
      </c>
      <c r="KA6" s="61">
        <v>1000.08</v>
      </c>
      <c r="KB6" s="796" t="s">
        <v>2806</v>
      </c>
      <c r="KC6" s="268">
        <v>631008</v>
      </c>
      <c r="KD6" s="606">
        <v>45122</v>
      </c>
    </row>
    <row r="7" spans="1:291" ht="13.8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2241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2210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2341</v>
      </c>
      <c r="IG7" s="359">
        <v>-8</v>
      </c>
      <c r="IH7" t="s">
        <v>2474</v>
      </c>
      <c r="II7" s="492">
        <v>2.27</v>
      </c>
      <c r="IJ7" s="351" t="s">
        <v>2396</v>
      </c>
      <c r="IK7">
        <v>15</v>
      </c>
      <c r="IL7" s="1" t="s">
        <v>1630</v>
      </c>
      <c r="IM7" s="142">
        <v>-2488</v>
      </c>
      <c r="IN7" t="s">
        <v>2525</v>
      </c>
      <c r="IO7" s="492"/>
      <c r="IP7" s="351" t="s">
        <v>2493</v>
      </c>
      <c r="IQ7" s="61">
        <v>17</v>
      </c>
      <c r="IR7" s="320" t="s">
        <v>2464</v>
      </c>
      <c r="IS7" s="581">
        <v>0</v>
      </c>
      <c r="IT7" s="570" t="s">
        <v>2594</v>
      </c>
      <c r="IU7" s="492">
        <v>100</v>
      </c>
      <c r="IV7" s="351" t="s">
        <v>2456</v>
      </c>
      <c r="IW7" s="61">
        <v>11</v>
      </c>
      <c r="IX7" s="658" t="s">
        <v>2672</v>
      </c>
      <c r="IY7" s="272">
        <v>-75000</v>
      </c>
      <c r="IZ7" s="654" t="s">
        <v>2673</v>
      </c>
      <c r="JA7" s="492">
        <v>-30</v>
      </c>
      <c r="JB7" s="192" t="s">
        <v>1002</v>
      </c>
      <c r="JC7" s="61">
        <v>1900.03</v>
      </c>
      <c r="JD7" s="619" t="s">
        <v>2672</v>
      </c>
      <c r="JE7" s="272">
        <v>-75000</v>
      </c>
      <c r="JG7" s="492"/>
      <c r="JH7" s="192" t="s">
        <v>1002</v>
      </c>
      <c r="JI7" s="61">
        <v>1900.04</v>
      </c>
      <c r="JJ7" s="665" t="s">
        <v>2672</v>
      </c>
      <c r="JK7" s="272">
        <v>-75000</v>
      </c>
      <c r="JL7" s="711" t="s">
        <v>2525</v>
      </c>
      <c r="JM7" s="492"/>
      <c r="JN7" s="192" t="s">
        <v>1002</v>
      </c>
      <c r="JO7" s="61">
        <v>1900.05</v>
      </c>
      <c r="JP7" s="254" t="s">
        <v>2603</v>
      </c>
      <c r="JQ7" s="2">
        <f>100*(330+310)</f>
        <v>64000</v>
      </c>
      <c r="JR7" s="779" t="s">
        <v>2870</v>
      </c>
      <c r="JS7" s="541">
        <v>236.43</v>
      </c>
      <c r="JT7" s="821" t="s">
        <v>1002</v>
      </c>
      <c r="JU7" s="580">
        <v>1900.06</v>
      </c>
      <c r="JV7" s="757" t="s">
        <v>2806</v>
      </c>
      <c r="JW7" s="268">
        <v>585077</v>
      </c>
      <c r="JX7" s="796" t="s">
        <v>2890</v>
      </c>
      <c r="JY7" s="541">
        <v>60</v>
      </c>
      <c r="JZ7" s="821" t="s">
        <v>1002</v>
      </c>
      <c r="KA7" s="580">
        <v>1900.07</v>
      </c>
      <c r="KB7" s="320" t="s">
        <v>2464</v>
      </c>
      <c r="KC7" s="403">
        <v>0.14000000000000001</v>
      </c>
      <c r="KD7" s="606">
        <v>45120</v>
      </c>
      <c r="KE7" s="268"/>
    </row>
    <row r="8" spans="1:291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2251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2324</v>
      </c>
      <c r="IC8" s="492"/>
      <c r="ID8" s="389" t="s">
        <v>2310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2480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2592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2671</v>
      </c>
      <c r="IY8" s="268">
        <v>-4000</v>
      </c>
      <c r="IZ8" s="668"/>
      <c r="JA8" s="492"/>
      <c r="JB8" s="389" t="s">
        <v>2681</v>
      </c>
      <c r="JC8" s="61">
        <v>300.27999999999997</v>
      </c>
      <c r="JD8" s="620" t="s">
        <v>2671</v>
      </c>
      <c r="JE8" s="268">
        <v>-4000</v>
      </c>
      <c r="JF8" s="662" t="s">
        <v>2525</v>
      </c>
      <c r="JG8" s="492"/>
      <c r="JH8" s="389" t="s">
        <v>2747</v>
      </c>
      <c r="JI8" s="61">
        <v>327.74</v>
      </c>
      <c r="JJ8" s="666" t="s">
        <v>2671</v>
      </c>
      <c r="JK8" s="268">
        <v>-4000</v>
      </c>
      <c r="JL8" s="609" t="s">
        <v>2769</v>
      </c>
      <c r="JM8" s="711">
        <v>2.5</v>
      </c>
      <c r="JN8" s="389" t="s">
        <v>2809</v>
      </c>
      <c r="JO8" s="61">
        <v>48.69</v>
      </c>
      <c r="JP8" s="711" t="s">
        <v>2806</v>
      </c>
      <c r="JQ8" s="268">
        <v>515008</v>
      </c>
      <c r="JR8" s="757" t="s">
        <v>2525</v>
      </c>
      <c r="JS8" s="492"/>
      <c r="JT8" s="389" t="s">
        <v>2111</v>
      </c>
      <c r="JU8" s="61">
        <v>1476</v>
      </c>
      <c r="JV8" s="320" t="s">
        <v>2464</v>
      </c>
      <c r="JW8" s="359">
        <v>61</v>
      </c>
      <c r="JY8" s="494"/>
      <c r="JZ8" s="389" t="s">
        <v>2888</v>
      </c>
      <c r="KA8" s="61"/>
      <c r="KB8" s="205" t="s">
        <v>2910</v>
      </c>
      <c r="KC8" s="359">
        <v>0</v>
      </c>
      <c r="KD8" s="606"/>
    </row>
    <row r="9" spans="1:291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2222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2232</v>
      </c>
      <c r="HS9">
        <v>807.85</v>
      </c>
      <c r="HT9" s="6" t="s">
        <v>1983</v>
      </c>
      <c r="HU9" s="359">
        <v>0</v>
      </c>
      <c r="HV9" t="s">
        <v>2276</v>
      </c>
      <c r="HW9" s="52">
        <v>2.0299999999999998</v>
      </c>
      <c r="HX9" s="346" t="s">
        <v>2339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2340</v>
      </c>
      <c r="IE9">
        <v>32.1</v>
      </c>
      <c r="IF9" s="66" t="s">
        <v>1505</v>
      </c>
      <c r="IG9" s="2">
        <v>817</v>
      </c>
      <c r="IH9" t="s">
        <v>2408</v>
      </c>
      <c r="IJ9" s="516" t="s">
        <v>2384</v>
      </c>
      <c r="IK9" s="344">
        <f>6+5+3+10+7</f>
        <v>31</v>
      </c>
      <c r="IL9" s="320" t="s">
        <v>1631</v>
      </c>
      <c r="IM9" s="403">
        <v>0.08</v>
      </c>
      <c r="IN9" t="s">
        <v>2526</v>
      </c>
      <c r="IO9">
        <f>9.9+76.9</f>
        <v>86.800000000000011</v>
      </c>
      <c r="IP9" s="351" t="s">
        <v>2488</v>
      </c>
      <c r="IQ9" s="61">
        <v>2000</v>
      </c>
      <c r="IR9" s="6" t="s">
        <v>2524</v>
      </c>
      <c r="IS9" s="359">
        <v>116</v>
      </c>
      <c r="IU9" s="492"/>
      <c r="IV9" s="351" t="s">
        <v>2591</v>
      </c>
      <c r="IW9" s="61">
        <v>2000</v>
      </c>
      <c r="IX9" s="254" t="s">
        <v>2603</v>
      </c>
      <c r="IY9" s="2">
        <f>100*(120+1000+330+310)</f>
        <v>176000</v>
      </c>
      <c r="IZ9" s="661" t="s">
        <v>2692</v>
      </c>
      <c r="JA9" s="492">
        <f>544.23-533.02</f>
        <v>11.210000000000036</v>
      </c>
      <c r="JB9" s="389" t="s">
        <v>2706</v>
      </c>
      <c r="JC9" s="61">
        <v>600</v>
      </c>
      <c r="JD9" s="254" t="s">
        <v>2603</v>
      </c>
      <c r="JE9" s="2">
        <f>100*(120+1000+330+310)</f>
        <v>176000</v>
      </c>
      <c r="JF9" s="609" t="s">
        <v>2766</v>
      </c>
      <c r="JH9" s="346" t="s">
        <v>2755</v>
      </c>
      <c r="JI9" s="61">
        <v>1954.8</v>
      </c>
      <c r="JJ9" s="254" t="s">
        <v>2603</v>
      </c>
      <c r="JK9" s="2">
        <f>100*(120+1000+330+310)</f>
        <v>176000</v>
      </c>
      <c r="JL9" s="711" t="s">
        <v>2812</v>
      </c>
      <c r="JM9" s="711">
        <v>4.09</v>
      </c>
      <c r="JN9" s="389" t="s">
        <v>2771</v>
      </c>
      <c r="JO9" s="61">
        <v>127.14</v>
      </c>
      <c r="JP9" s="320" t="s">
        <v>2464</v>
      </c>
      <c r="JQ9" s="359">
        <v>31</v>
      </c>
      <c r="JR9" s="609" t="s">
        <v>2855</v>
      </c>
      <c r="JS9" s="757">
        <v>2.33</v>
      </c>
      <c r="JT9" s="346" t="s">
        <v>2894</v>
      </c>
      <c r="JU9" s="61">
        <v>10</v>
      </c>
      <c r="JV9" s="205" t="s">
        <v>2844</v>
      </c>
      <c r="JW9" s="84">
        <v>0</v>
      </c>
      <c r="JX9" s="796" t="s">
        <v>2525</v>
      </c>
      <c r="JY9" s="492"/>
      <c r="JZ9" s="346" t="s">
        <v>1814</v>
      </c>
      <c r="KA9" s="61">
        <v>67.23</v>
      </c>
      <c r="KB9" s="801" t="s">
        <v>1630</v>
      </c>
      <c r="KC9" s="442">
        <v>-948</v>
      </c>
      <c r="KD9" s="606">
        <v>45121</v>
      </c>
    </row>
    <row r="10" spans="1:291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2223</v>
      </c>
      <c r="HQ10">
        <v>75.06</v>
      </c>
      <c r="HR10" s="245" t="s">
        <v>2243</v>
      </c>
      <c r="HS10">
        <v>100</v>
      </c>
      <c r="HT10" s="6" t="s">
        <v>1894</v>
      </c>
      <c r="HU10" s="359">
        <v>14.67</v>
      </c>
      <c r="HW10" s="242"/>
      <c r="HX10" s="245" t="s">
        <v>2243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2333</v>
      </c>
      <c r="IE10" s="2">
        <f>11000+300</f>
        <v>11300</v>
      </c>
      <c r="IF10" s="66" t="s">
        <v>1506</v>
      </c>
      <c r="IG10" s="2">
        <v>1463</v>
      </c>
      <c r="IH10" t="s">
        <v>2376</v>
      </c>
      <c r="II10">
        <v>10</v>
      </c>
      <c r="IJ10" s="389" t="s">
        <v>2419</v>
      </c>
      <c r="IK10" s="344">
        <v>3179</v>
      </c>
      <c r="IL10" s="6" t="s">
        <v>2341</v>
      </c>
      <c r="IM10" s="359">
        <v>35</v>
      </c>
      <c r="IN10" s="9" t="s">
        <v>2531</v>
      </c>
      <c r="IO10" s="562">
        <v>46.26</v>
      </c>
      <c r="IP10" s="346" t="s">
        <v>2459</v>
      </c>
      <c r="IQ10" s="533">
        <v>210.89</v>
      </c>
      <c r="IR10" s="6" t="s">
        <v>1838</v>
      </c>
      <c r="IS10" s="517">
        <v>2500</v>
      </c>
      <c r="IT10" s="570" t="s">
        <v>2525</v>
      </c>
      <c r="IU10" s="492"/>
      <c r="IV10" s="389" t="s">
        <v>2667</v>
      </c>
      <c r="IW10" s="532">
        <v>2000</v>
      </c>
      <c r="IX10" s="570" t="s">
        <v>2421</v>
      </c>
      <c r="IY10" s="268">
        <v>360000</v>
      </c>
      <c r="JA10" s="492"/>
      <c r="JB10" s="389" t="s">
        <v>2707</v>
      </c>
      <c r="JC10" s="532">
        <v>454.04</v>
      </c>
      <c r="JD10" s="616" t="s">
        <v>2421</v>
      </c>
      <c r="JE10" s="268">
        <v>590000</v>
      </c>
      <c r="JH10" s="346" t="s">
        <v>2016</v>
      </c>
      <c r="JI10" s="61">
        <v>58.77</v>
      </c>
      <c r="JJ10" s="662" t="s">
        <v>2421</v>
      </c>
      <c r="JK10" s="359">
        <v>0</v>
      </c>
      <c r="JL10" s="711" t="s">
        <v>2409</v>
      </c>
      <c r="JM10" s="514"/>
      <c r="JN10" s="346" t="s">
        <v>2800</v>
      </c>
      <c r="JO10" s="61">
        <f>259.2+410.4</f>
        <v>669.59999999999991</v>
      </c>
      <c r="JP10" s="717" t="s">
        <v>1630</v>
      </c>
      <c r="JQ10" s="442">
        <v>-1063</v>
      </c>
      <c r="JR10" s="609" t="s">
        <v>2867</v>
      </c>
      <c r="JS10" s="779">
        <v>3.4</v>
      </c>
      <c r="JT10" s="346" t="s">
        <v>2880</v>
      </c>
      <c r="JU10" s="533">
        <v>5.38</v>
      </c>
      <c r="JV10" s="777" t="s">
        <v>1630</v>
      </c>
      <c r="JW10" s="442">
        <v>-123</v>
      </c>
      <c r="JX10" s="609"/>
      <c r="JZ10" s="346" t="s">
        <v>2942</v>
      </c>
      <c r="KA10" s="61">
        <v>2062.8000000000002</v>
      </c>
      <c r="KB10" s="799" t="s">
        <v>2791</v>
      </c>
      <c r="KC10" s="841">
        <v>2600</v>
      </c>
      <c r="KD10" s="606"/>
      <c r="KE10" s="442"/>
    </row>
    <row r="11" spans="1:291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2246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2281</v>
      </c>
      <c r="HY11">
        <f>1000+1000+1000</f>
        <v>3000</v>
      </c>
      <c r="HZ11" s="6" t="s">
        <v>2220</v>
      </c>
      <c r="IA11" s="359">
        <v>-10</v>
      </c>
      <c r="IB11" t="s">
        <v>2350</v>
      </c>
      <c r="IC11" s="493">
        <v>12.88</v>
      </c>
      <c r="ID11" s="511" t="s">
        <v>2012</v>
      </c>
      <c r="IE11" s="272">
        <v>3000</v>
      </c>
      <c r="IF11" s="66" t="s">
        <v>2288</v>
      </c>
      <c r="IG11" s="268">
        <v>5794</v>
      </c>
      <c r="IH11" t="s">
        <v>2416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2532</v>
      </c>
      <c r="IO11" s="563">
        <v>10</v>
      </c>
      <c r="IP11" s="346" t="s">
        <v>2801</v>
      </c>
      <c r="IQ11" s="61">
        <f>406.6+487.92</f>
        <v>894.52</v>
      </c>
      <c r="IR11" s="66" t="s">
        <v>1505</v>
      </c>
      <c r="IS11" s="268">
        <v>364</v>
      </c>
      <c r="IT11" s="570" t="s">
        <v>2600</v>
      </c>
      <c r="IU11" s="492">
        <v>15.03</v>
      </c>
      <c r="IV11" s="389" t="s">
        <v>2595</v>
      </c>
      <c r="IW11" s="532">
        <v>135.25</v>
      </c>
      <c r="IX11" s="320" t="s">
        <v>2464</v>
      </c>
      <c r="IY11" s="581">
        <v>-49.87</v>
      </c>
      <c r="IZ11" s="616" t="s">
        <v>2525</v>
      </c>
      <c r="JA11" s="492"/>
      <c r="JB11" s="346" t="s">
        <v>2800</v>
      </c>
      <c r="JC11" s="61">
        <f>259.2+410.4</f>
        <v>669.59999999999991</v>
      </c>
      <c r="JD11" s="320" t="s">
        <v>2464</v>
      </c>
      <c r="JE11" s="581">
        <v>0</v>
      </c>
      <c r="JF11" s="662" t="s">
        <v>2409</v>
      </c>
      <c r="JG11" s="514"/>
      <c r="JH11" s="346" t="s">
        <v>2682</v>
      </c>
      <c r="JI11" s="61">
        <f>259.2+410.4</f>
        <v>669.59999999999991</v>
      </c>
      <c r="JJ11" s="320" t="s">
        <v>2464</v>
      </c>
      <c r="JK11" s="581">
        <v>-54</v>
      </c>
      <c r="JL11" s="711" t="s">
        <v>2163</v>
      </c>
      <c r="JM11" s="725">
        <v>52.000999999999998</v>
      </c>
      <c r="JN11" s="245" t="s">
        <v>2857</v>
      </c>
      <c r="JO11" s="492">
        <v>1396.9</v>
      </c>
      <c r="JP11" s="715" t="s">
        <v>2791</v>
      </c>
      <c r="JQ11" s="268">
        <v>2600</v>
      </c>
      <c r="JR11" s="609" t="s">
        <v>2886</v>
      </c>
      <c r="JS11" s="492">
        <v>1.21</v>
      </c>
      <c r="JT11" s="245" t="s">
        <v>2857</v>
      </c>
      <c r="JU11" s="492">
        <v>1371.77</v>
      </c>
      <c r="JV11" s="760" t="s">
        <v>2791</v>
      </c>
      <c r="JW11" s="268">
        <v>2600</v>
      </c>
      <c r="JX11" s="609"/>
      <c r="JZ11" s="346" t="s">
        <v>2682</v>
      </c>
      <c r="KA11" s="796">
        <f>259.2+410.4</f>
        <v>669.59999999999991</v>
      </c>
      <c r="KB11" s="800" t="s">
        <v>2792</v>
      </c>
      <c r="KC11" s="268">
        <v>605</v>
      </c>
      <c r="KD11" s="606">
        <v>45119</v>
      </c>
    </row>
    <row r="12" spans="1:291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2220</v>
      </c>
      <c r="HU12" s="359">
        <v>-808</v>
      </c>
      <c r="HV12" s="253" t="s">
        <v>2244</v>
      </c>
      <c r="HW12" s="52">
        <v>63.05</v>
      </c>
      <c r="HX12" s="245" t="s">
        <v>2265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2335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2393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2368</v>
      </c>
      <c r="IQ12" s="407">
        <f>IQ13*2</f>
        <v>1833.7466666666667</v>
      </c>
      <c r="IR12" s="66" t="s">
        <v>2490</v>
      </c>
      <c r="IS12" s="268">
        <v>803</v>
      </c>
      <c r="IT12" s="570" t="s">
        <v>2617</v>
      </c>
      <c r="IU12" s="570">
        <v>25.58</v>
      </c>
      <c r="IV12" s="389" t="s">
        <v>2567</v>
      </c>
      <c r="IW12" s="532">
        <v>378.81</v>
      </c>
      <c r="IX12" s="574" t="s">
        <v>1630</v>
      </c>
      <c r="IY12" s="580">
        <v>-997</v>
      </c>
      <c r="IZ12" s="616" t="s">
        <v>2657</v>
      </c>
      <c r="JA12" s="616">
        <v>30</v>
      </c>
      <c r="JB12" s="346" t="s">
        <v>2619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2748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2808</v>
      </c>
      <c r="JO12" s="492">
        <v>110000</v>
      </c>
      <c r="JP12" s="718" t="s">
        <v>2792</v>
      </c>
      <c r="JQ12" s="268">
        <v>682</v>
      </c>
      <c r="JR12" s="609" t="s">
        <v>2885</v>
      </c>
      <c r="JS12" s="804"/>
      <c r="JT12" s="245" t="s">
        <v>2858</v>
      </c>
      <c r="JU12" s="492">
        <v>1478.09</v>
      </c>
      <c r="JV12" s="763" t="s">
        <v>2792</v>
      </c>
      <c r="JW12" s="268">
        <v>800</v>
      </c>
      <c r="JX12" s="796" t="s">
        <v>2409</v>
      </c>
      <c r="JY12" s="514"/>
      <c r="JZ12" s="346" t="s">
        <v>2943</v>
      </c>
      <c r="KA12" s="837">
        <v>10</v>
      </c>
      <c r="KB12" s="800" t="s">
        <v>2793</v>
      </c>
      <c r="KC12" s="842">
        <v>371</v>
      </c>
      <c r="KD12" s="606">
        <v>45119</v>
      </c>
      <c r="KE12" s="268" t="s">
        <v>2945</v>
      </c>
    </row>
    <row r="13" spans="1:291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2326</v>
      </c>
      <c r="HW13" s="242">
        <v>14.49</v>
      </c>
      <c r="HX13" s="245" t="s">
        <v>2252</v>
      </c>
      <c r="HY13">
        <v>10.96</v>
      </c>
      <c r="HZ13" s="66" t="s">
        <v>1505</v>
      </c>
      <c r="IA13" s="142">
        <v>1075</v>
      </c>
      <c r="IB13" t="s">
        <v>2311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2373</v>
      </c>
      <c r="II13" s="514">
        <f>160+85</f>
        <v>245</v>
      </c>
      <c r="IJ13" s="346" t="s">
        <v>2443</v>
      </c>
      <c r="IK13">
        <f>139.5+131.4</f>
        <v>270.89999999999998</v>
      </c>
      <c r="IL13" s="66" t="s">
        <v>2405</v>
      </c>
      <c r="IM13" s="268">
        <v>869</v>
      </c>
      <c r="IN13" t="s">
        <v>2409</v>
      </c>
      <c r="IO13" s="514"/>
      <c r="IP13" s="345" t="s">
        <v>2537</v>
      </c>
      <c r="IQ13" s="407">
        <f>2750.62/3</f>
        <v>916.87333333333333</v>
      </c>
      <c r="IR13" s="254" t="s">
        <v>2541</v>
      </c>
      <c r="IS13" s="2">
        <v>142</v>
      </c>
      <c r="IV13" s="346" t="s">
        <v>2593</v>
      </c>
      <c r="IW13" s="533">
        <v>170</v>
      </c>
      <c r="IX13" s="572" t="s">
        <v>1838</v>
      </c>
      <c r="IY13" s="496">
        <v>2600</v>
      </c>
      <c r="JB13" s="660" t="s">
        <v>2691</v>
      </c>
      <c r="JC13" s="533">
        <f>80-40</f>
        <v>40</v>
      </c>
      <c r="JD13" s="617" t="s">
        <v>1838</v>
      </c>
      <c r="JE13" s="517">
        <v>2600</v>
      </c>
      <c r="JF13" s="662" t="s">
        <v>2922</v>
      </c>
      <c r="JG13" s="492">
        <v>22.41</v>
      </c>
      <c r="JH13" s="245" t="s">
        <v>2768</v>
      </c>
      <c r="JI13" s="720"/>
      <c r="JJ13" s="663" t="s">
        <v>1838</v>
      </c>
      <c r="JK13" s="268">
        <v>2600</v>
      </c>
      <c r="JL13" s="9" t="s">
        <v>2923</v>
      </c>
      <c r="JM13" s="726">
        <v>5.9</v>
      </c>
      <c r="JN13" s="245" t="s">
        <v>2828</v>
      </c>
      <c r="JO13" s="52">
        <f>JO14*4</f>
        <v>5080.7519999999995</v>
      </c>
      <c r="JP13" s="718" t="s">
        <v>2793</v>
      </c>
      <c r="JQ13" s="268">
        <v>895</v>
      </c>
      <c r="JR13" s="757" t="s">
        <v>2409</v>
      </c>
      <c r="JS13" s="514"/>
      <c r="JT13" s="245" t="s">
        <v>2615</v>
      </c>
      <c r="JU13" s="52">
        <f>JU14*4</f>
        <v>2540.3759999999997</v>
      </c>
      <c r="JV13" s="763" t="s">
        <v>2793</v>
      </c>
      <c r="JW13" s="268">
        <v>597</v>
      </c>
      <c r="JX13" s="796" t="s">
        <v>2163</v>
      </c>
      <c r="JY13" s="725">
        <f>55.87+0.96</f>
        <v>56.83</v>
      </c>
      <c r="JZ13" s="346" t="s">
        <v>2948</v>
      </c>
      <c r="KA13" s="796">
        <f>73.44/2</f>
        <v>36.72</v>
      </c>
      <c r="KB13" s="800" t="s">
        <v>2946</v>
      </c>
      <c r="KC13" s="268">
        <v>100441</v>
      </c>
      <c r="KD13" s="606">
        <v>45122</v>
      </c>
    </row>
    <row r="14" spans="1:291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2225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853" t="s">
        <v>2185</v>
      </c>
      <c r="HK14" s="853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2602</v>
      </c>
      <c r="HY14" s="2">
        <f>-IA6</f>
        <v>0</v>
      </c>
      <c r="HZ14" s="66" t="s">
        <v>1506</v>
      </c>
      <c r="IA14" s="142">
        <v>2028</v>
      </c>
      <c r="IB14" t="s">
        <v>2312</v>
      </c>
      <c r="IC14" s="492">
        <v>13.56</v>
      </c>
      <c r="ID14" s="512" t="s">
        <v>2369</v>
      </c>
      <c r="IE14" s="272">
        <v>2000</v>
      </c>
      <c r="IF14" s="66" t="s">
        <v>2202</v>
      </c>
      <c r="IG14" s="2">
        <v>1000</v>
      </c>
      <c r="II14" s="514"/>
      <c r="IJ14" s="245" t="s">
        <v>2243</v>
      </c>
      <c r="IK14">
        <v>100</v>
      </c>
      <c r="IL14" s="490" t="s">
        <v>2439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2463</v>
      </c>
      <c r="IS14" s="2" t="s">
        <v>2539</v>
      </c>
      <c r="IT14" s="570" t="s">
        <v>2409</v>
      </c>
      <c r="IU14" s="514"/>
      <c r="IV14" s="245" t="s">
        <v>2615</v>
      </c>
      <c r="IW14" s="2">
        <f>IW15*2</f>
        <v>2116.9666666666667</v>
      </c>
      <c r="IX14" s="573" t="s">
        <v>1505</v>
      </c>
      <c r="IY14" s="268">
        <v>983</v>
      </c>
      <c r="IZ14" s="616" t="s">
        <v>2409</v>
      </c>
      <c r="JA14" s="514"/>
      <c r="JB14" s="245" t="s">
        <v>2690</v>
      </c>
      <c r="JC14" s="644">
        <v>26.001000000000001</v>
      </c>
      <c r="JD14" s="620" t="s">
        <v>1505</v>
      </c>
      <c r="JE14" s="268">
        <v>635</v>
      </c>
      <c r="JF14" s="701" t="s">
        <v>2753</v>
      </c>
      <c r="JG14" s="492">
        <v>118.15</v>
      </c>
      <c r="JH14" s="245" t="s">
        <v>2807</v>
      </c>
      <c r="JI14" s="492">
        <v>1422.53</v>
      </c>
      <c r="JJ14" s="666" t="s">
        <v>1505</v>
      </c>
      <c r="JK14" s="268">
        <v>966</v>
      </c>
      <c r="JL14" s="9" t="s">
        <v>2924</v>
      </c>
      <c r="JM14" s="726"/>
      <c r="JN14" s="345" t="s">
        <v>2829</v>
      </c>
      <c r="JO14" s="52">
        <f>(3175.47/5)*2</f>
        <v>1270.1879999999999</v>
      </c>
      <c r="JP14" s="718" t="s">
        <v>2794</v>
      </c>
      <c r="JQ14" s="268">
        <v>76</v>
      </c>
      <c r="JR14" s="580" t="s">
        <v>2163</v>
      </c>
      <c r="JS14" s="725">
        <f>54.27+1.49</f>
        <v>55.760000000000005</v>
      </c>
      <c r="JT14" s="345" t="s">
        <v>2535</v>
      </c>
      <c r="JU14" s="52">
        <f>(3175.47/5)</f>
        <v>635.09399999999994</v>
      </c>
      <c r="JV14" s="763" t="s">
        <v>2794</v>
      </c>
      <c r="JW14" s="268">
        <v>561</v>
      </c>
      <c r="JX14" s="796" t="s">
        <v>1799</v>
      </c>
      <c r="JY14" s="725"/>
      <c r="JZ14" s="346" t="s">
        <v>2914</v>
      </c>
      <c r="KA14" s="61">
        <v>5.01</v>
      </c>
      <c r="KB14" s="254" t="s">
        <v>2795</v>
      </c>
      <c r="KC14" s="605"/>
      <c r="KD14" s="606"/>
      <c r="KE14" s="268"/>
    </row>
    <row r="15" spans="1:291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887" t="s">
        <v>1504</v>
      </c>
      <c r="DP15" s="888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2293</v>
      </c>
      <c r="HW15" s="52"/>
      <c r="HX15" s="245" t="s">
        <v>2299</v>
      </c>
      <c r="HY15" s="407">
        <f>HY16*5</f>
        <v>2104.9333333333334</v>
      </c>
      <c r="HZ15" s="66" t="s">
        <v>2288</v>
      </c>
      <c r="IA15" s="268">
        <v>442</v>
      </c>
      <c r="IB15" t="s">
        <v>2325</v>
      </c>
      <c r="IC15" s="492"/>
      <c r="ID15" s="513" t="s">
        <v>2370</v>
      </c>
      <c r="IE15" s="272">
        <v>4000</v>
      </c>
      <c r="IF15" s="66" t="s">
        <v>2317</v>
      </c>
      <c r="IG15" s="2">
        <f>12000+100000+33000</f>
        <v>145000</v>
      </c>
      <c r="IH15" t="s">
        <v>2409</v>
      </c>
      <c r="II15" s="492"/>
      <c r="IJ15" s="245" t="s">
        <v>2368</v>
      </c>
      <c r="IK15" s="407">
        <f>IK16*2</f>
        <v>1833.7466666666667</v>
      </c>
      <c r="IL15" s="66" t="s">
        <v>1898</v>
      </c>
      <c r="IM15" s="268">
        <v>450</v>
      </c>
      <c r="IN15" t="s">
        <v>2450</v>
      </c>
      <c r="IO15" s="492">
        <v>12.4</v>
      </c>
      <c r="IP15" s="345" t="s">
        <v>2334</v>
      </c>
      <c r="IQ15" s="534">
        <v>119.64</v>
      </c>
      <c r="IR15" s="254" t="s">
        <v>2448</v>
      </c>
      <c r="IS15" s="2">
        <f>100*(120+1000+330+310)</f>
        <v>176000</v>
      </c>
      <c r="IT15" s="570" t="s">
        <v>2599</v>
      </c>
      <c r="IU15" s="514">
        <v>43</v>
      </c>
      <c r="IV15" s="345" t="s">
        <v>2535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2698</v>
      </c>
      <c r="JG15" s="662">
        <f>6.24+2.24</f>
        <v>8.48</v>
      </c>
      <c r="JH15" s="388" t="s">
        <v>2749</v>
      </c>
      <c r="JI15" s="492">
        <v>155000</v>
      </c>
      <c r="JJ15" s="666" t="s">
        <v>1506</v>
      </c>
      <c r="JK15" s="268">
        <v>1556</v>
      </c>
      <c r="JL15" s="779" t="s">
        <v>2847</v>
      </c>
      <c r="JM15" s="510">
        <v>1.96</v>
      </c>
      <c r="JN15" s="345" t="s">
        <v>2550</v>
      </c>
      <c r="JO15" s="61">
        <v>53.91</v>
      </c>
      <c r="JP15" s="718" t="s">
        <v>2799</v>
      </c>
      <c r="JQ15" s="605">
        <v>2441</v>
      </c>
      <c r="JR15" s="771" t="s">
        <v>2842</v>
      </c>
      <c r="JS15" s="726">
        <v>200</v>
      </c>
      <c r="JT15" s="345" t="s">
        <v>2550</v>
      </c>
      <c r="JU15" s="61">
        <v>75.430000000000007</v>
      </c>
      <c r="JV15" s="763" t="s">
        <v>2799</v>
      </c>
      <c r="JW15" s="268">
        <v>2151</v>
      </c>
      <c r="JX15" s="9" t="s">
        <v>2677</v>
      </c>
      <c r="JY15" s="726"/>
      <c r="JZ15" s="346" t="s">
        <v>2915</v>
      </c>
      <c r="KA15" s="796">
        <v>10.87</v>
      </c>
      <c r="KB15" s="800" t="s">
        <v>2796</v>
      </c>
      <c r="KC15" s="268">
        <v>0</v>
      </c>
      <c r="KD15" s="606"/>
    </row>
    <row r="16" spans="1:291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2207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2289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2318</v>
      </c>
      <c r="IC16" s="498">
        <f>208.9*2</f>
        <v>417.8</v>
      </c>
      <c r="ID16" s="245" t="s">
        <v>2243</v>
      </c>
      <c r="IE16">
        <v>100</v>
      </c>
      <c r="IF16" s="66" t="s">
        <v>2316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2410</v>
      </c>
      <c r="IS16">
        <f>10502+14002</f>
        <v>24504</v>
      </c>
      <c r="IT16" s="9" t="s">
        <v>2677</v>
      </c>
      <c r="IU16" s="492">
        <v>7.57</v>
      </c>
      <c r="IV16" s="345" t="s">
        <v>2550</v>
      </c>
      <c r="IW16" s="61">
        <v>47.54</v>
      </c>
      <c r="IX16" s="573" t="s">
        <v>2544</v>
      </c>
      <c r="IY16" s="268">
        <v>24</v>
      </c>
      <c r="IZ16" s="732" t="s">
        <v>2785</v>
      </c>
      <c r="JA16" s="492">
        <v>16.05</v>
      </c>
      <c r="JB16" s="245" t="s">
        <v>2615</v>
      </c>
      <c r="JC16" s="52">
        <f>JC17*2</f>
        <v>2116.98</v>
      </c>
      <c r="JD16" s="620" t="s">
        <v>2688</v>
      </c>
      <c r="JE16" s="268">
        <v>89</v>
      </c>
      <c r="JF16" s="401" t="s">
        <v>2732</v>
      </c>
      <c r="JG16" s="510">
        <v>379.39</v>
      </c>
      <c r="JH16" s="345" t="s">
        <v>2761</v>
      </c>
      <c r="JI16" s="61" t="s">
        <v>657</v>
      </c>
      <c r="JJ16" s="666" t="s">
        <v>2688</v>
      </c>
      <c r="JK16" s="268">
        <v>4000</v>
      </c>
      <c r="JL16" s="711" t="s">
        <v>2851</v>
      </c>
      <c r="JM16" s="61">
        <f>25.72</f>
        <v>25.72</v>
      </c>
      <c r="JN16" s="345" t="s">
        <v>2704</v>
      </c>
      <c r="JO16" s="61">
        <v>23.96</v>
      </c>
      <c r="JP16" s="254" t="s">
        <v>2795</v>
      </c>
      <c r="JQ16" s="605"/>
      <c r="JR16" s="793" t="s">
        <v>2866</v>
      </c>
      <c r="JS16" s="726">
        <v>300</v>
      </c>
      <c r="JT16" s="345" t="s">
        <v>2704</v>
      </c>
      <c r="JU16" s="61">
        <v>129.6</v>
      </c>
      <c r="JV16" s="254" t="s">
        <v>2795</v>
      </c>
      <c r="JW16" s="605"/>
      <c r="JX16" s="9" t="s">
        <v>2941</v>
      </c>
      <c r="JY16" s="726">
        <f>1.29+1.15</f>
        <v>2.44</v>
      </c>
      <c r="JZ16" s="245" t="s">
        <v>2857</v>
      </c>
      <c r="KA16" s="492">
        <v>1347.2</v>
      </c>
      <c r="KB16" s="800" t="s">
        <v>2683</v>
      </c>
      <c r="KC16" s="268">
        <v>14</v>
      </c>
      <c r="KD16" s="606"/>
    </row>
    <row r="17" spans="1:290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2290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2322</v>
      </c>
      <c r="IC17" s="500">
        <v>835.6</v>
      </c>
      <c r="ID17" s="245" t="s">
        <v>2368</v>
      </c>
      <c r="IE17" s="407">
        <f>IE18*2</f>
        <v>1833.7466666666667</v>
      </c>
      <c r="IF17" s="66" t="s">
        <v>2352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2434</v>
      </c>
      <c r="IL17" s="66" t="s">
        <v>2202</v>
      </c>
      <c r="IM17" s="2">
        <v>4000</v>
      </c>
      <c r="IN17" t="s">
        <v>2462</v>
      </c>
      <c r="IO17" s="493">
        <f>149.59*2</f>
        <v>299.18</v>
      </c>
      <c r="IP17" s="345" t="s">
        <v>2187</v>
      </c>
      <c r="IQ17" s="61">
        <v>18</v>
      </c>
      <c r="IR17" s="490" t="s">
        <v>2465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2465</v>
      </c>
      <c r="IY17" s="242">
        <v>65005</v>
      </c>
      <c r="IZ17" s="643" t="s">
        <v>2698</v>
      </c>
      <c r="JA17" s="643">
        <f>5.9+2.12</f>
        <v>8.02</v>
      </c>
      <c r="JB17" s="345" t="s">
        <v>2535</v>
      </c>
      <c r="JC17" s="52">
        <f>3175.47/3</f>
        <v>1058.49</v>
      </c>
      <c r="JD17" s="490" t="s">
        <v>2465</v>
      </c>
      <c r="JE17" s="268">
        <v>65005</v>
      </c>
      <c r="JF17" s="401" t="s">
        <v>2733</v>
      </c>
      <c r="JG17" s="662">
        <v>442.61</v>
      </c>
      <c r="JH17" s="345" t="s">
        <v>2684</v>
      </c>
      <c r="JI17" s="61">
        <v>59.36</v>
      </c>
      <c r="JJ17" s="678" t="s">
        <v>2730</v>
      </c>
      <c r="JK17" s="268">
        <f>25000.29+90000.29+140000.29+10000</f>
        <v>265000.87</v>
      </c>
      <c r="JL17" s="779" t="s">
        <v>2852</v>
      </c>
      <c r="JM17" s="61">
        <f>180.39+64.94+57.72</f>
        <v>303.04999999999995</v>
      </c>
      <c r="JN17" s="345" t="s">
        <v>2705</v>
      </c>
      <c r="JO17" s="61">
        <v>30</v>
      </c>
      <c r="JP17" s="718" t="s">
        <v>2796</v>
      </c>
      <c r="JQ17" s="268">
        <v>0</v>
      </c>
      <c r="JR17" s="779" t="s">
        <v>2847</v>
      </c>
      <c r="JS17" s="726">
        <v>2.95</v>
      </c>
      <c r="JT17" s="345" t="s">
        <v>2882</v>
      </c>
      <c r="JU17" s="534">
        <v>131.6</v>
      </c>
      <c r="JV17" s="763" t="s">
        <v>2796</v>
      </c>
      <c r="JW17" s="268">
        <v>0</v>
      </c>
      <c r="JX17" s="9" t="s">
        <v>2921</v>
      </c>
      <c r="JY17" s="726">
        <f>65.16+2.55</f>
        <v>67.709999999999994</v>
      </c>
      <c r="JZ17" s="245" t="s">
        <v>2858</v>
      </c>
      <c r="KA17" s="492">
        <v>1730.87</v>
      </c>
      <c r="KB17" s="801" t="s">
        <v>2679</v>
      </c>
      <c r="KC17" s="2">
        <v>80</v>
      </c>
      <c r="KD17" s="606">
        <v>45122</v>
      </c>
    </row>
    <row r="18" spans="1:290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2292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2319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2268</v>
      </c>
      <c r="IG18" s="268">
        <v>295021.18</v>
      </c>
      <c r="IH18" t="s">
        <v>2449</v>
      </c>
      <c r="II18" s="493">
        <v>17.73</v>
      </c>
      <c r="IJ18" s="345" t="s">
        <v>2175</v>
      </c>
      <c r="IK18" t="s">
        <v>2434</v>
      </c>
      <c r="IL18" s="254" t="s">
        <v>2411</v>
      </c>
      <c r="IM18" s="2">
        <f>100*(120+1000+330+310)</f>
        <v>176000</v>
      </c>
      <c r="IN18" t="s">
        <v>2495</v>
      </c>
      <c r="IO18">
        <v>3</v>
      </c>
      <c r="IP18" s="345" t="s">
        <v>2461</v>
      </c>
      <c r="IQ18" s="61">
        <v>42.65</v>
      </c>
      <c r="IR18" s="66" t="s">
        <v>2204</v>
      </c>
      <c r="IS18" s="268">
        <v>1143</v>
      </c>
      <c r="IT18" s="732" t="s">
        <v>2785</v>
      </c>
      <c r="IU18" s="492">
        <v>14</v>
      </c>
      <c r="IV18" s="345" t="s">
        <v>2620</v>
      </c>
      <c r="IW18" s="534">
        <v>110.02</v>
      </c>
      <c r="IX18" s="573" t="s">
        <v>2542</v>
      </c>
      <c r="IY18" s="605">
        <v>4175</v>
      </c>
      <c r="IZ18" s="401"/>
      <c r="JA18" s="510"/>
      <c r="JB18" s="345" t="s">
        <v>2612</v>
      </c>
      <c r="JC18" s="61">
        <v>110.79</v>
      </c>
      <c r="JD18" s="620" t="s">
        <v>2689</v>
      </c>
      <c r="JE18" s="605">
        <v>3083</v>
      </c>
      <c r="JF18" s="401"/>
      <c r="JG18" s="510"/>
      <c r="JH18" s="345" t="s">
        <v>2705</v>
      </c>
      <c r="JI18" s="61">
        <v>30</v>
      </c>
      <c r="JJ18" s="666" t="s">
        <v>2689</v>
      </c>
      <c r="JK18" s="268">
        <v>99936</v>
      </c>
      <c r="JL18" s="401" t="s">
        <v>2819</v>
      </c>
      <c r="JM18" s="510">
        <f>228.82+344.82+65.55+23.84</f>
        <v>663.03</v>
      </c>
      <c r="JN18" s="345" t="s">
        <v>2618</v>
      </c>
      <c r="JO18" s="534">
        <v>157.54</v>
      </c>
      <c r="JP18" s="718" t="s">
        <v>2683</v>
      </c>
      <c r="JQ18" s="268">
        <v>14</v>
      </c>
      <c r="JR18" s="10" t="s">
        <v>2851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2683</v>
      </c>
      <c r="JW18" s="268">
        <v>15</v>
      </c>
      <c r="JX18" s="9" t="s">
        <v>2920</v>
      </c>
      <c r="JY18" s="726">
        <v>24.55</v>
      </c>
      <c r="JZ18" s="345" t="s">
        <v>2550</v>
      </c>
      <c r="KA18" s="61">
        <v>69.209999999999994</v>
      </c>
      <c r="KB18" s="801" t="s">
        <v>2678</v>
      </c>
      <c r="KC18" s="2"/>
      <c r="KD18" s="606"/>
    </row>
    <row r="19" spans="1:290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887" t="s">
        <v>1474</v>
      </c>
      <c r="DJ19" s="888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2291</v>
      </c>
      <c r="HW19" s="489">
        <v>18.8</v>
      </c>
      <c r="HX19" s="345" t="s">
        <v>1816</v>
      </c>
      <c r="HY19">
        <v>112.57</v>
      </c>
      <c r="HZ19" s="66" t="s">
        <v>2317</v>
      </c>
      <c r="IA19">
        <v>12000</v>
      </c>
      <c r="IB19" s="499" t="s">
        <v>2320</v>
      </c>
      <c r="IC19" s="500">
        <v>146.22999999999999</v>
      </c>
      <c r="ID19" s="345" t="s">
        <v>1949</v>
      </c>
      <c r="IE19" s="407">
        <v>16.18</v>
      </c>
      <c r="IF19" s="66" t="s">
        <v>2354</v>
      </c>
      <c r="IG19" s="2">
        <v>2234</v>
      </c>
      <c r="IH19" t="s">
        <v>2383</v>
      </c>
      <c r="II19" s="492">
        <v>35.67</v>
      </c>
      <c r="IJ19" s="345" t="s">
        <v>2334</v>
      </c>
      <c r="IK19">
        <v>114.44</v>
      </c>
      <c r="IL19" s="66" t="s">
        <v>2410</v>
      </c>
      <c r="IM19">
        <f>10502+14002</f>
        <v>24504</v>
      </c>
      <c r="IN19" s="732" t="s">
        <v>2785</v>
      </c>
      <c r="IO19" s="492">
        <v>5</v>
      </c>
      <c r="IP19" s="345" t="s">
        <v>2523</v>
      </c>
      <c r="IQ19" s="61">
        <f>IM29</f>
        <v>21.35</v>
      </c>
      <c r="IR19" s="1" t="s">
        <v>2452</v>
      </c>
      <c r="IS19">
        <v>170</v>
      </c>
      <c r="IT19" s="402" t="s">
        <v>2626</v>
      </c>
      <c r="IU19" s="510">
        <v>6</v>
      </c>
      <c r="IV19" s="345" t="s">
        <v>2187</v>
      </c>
      <c r="IW19" s="61">
        <f>9</f>
        <v>9</v>
      </c>
      <c r="IX19" s="615" t="s">
        <v>2616</v>
      </c>
      <c r="IY19" s="268">
        <v>10</v>
      </c>
      <c r="IZ19" s="657"/>
      <c r="JA19" s="657"/>
      <c r="JB19" s="345" t="s">
        <v>2704</v>
      </c>
      <c r="JC19" s="61">
        <v>109.57</v>
      </c>
      <c r="JD19" s="642" t="s">
        <v>2668</v>
      </c>
      <c r="JE19" s="268">
        <v>0</v>
      </c>
      <c r="JF19" s="680"/>
      <c r="JG19" s="680"/>
      <c r="JH19" s="345" t="s">
        <v>2618</v>
      </c>
      <c r="JI19" s="534">
        <v>115.37</v>
      </c>
      <c r="JJ19" s="666" t="s">
        <v>2668</v>
      </c>
      <c r="JK19" s="268">
        <v>0</v>
      </c>
      <c r="JL19" s="721" t="s">
        <v>2816</v>
      </c>
      <c r="JM19" s="721">
        <v>2</v>
      </c>
      <c r="JN19" s="345" t="s">
        <v>1195</v>
      </c>
      <c r="JO19" s="61">
        <f>15+6.5+30</f>
        <v>51.5</v>
      </c>
      <c r="JP19" s="717" t="s">
        <v>2679</v>
      </c>
      <c r="JQ19" s="2">
        <v>210</v>
      </c>
      <c r="JR19" s="11" t="s">
        <v>2852</v>
      </c>
      <c r="JS19" s="788">
        <f>183.29+65.98+58.65</f>
        <v>307.91999999999996</v>
      </c>
      <c r="JT19" s="345" t="s">
        <v>2803</v>
      </c>
      <c r="JU19" s="61">
        <f>9+14.32</f>
        <v>23.32</v>
      </c>
      <c r="JV19" s="762" t="s">
        <v>2679</v>
      </c>
      <c r="JW19" s="2">
        <v>240</v>
      </c>
      <c r="JX19" s="9" t="s">
        <v>2903</v>
      </c>
      <c r="JY19" s="726">
        <v>13.23</v>
      </c>
      <c r="JZ19" s="345" t="s">
        <v>2704</v>
      </c>
      <c r="KA19" s="61"/>
      <c r="KB19" s="803" t="s">
        <v>2451</v>
      </c>
      <c r="KC19" s="2">
        <v>1000</v>
      </c>
      <c r="KD19" s="108"/>
    </row>
    <row r="20" spans="1:290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2757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2237</v>
      </c>
      <c r="HS20">
        <v>160</v>
      </c>
      <c r="HT20" s="66" t="s">
        <v>2204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2316</v>
      </c>
      <c r="IB20" s="502" t="s">
        <v>2321</v>
      </c>
      <c r="IC20" s="503">
        <v>626.70000000000005</v>
      </c>
      <c r="ID20" s="345" t="s">
        <v>2175</v>
      </c>
      <c r="IE20" s="407" t="s">
        <v>2398</v>
      </c>
      <c r="IF20" s="66" t="s">
        <v>2253</v>
      </c>
      <c r="IG20" s="2">
        <v>60000</v>
      </c>
      <c r="IH20" t="s">
        <v>2386</v>
      </c>
      <c r="II20">
        <f>18*2</f>
        <v>36</v>
      </c>
      <c r="IJ20" s="345" t="s">
        <v>1195</v>
      </c>
      <c r="IK20">
        <f>6.5+15</f>
        <v>21.5</v>
      </c>
      <c r="IL20" s="66" t="s">
        <v>2253</v>
      </c>
      <c r="IM20" s="2">
        <v>60000</v>
      </c>
      <c r="IN20" s="545"/>
      <c r="IO20" s="492"/>
      <c r="IP20" s="345" t="s">
        <v>2364</v>
      </c>
      <c r="IQ20" s="61">
        <f>17.6+10+15.04+18.67+17.63+10+18.43+12.51+10+16.42</f>
        <v>146.30000000000001</v>
      </c>
      <c r="IR20" s="522" t="s">
        <v>2491</v>
      </c>
      <c r="IT20" s="401"/>
      <c r="IU20" s="510"/>
      <c r="IV20" s="345" t="s">
        <v>2364</v>
      </c>
      <c r="IW20" s="61">
        <f>15.7+10+18.29+10+10+15.09+18.53+17.55+15.01+10+16.79</f>
        <v>156.95999999999998</v>
      </c>
      <c r="IX20" s="574" t="s">
        <v>2538</v>
      </c>
      <c r="IY20" s="570">
        <v>190</v>
      </c>
      <c r="IZ20" s="401"/>
      <c r="JA20" s="510"/>
      <c r="JB20" s="345" t="s">
        <v>2708</v>
      </c>
      <c r="JC20" s="61">
        <f>10+30</f>
        <v>40</v>
      </c>
      <c r="JD20" s="620" t="s">
        <v>2683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2767</v>
      </c>
      <c r="JK20" s="581">
        <v>44.23</v>
      </c>
      <c r="JL20" s="401"/>
      <c r="JM20" s="510"/>
      <c r="JN20" s="345" t="s">
        <v>2803</v>
      </c>
      <c r="JO20" s="61">
        <f>9+14.32</f>
        <v>23.32</v>
      </c>
      <c r="JP20" s="717" t="s">
        <v>2678</v>
      </c>
      <c r="JQ20" s="2"/>
      <c r="JR20" s="11" t="s">
        <v>2853</v>
      </c>
      <c r="JS20" s="789">
        <v>15.42</v>
      </c>
      <c r="JT20" s="345" t="s">
        <v>2776</v>
      </c>
      <c r="JU20" s="203">
        <f>64+64+3</f>
        <v>131</v>
      </c>
      <c r="JV20" s="762" t="s">
        <v>2678</v>
      </c>
      <c r="JW20" s="272"/>
      <c r="JX20" s="839" t="s">
        <v>2947</v>
      </c>
      <c r="JY20" s="726">
        <f>85.99+30.96</f>
        <v>116.94999999999999</v>
      </c>
      <c r="JZ20" s="345" t="s">
        <v>2911</v>
      </c>
      <c r="KA20" s="61">
        <v>30</v>
      </c>
      <c r="KB20" s="802" t="s">
        <v>2469</v>
      </c>
      <c r="KC20" s="61"/>
    </row>
    <row r="21" spans="1:290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2756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2236</v>
      </c>
      <c r="HS21">
        <v>42.65</v>
      </c>
      <c r="HT21" s="66" t="s">
        <v>2205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2268</v>
      </c>
      <c r="IA21" s="505">
        <v>345026.96</v>
      </c>
      <c r="IB21" s="506" t="s">
        <v>2321</v>
      </c>
      <c r="IC21" s="507">
        <v>598.5</v>
      </c>
      <c r="ID21" s="345" t="s">
        <v>2399</v>
      </c>
      <c r="IE21" s="142">
        <v>137.03</v>
      </c>
      <c r="IF21" s="66" t="s">
        <v>2254</v>
      </c>
      <c r="IG21" s="2">
        <v>50001</v>
      </c>
      <c r="IH21" t="s">
        <v>2392</v>
      </c>
      <c r="II21">
        <v>18</v>
      </c>
      <c r="IJ21" s="345" t="s">
        <v>2187</v>
      </c>
      <c r="IK21">
        <v>9</v>
      </c>
      <c r="IL21" s="490" t="s">
        <v>2268</v>
      </c>
      <c r="IM21" s="242">
        <v>65005</v>
      </c>
      <c r="IN21" s="545"/>
      <c r="IO21" s="492"/>
      <c r="IP21" s="337" t="s">
        <v>2514</v>
      </c>
      <c r="IQ21" s="61">
        <v>30</v>
      </c>
      <c r="IR21" s="7" t="s">
        <v>2451</v>
      </c>
      <c r="IS21">
        <v>2007</v>
      </c>
      <c r="IT21" s="402"/>
      <c r="IV21" s="337" t="s">
        <v>2604</v>
      </c>
      <c r="IW21" s="61">
        <v>80</v>
      </c>
      <c r="IX21" s="576" t="s">
        <v>2451</v>
      </c>
      <c r="IY21" s="570">
        <v>2013</v>
      </c>
      <c r="IZ21" s="401"/>
      <c r="JA21" s="510"/>
      <c r="JB21" s="345" t="s">
        <v>2618</v>
      </c>
      <c r="JC21" s="534">
        <v>115.37</v>
      </c>
      <c r="JD21" s="658" t="s">
        <v>2679</v>
      </c>
      <c r="JE21" s="616">
        <v>130</v>
      </c>
      <c r="JF21" s="401"/>
      <c r="JG21" s="510"/>
      <c r="JH21" s="345" t="s">
        <v>2739</v>
      </c>
      <c r="JI21" s="61">
        <v>27</v>
      </c>
      <c r="JJ21" s="666" t="s">
        <v>2683</v>
      </c>
      <c r="JK21" s="605">
        <v>10</v>
      </c>
      <c r="JN21" s="345" t="s">
        <v>2364</v>
      </c>
      <c r="JO21" s="61">
        <f>11.94+10+20.54+17.31+14.45+15.78+10</f>
        <v>100.02</v>
      </c>
      <c r="JP21" s="719" t="s">
        <v>2451</v>
      </c>
      <c r="JQ21" s="2">
        <v>1000</v>
      </c>
      <c r="JR21" s="790" t="s">
        <v>2850</v>
      </c>
      <c r="JS21" s="791">
        <f>783.33+1167.38+1493.5+2179.3</f>
        <v>5623.51</v>
      </c>
      <c r="JT21" s="345" t="s">
        <v>2864</v>
      </c>
      <c r="JU21" s="203">
        <v>6.97</v>
      </c>
      <c r="JV21" s="764" t="s">
        <v>2451</v>
      </c>
      <c r="JW21" s="2">
        <v>1000</v>
      </c>
      <c r="JY21" s="510"/>
      <c r="JZ21" s="345" t="s">
        <v>2618</v>
      </c>
      <c r="KA21" s="534">
        <v>131.87</v>
      </c>
      <c r="KB21" s="802" t="s">
        <v>2477</v>
      </c>
      <c r="KC21" s="61"/>
    </row>
    <row r="22" spans="1:290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03" t="s">
        <v>507</v>
      </c>
      <c r="N22" s="903"/>
      <c r="Q22" s="166" t="s">
        <v>365</v>
      </c>
      <c r="S22" s="903" t="s">
        <v>507</v>
      </c>
      <c r="T22" s="903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890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2235</v>
      </c>
      <c r="HS22">
        <v>64</v>
      </c>
      <c r="HT22" s="66" t="s">
        <v>2206</v>
      </c>
      <c r="HU22">
        <f>5002+10000+5002+10002+5000</f>
        <v>35006</v>
      </c>
      <c r="HW22" s="400"/>
      <c r="HX22" s="345" t="s">
        <v>2264</v>
      </c>
      <c r="HY22">
        <v>64</v>
      </c>
      <c r="HZ22" s="66" t="s">
        <v>2204</v>
      </c>
      <c r="IA22" s="272">
        <v>2000</v>
      </c>
      <c r="IB22" s="508" t="s">
        <v>2319</v>
      </c>
      <c r="IC22" s="509">
        <f>19.95*3</f>
        <v>59.849999999999994</v>
      </c>
      <c r="ID22" s="345" t="s">
        <v>2334</v>
      </c>
      <c r="IE22">
        <v>167</v>
      </c>
      <c r="IF22" s="1" t="s">
        <v>2279</v>
      </c>
      <c r="IG22" s="272">
        <v>-80000</v>
      </c>
      <c r="IH22" t="s">
        <v>2414</v>
      </c>
      <c r="II22">
        <f>9.86*4</f>
        <v>39.44</v>
      </c>
      <c r="IJ22" s="345" t="s">
        <v>2250</v>
      </c>
      <c r="IK22">
        <v>64</v>
      </c>
      <c r="IL22" s="66" t="s">
        <v>2354</v>
      </c>
      <c r="IM22" s="268">
        <v>2190</v>
      </c>
      <c r="IN22" s="562"/>
      <c r="IO22" s="492"/>
      <c r="IP22" s="337" t="s">
        <v>2473</v>
      </c>
      <c r="IQ22" s="61">
        <v>10</v>
      </c>
      <c r="IR22" s="537" t="s">
        <v>2477</v>
      </c>
      <c r="IS22" s="536"/>
      <c r="IT22" s="844" t="s">
        <v>2170</v>
      </c>
      <c r="IU22" s="844"/>
      <c r="IV22" s="337" t="s">
        <v>2596</v>
      </c>
      <c r="IW22" s="61">
        <v>42.51</v>
      </c>
      <c r="IX22" s="575" t="s">
        <v>2477</v>
      </c>
      <c r="IZ22" s="401"/>
      <c r="JA22" s="510"/>
      <c r="JB22" s="345" t="s">
        <v>1195</v>
      </c>
      <c r="JC22" s="61">
        <f>13+30</f>
        <v>43</v>
      </c>
      <c r="JD22" s="619" t="s">
        <v>2678</v>
      </c>
      <c r="JH22" s="345" t="s">
        <v>2187</v>
      </c>
      <c r="JI22" s="61">
        <f>9+14.32</f>
        <v>23.32</v>
      </c>
      <c r="JJ22" s="665" t="s">
        <v>2679</v>
      </c>
      <c r="JK22" s="662">
        <v>230</v>
      </c>
      <c r="JL22" s="401"/>
      <c r="JM22" s="510"/>
      <c r="JN22" s="337" t="s">
        <v>2802</v>
      </c>
      <c r="JO22" s="61">
        <v>2953</v>
      </c>
      <c r="JP22" s="727" t="s">
        <v>2477</v>
      </c>
      <c r="JQ22" s="2"/>
      <c r="JR22" s="790" t="s">
        <v>2859</v>
      </c>
      <c r="JS22" s="791"/>
      <c r="JT22" s="345" t="s">
        <v>2364</v>
      </c>
      <c r="JU22" s="61">
        <f>17.57+15.78+10+10+16.81+16.4+1.52+17.15+1.19+10.85</f>
        <v>117.26999999999998</v>
      </c>
      <c r="JV22" s="761" t="s">
        <v>2477</v>
      </c>
      <c r="JW22" s="61"/>
      <c r="JZ22" s="345" t="s">
        <v>1195</v>
      </c>
      <c r="KA22" s="61">
        <f>15+6.5</f>
        <v>21.5</v>
      </c>
      <c r="KB22" s="802" t="s">
        <v>2420</v>
      </c>
      <c r="KC22" s="61"/>
    </row>
    <row r="23" spans="1:290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898" t="s">
        <v>990</v>
      </c>
      <c r="N23" s="898"/>
      <c r="Q23" s="166" t="s">
        <v>369</v>
      </c>
      <c r="S23" s="898" t="s">
        <v>990</v>
      </c>
      <c r="T23" s="898"/>
      <c r="W23" s="244" t="s">
        <v>1019</v>
      </c>
      <c r="X23" s="142">
        <v>0</v>
      </c>
      <c r="Y23" s="903" t="s">
        <v>507</v>
      </c>
      <c r="Z23" s="903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890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844" t="s">
        <v>2170</v>
      </c>
      <c r="HK23" s="844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2240</v>
      </c>
      <c r="HS23">
        <v>10</v>
      </c>
      <c r="HT23" s="66" t="s">
        <v>2221</v>
      </c>
      <c r="HU23">
        <f>5002+10000+10000+5000</f>
        <v>30002</v>
      </c>
      <c r="HV23" s="844" t="s">
        <v>2170</v>
      </c>
      <c r="HW23" s="844"/>
      <c r="HX23" s="345" t="s">
        <v>2303</v>
      </c>
      <c r="HY23">
        <v>30</v>
      </c>
      <c r="HZ23" s="66" t="s">
        <v>2253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2415</v>
      </c>
      <c r="II23">
        <f>2.74+2.52+1.19*2</f>
        <v>7.64</v>
      </c>
      <c r="IJ23" s="345" t="s">
        <v>2364</v>
      </c>
      <c r="IK23" s="411">
        <f>20.75+15.85+16.8+10+21.56+17.42+14.05+10</f>
        <v>126.43</v>
      </c>
      <c r="IL23" s="1" t="s">
        <v>2447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2469</v>
      </c>
      <c r="IS23" s="278"/>
      <c r="IT23" s="351" t="s">
        <v>1958</v>
      </c>
      <c r="IU23" s="273">
        <f>SUM(IW7:IW9)</f>
        <v>3911.02</v>
      </c>
      <c r="IV23" s="337" t="s">
        <v>2611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2451</v>
      </c>
      <c r="JE23" s="616">
        <v>1000</v>
      </c>
      <c r="JF23" s="401"/>
      <c r="JG23" s="510"/>
      <c r="JH23" s="700" t="s">
        <v>2740</v>
      </c>
      <c r="JI23" s="533">
        <v>4.05</v>
      </c>
      <c r="JJ23" s="665" t="s">
        <v>2678</v>
      </c>
      <c r="JL23" s="401"/>
      <c r="JM23" s="510"/>
      <c r="JN23" s="337" t="s">
        <v>2775</v>
      </c>
      <c r="JO23" s="61">
        <v>50.23</v>
      </c>
      <c r="JP23" s="743" t="s">
        <v>2811</v>
      </c>
      <c r="JQ23" s="2">
        <v>14.8</v>
      </c>
      <c r="JR23" s="767"/>
      <c r="JS23" s="510"/>
      <c r="JT23" s="337" t="s">
        <v>2854</v>
      </c>
      <c r="JU23" s="61">
        <v>10</v>
      </c>
      <c r="JV23" s="761" t="s">
        <v>2469</v>
      </c>
      <c r="JW23" s="61"/>
      <c r="JZ23" s="345" t="s">
        <v>2803</v>
      </c>
      <c r="KA23" s="61">
        <f>9+14.32</f>
        <v>23.32</v>
      </c>
      <c r="KB23" s="840" t="s">
        <v>2950</v>
      </c>
      <c r="KC23" s="61">
        <v>3</v>
      </c>
    </row>
    <row r="24" spans="1:290">
      <c r="A24" s="903" t="s">
        <v>507</v>
      </c>
      <c r="B24" s="903"/>
      <c r="E24" s="164" t="s">
        <v>237</v>
      </c>
      <c r="F24" s="166"/>
      <c r="G24" s="903" t="s">
        <v>507</v>
      </c>
      <c r="H24" s="903"/>
      <c r="K24" s="244" t="s">
        <v>1019</v>
      </c>
      <c r="L24" s="142">
        <v>0</v>
      </c>
      <c r="M24" s="866"/>
      <c r="N24" s="866"/>
      <c r="Q24" s="166" t="s">
        <v>1056</v>
      </c>
      <c r="S24" s="866"/>
      <c r="T24" s="866"/>
      <c r="W24" s="244" t="s">
        <v>1027</v>
      </c>
      <c r="X24" s="205">
        <v>0</v>
      </c>
      <c r="Y24" s="898" t="s">
        <v>990</v>
      </c>
      <c r="Z24" s="898"/>
      <c r="AC24"/>
      <c r="AE24" s="903" t="s">
        <v>507</v>
      </c>
      <c r="AF24" s="903"/>
      <c r="AI24"/>
      <c r="AK24" s="903" t="s">
        <v>507</v>
      </c>
      <c r="AL24" s="903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889" t="s">
        <v>1536</v>
      </c>
      <c r="EF24" s="889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890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890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2254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2430</v>
      </c>
      <c r="IK24">
        <v>60</v>
      </c>
      <c r="IL24" s="524" t="s">
        <v>2451</v>
      </c>
      <c r="IM24">
        <v>1004</v>
      </c>
      <c r="IN24" s="562"/>
      <c r="IO24" s="492"/>
      <c r="IP24" s="337" t="s">
        <v>2470</v>
      </c>
      <c r="IQ24" s="61">
        <v>40.5</v>
      </c>
      <c r="IR24" s="538" t="s">
        <v>2479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2935</v>
      </c>
      <c r="IW24" s="61">
        <v>45.2</v>
      </c>
      <c r="IX24" s="575" t="s">
        <v>2420</v>
      </c>
      <c r="JB24" s="345" t="s">
        <v>2461</v>
      </c>
      <c r="JC24" s="61">
        <v>96</v>
      </c>
      <c r="JD24" s="618"/>
      <c r="JF24" s="401"/>
      <c r="JG24" s="510"/>
      <c r="JH24" s="345" t="s">
        <v>2364</v>
      </c>
      <c r="JI24" s="61">
        <f>15.55+10+15.6+17.36+16.4+10+14.01+16.99+15.65</f>
        <v>131.56</v>
      </c>
      <c r="JJ24" s="667" t="s">
        <v>2451</v>
      </c>
      <c r="JK24" s="662">
        <v>1000</v>
      </c>
      <c r="JL24" s="402"/>
      <c r="JN24" s="337" t="s">
        <v>2782</v>
      </c>
      <c r="JO24" s="61">
        <f>9+2</f>
        <v>11</v>
      </c>
      <c r="JP24" s="716" t="s">
        <v>2469</v>
      </c>
      <c r="JQ24" s="2"/>
      <c r="JR24" s="755" t="s">
        <v>2780</v>
      </c>
      <c r="JS24" s="755"/>
      <c r="JT24" s="337" t="s">
        <v>2881</v>
      </c>
      <c r="JU24" s="61">
        <v>48.2</v>
      </c>
      <c r="JV24" s="765" t="s">
        <v>2843</v>
      </c>
      <c r="JW24" s="61">
        <v>453.6</v>
      </c>
      <c r="JZ24" s="345" t="s">
        <v>2776</v>
      </c>
      <c r="KA24" s="203">
        <v>64</v>
      </c>
      <c r="KB24" s="838"/>
      <c r="KC24" s="61"/>
    </row>
    <row r="25" spans="1:290">
      <c r="A25" s="898" t="s">
        <v>990</v>
      </c>
      <c r="B25" s="898"/>
      <c r="E25" s="164" t="s">
        <v>139</v>
      </c>
      <c r="F25" s="166"/>
      <c r="G25" s="898" t="s">
        <v>990</v>
      </c>
      <c r="H25" s="898"/>
      <c r="K25" s="244" t="s">
        <v>1027</v>
      </c>
      <c r="L25" s="205">
        <v>0</v>
      </c>
      <c r="M25" s="866"/>
      <c r="N25" s="866"/>
      <c r="Q25" s="244" t="s">
        <v>1029</v>
      </c>
      <c r="R25" s="142">
        <v>0</v>
      </c>
      <c r="S25" s="866"/>
      <c r="T25" s="866"/>
      <c r="W25" s="244" t="s">
        <v>1050</v>
      </c>
      <c r="X25" s="142">
        <v>910.17</v>
      </c>
      <c r="Y25" s="866"/>
      <c r="Z25" s="866"/>
      <c r="AC25" s="248" t="s">
        <v>1083</v>
      </c>
      <c r="AD25" s="142">
        <v>90</v>
      </c>
      <c r="AE25" s="898" t="s">
        <v>990</v>
      </c>
      <c r="AF25" s="898"/>
      <c r="AI25" s="245" t="s">
        <v>1101</v>
      </c>
      <c r="AJ25" s="142">
        <v>30</v>
      </c>
      <c r="AK25" s="898" t="s">
        <v>990</v>
      </c>
      <c r="AL25" s="898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898"/>
      <c r="BH25" s="898"/>
      <c r="BK25" s="266" t="s">
        <v>1222</v>
      </c>
      <c r="BL25" s="205">
        <v>48.54</v>
      </c>
      <c r="BM25" s="898"/>
      <c r="BN25" s="898"/>
      <c r="BQ25" s="266" t="s">
        <v>1051</v>
      </c>
      <c r="BR25" s="205">
        <v>50.15</v>
      </c>
      <c r="BS25" s="898" t="s">
        <v>1245</v>
      </c>
      <c r="BT25" s="898"/>
      <c r="BW25" s="266" t="s">
        <v>1051</v>
      </c>
      <c r="BX25" s="205">
        <v>48.54</v>
      </c>
      <c r="BY25" s="898"/>
      <c r="BZ25" s="898"/>
      <c r="CC25" s="266" t="s">
        <v>1051</v>
      </c>
      <c r="CD25" s="205">
        <v>142.91</v>
      </c>
      <c r="CE25" s="898"/>
      <c r="CF25" s="898"/>
      <c r="CI25" s="266" t="s">
        <v>1312</v>
      </c>
      <c r="CJ25" s="205">
        <v>35.049999999999997</v>
      </c>
      <c r="CK25" s="866"/>
      <c r="CL25" s="866"/>
      <c r="CO25" s="266" t="s">
        <v>1286</v>
      </c>
      <c r="CP25" s="205">
        <v>153.41</v>
      </c>
      <c r="CQ25" s="866" t="s">
        <v>1327</v>
      </c>
      <c r="CR25" s="866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890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2212</v>
      </c>
      <c r="HS25">
        <v>20</v>
      </c>
      <c r="HT25" s="254" t="s">
        <v>2228</v>
      </c>
      <c r="HV25" s="245" t="s">
        <v>1959</v>
      </c>
      <c r="HW25" s="286">
        <f>SUM(HY10:HY15)</f>
        <v>185426.5633333333</v>
      </c>
      <c r="HX25" s="337" t="s">
        <v>2302</v>
      </c>
      <c r="HY25">
        <f>10+10</f>
        <v>20</v>
      </c>
      <c r="HZ25" s="1" t="s">
        <v>2255</v>
      </c>
      <c r="IA25" s="442">
        <v>-13000</v>
      </c>
      <c r="IB25" s="844" t="s">
        <v>2170</v>
      </c>
      <c r="IC25" s="844"/>
      <c r="ID25" s="345" t="s">
        <v>2250</v>
      </c>
      <c r="IE25">
        <v>32</v>
      </c>
      <c r="IF25" s="526" t="s">
        <v>2453</v>
      </c>
      <c r="IG25" s="525">
        <v>4</v>
      </c>
      <c r="IH25" t="s">
        <v>2325</v>
      </c>
      <c r="II25" s="492"/>
      <c r="IJ25" s="337" t="s">
        <v>2385</v>
      </c>
      <c r="IK25">
        <v>10</v>
      </c>
      <c r="IL25" s="526" t="s">
        <v>2453</v>
      </c>
      <c r="IM25" s="525">
        <v>4</v>
      </c>
      <c r="IN25" s="545"/>
      <c r="IO25" s="492"/>
      <c r="IP25" s="337" t="s">
        <v>2483</v>
      </c>
      <c r="IQ25" s="61">
        <v>88.51</v>
      </c>
      <c r="IR25" s="547" t="s">
        <v>2496</v>
      </c>
      <c r="IS25" s="546" t="s">
        <v>2527</v>
      </c>
      <c r="IT25" s="362" t="s">
        <v>1392</v>
      </c>
      <c r="IU25" s="2">
        <f>SUM(IW10:IW12)</f>
        <v>2514.06</v>
      </c>
      <c r="IV25" s="337" t="s">
        <v>2936</v>
      </c>
      <c r="IW25" s="61">
        <v>54.7</v>
      </c>
      <c r="IX25" s="614"/>
      <c r="IY25" s="582"/>
      <c r="IZ25" s="401"/>
      <c r="JA25" s="510"/>
      <c r="JB25" s="345" t="s">
        <v>2364</v>
      </c>
      <c r="JC25" s="61">
        <f>17.98+13.67+17.8+15.37+10+15+12.85</f>
        <v>102.67</v>
      </c>
      <c r="JD25" s="618"/>
      <c r="JF25" s="402"/>
      <c r="JH25" s="337" t="s">
        <v>2759</v>
      </c>
      <c r="JI25" s="61">
        <v>20</v>
      </c>
      <c r="JJ25" s="664" t="s">
        <v>2469</v>
      </c>
      <c r="JN25" s="337" t="s">
        <v>2786</v>
      </c>
      <c r="JO25" s="61">
        <v>16.100000000000001</v>
      </c>
      <c r="JP25" s="727" t="s">
        <v>2787</v>
      </c>
      <c r="JQ25" s="2">
        <v>15</v>
      </c>
      <c r="JR25" s="821" t="s">
        <v>1958</v>
      </c>
      <c r="JS25" s="273">
        <f>SUM(JU6:JU7)</f>
        <v>3900.06</v>
      </c>
      <c r="JT25" s="337" t="s">
        <v>2862</v>
      </c>
      <c r="JU25" s="61">
        <v>68.900000000000006</v>
      </c>
      <c r="JV25" s="761" t="s">
        <v>2420</v>
      </c>
      <c r="JW25" s="61"/>
      <c r="JZ25" s="345" t="s">
        <v>2864</v>
      </c>
      <c r="KA25" s="203">
        <v>10.8</v>
      </c>
      <c r="KB25" s="832"/>
      <c r="KC25" s="61"/>
    </row>
    <row r="26" spans="1:290">
      <c r="A26" s="866"/>
      <c r="B26" s="866"/>
      <c r="E26" s="198" t="s">
        <v>362</v>
      </c>
      <c r="F26" s="170"/>
      <c r="G26" s="866"/>
      <c r="H26" s="866"/>
      <c r="K26" s="244" t="s">
        <v>1018</v>
      </c>
      <c r="L26" s="142">
        <f>910+40</f>
        <v>950</v>
      </c>
      <c r="M26" s="866"/>
      <c r="N26" s="866"/>
      <c r="Q26" s="244" t="s">
        <v>1026</v>
      </c>
      <c r="R26" s="142">
        <v>0</v>
      </c>
      <c r="S26" s="866"/>
      <c r="T26" s="866"/>
      <c r="W26" s="143" t="s">
        <v>1085</v>
      </c>
      <c r="X26" s="142">
        <v>110.58</v>
      </c>
      <c r="Y26" s="866"/>
      <c r="Z26" s="866"/>
      <c r="AE26" s="866"/>
      <c r="AF26" s="866"/>
      <c r="AK26" s="866"/>
      <c r="AL26" s="866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866"/>
      <c r="AX26" s="866"/>
      <c r="AY26" s="143"/>
      <c r="AZ26" s="205"/>
      <c r="BA26" s="866"/>
      <c r="BB26" s="866"/>
      <c r="BE26" s="143" t="s">
        <v>1195</v>
      </c>
      <c r="BF26" s="205">
        <f>6.5*2</f>
        <v>13</v>
      </c>
      <c r="BG26" s="866"/>
      <c r="BH26" s="866"/>
      <c r="BK26" s="266" t="s">
        <v>1195</v>
      </c>
      <c r="BL26" s="205">
        <f>6.5*2</f>
        <v>13</v>
      </c>
      <c r="BM26" s="866"/>
      <c r="BN26" s="866"/>
      <c r="BQ26" s="266" t="s">
        <v>1195</v>
      </c>
      <c r="BR26" s="205">
        <v>13</v>
      </c>
      <c r="BS26" s="866"/>
      <c r="BT26" s="866"/>
      <c r="BW26" s="266" t="s">
        <v>1195</v>
      </c>
      <c r="BX26" s="205">
        <v>13</v>
      </c>
      <c r="BY26" s="866"/>
      <c r="BZ26" s="866"/>
      <c r="CC26" s="266" t="s">
        <v>1195</v>
      </c>
      <c r="CD26" s="205">
        <v>13</v>
      </c>
      <c r="CE26" s="866"/>
      <c r="CF26" s="866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894" t="s">
        <v>1536</v>
      </c>
      <c r="DZ26" s="895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889" t="s">
        <v>1536</v>
      </c>
      <c r="ES26" s="889"/>
      <c r="ET26" s="1" t="s">
        <v>1703</v>
      </c>
      <c r="EU26" s="272">
        <v>20000</v>
      </c>
      <c r="EW26" s="890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2227</v>
      </c>
      <c r="HS26">
        <v>26.6</v>
      </c>
      <c r="HT26" s="526" t="s">
        <v>2453</v>
      </c>
      <c r="HU26" s="525">
        <v>4</v>
      </c>
      <c r="HV26" s="346" t="s">
        <v>2165</v>
      </c>
      <c r="HW26">
        <f>SUM(HY9:HY9)</f>
        <v>535</v>
      </c>
      <c r="HX26" s="337" t="s">
        <v>2366</v>
      </c>
      <c r="HY26">
        <v>46.73</v>
      </c>
      <c r="HZ26" s="1" t="s">
        <v>2279</v>
      </c>
      <c r="IA26" s="272">
        <v>-70000</v>
      </c>
      <c r="IB26" s="351" t="s">
        <v>1958</v>
      </c>
      <c r="IC26" s="286">
        <f>SUM(IE7:IE7)</f>
        <v>1900.11</v>
      </c>
      <c r="ID26" s="345" t="s">
        <v>2364</v>
      </c>
      <c r="IE26" s="411">
        <f>11.74+10+9.21+17.04+10+12.34+15.71+10+15.63+10</f>
        <v>121.66999999999999</v>
      </c>
      <c r="IF26" s="6" t="s">
        <v>2338</v>
      </c>
      <c r="IG26" s="272"/>
      <c r="IH26" s="402" t="s">
        <v>2387</v>
      </c>
      <c r="II26" s="510">
        <v>19.45</v>
      </c>
      <c r="IJ26" s="337" t="s">
        <v>2444</v>
      </c>
      <c r="IK26">
        <f>91.7+12</f>
        <v>103.7</v>
      </c>
      <c r="IL26" s="253" t="s">
        <v>2248</v>
      </c>
      <c r="IM26" s="278"/>
      <c r="IN26" s="402"/>
      <c r="IO26" s="510"/>
      <c r="IP26" s="535" t="s">
        <v>2169</v>
      </c>
      <c r="IQ26" s="61">
        <v>58.4</v>
      </c>
      <c r="IR26" s="540" t="s">
        <v>2481</v>
      </c>
      <c r="IS26" s="539">
        <v>1000</v>
      </c>
      <c r="IT26" s="346" t="s">
        <v>2165</v>
      </c>
      <c r="IU26" s="2">
        <f>SUM(IW13:IW13)</f>
        <v>170</v>
      </c>
      <c r="IV26" s="570" t="s">
        <v>2475</v>
      </c>
      <c r="IW26" s="78">
        <f>2+59+11+23</f>
        <v>95</v>
      </c>
      <c r="IX26" s="504"/>
      <c r="IZ26" s="401"/>
      <c r="JA26" s="510"/>
      <c r="JB26" s="337" t="s">
        <v>2694</v>
      </c>
      <c r="JC26" s="61">
        <v>10</v>
      </c>
      <c r="JD26" s="645"/>
      <c r="JH26" s="337" t="s">
        <v>2736</v>
      </c>
      <c r="JI26" s="61">
        <v>30</v>
      </c>
      <c r="JJ26" s="664" t="s">
        <v>2420</v>
      </c>
      <c r="JL26" s="723" t="s">
        <v>2780</v>
      </c>
      <c r="JM26" s="723"/>
      <c r="JN26" s="337" t="s">
        <v>2937</v>
      </c>
      <c r="JO26" s="533">
        <v>42.9</v>
      </c>
      <c r="JP26" s="716" t="s">
        <v>2420</v>
      </c>
      <c r="JQ26" s="2"/>
      <c r="JR26" s="388" t="s">
        <v>2860</v>
      </c>
      <c r="JS26" s="273">
        <f>SUM(JU11:JU13)</f>
        <v>5390.235999999999</v>
      </c>
      <c r="JT26" s="337" t="s">
        <v>2933</v>
      </c>
      <c r="JU26" s="61">
        <v>41.5</v>
      </c>
      <c r="JV26" s="769"/>
      <c r="JW26" s="61"/>
      <c r="JZ26" s="345" t="s">
        <v>2364</v>
      </c>
      <c r="KA26" s="61">
        <f>16.3+16.34+12.3+10</f>
        <v>54.94</v>
      </c>
      <c r="KB26" s="831"/>
      <c r="KC26" s="61"/>
    </row>
    <row r="27" spans="1:290">
      <c r="A27" s="866"/>
      <c r="B27" s="866"/>
      <c r="F27" s="194"/>
      <c r="G27" s="866"/>
      <c r="H27" s="866"/>
      <c r="K27"/>
      <c r="M27" s="899" t="s">
        <v>506</v>
      </c>
      <c r="N27" s="899"/>
      <c r="Q27" s="244" t="s">
        <v>1019</v>
      </c>
      <c r="R27" s="142">
        <v>0</v>
      </c>
      <c r="S27" s="899" t="s">
        <v>506</v>
      </c>
      <c r="T27" s="899"/>
      <c r="W27" s="143" t="s">
        <v>1051</v>
      </c>
      <c r="X27" s="142">
        <v>60.75</v>
      </c>
      <c r="Y27" s="866"/>
      <c r="Z27" s="866"/>
      <c r="AC27" s="219" t="s">
        <v>1092</v>
      </c>
      <c r="AD27" s="219"/>
      <c r="AE27" s="899" t="s">
        <v>506</v>
      </c>
      <c r="AF27" s="899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889" t="s">
        <v>1536</v>
      </c>
      <c r="EY27" s="889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844" t="s">
        <v>2170</v>
      </c>
      <c r="HQ27" s="844"/>
      <c r="HR27" s="337" t="s">
        <v>2233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2304</v>
      </c>
      <c r="HY27">
        <f>32.37+27.07</f>
        <v>59.44</v>
      </c>
      <c r="HZ27" s="7" t="s">
        <v>2283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2358</v>
      </c>
      <c r="IE27">
        <v>30</v>
      </c>
      <c r="IF27" s="504" t="s">
        <v>2355</v>
      </c>
      <c r="IG27" s="278">
        <v>127</v>
      </c>
      <c r="IH27" s="402" t="s">
        <v>2388</v>
      </c>
      <c r="II27" s="510">
        <v>19.45</v>
      </c>
      <c r="IJ27" s="337" t="s">
        <v>2431</v>
      </c>
      <c r="IK27">
        <v>6.8</v>
      </c>
      <c r="IL27" s="253" t="s">
        <v>2402</v>
      </c>
      <c r="IM27">
        <v>41</v>
      </c>
      <c r="IN27" s="402"/>
      <c r="IO27" s="510"/>
      <c r="IP27" s="337" t="s">
        <v>2482</v>
      </c>
      <c r="IQ27" s="61">
        <v>23.42</v>
      </c>
      <c r="IR27" s="504" t="s">
        <v>2478</v>
      </c>
      <c r="IS27" s="61">
        <v>260</v>
      </c>
      <c r="IT27" s="345" t="s">
        <v>2166</v>
      </c>
      <c r="IU27" s="2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2700</v>
      </c>
      <c r="JC27" s="61">
        <v>7</v>
      </c>
      <c r="JD27" s="653"/>
      <c r="JE27" s="652"/>
      <c r="JF27" s="671" t="s">
        <v>2710</v>
      </c>
      <c r="JG27" s="671"/>
      <c r="JH27" s="337" t="s">
        <v>2762</v>
      </c>
      <c r="JI27" s="61">
        <f>55.72+65.82</f>
        <v>121.53999999999999</v>
      </c>
      <c r="JJ27" s="681" t="s">
        <v>2741</v>
      </c>
      <c r="JK27" s="680">
        <v>59.4</v>
      </c>
      <c r="JL27" s="192" t="s">
        <v>1958</v>
      </c>
      <c r="JM27" s="273">
        <f>SUM(JO6:JO7)</f>
        <v>2900.12</v>
      </c>
      <c r="JN27" s="337" t="s">
        <v>2820</v>
      </c>
      <c r="JO27" s="533">
        <v>131</v>
      </c>
      <c r="JP27" s="752"/>
      <c r="JQ27" s="2"/>
      <c r="JR27" s="350" t="s">
        <v>1392</v>
      </c>
      <c r="JS27" s="2">
        <f>SUM(JU8:JU8)</f>
        <v>1476</v>
      </c>
      <c r="JT27" s="337" t="s">
        <v>2876</v>
      </c>
      <c r="JU27" s="533">
        <v>11</v>
      </c>
      <c r="JV27" s="792"/>
      <c r="JW27" s="61"/>
      <c r="JZ27" s="337" t="s">
        <v>2895</v>
      </c>
      <c r="KA27" s="61">
        <v>80</v>
      </c>
      <c r="KB27" s="796" t="s">
        <v>506</v>
      </c>
    </row>
    <row r="28" spans="1:290">
      <c r="A28" s="866"/>
      <c r="B28" s="866"/>
      <c r="E28" s="193" t="s">
        <v>360</v>
      </c>
      <c r="F28" s="194"/>
      <c r="G28" s="866"/>
      <c r="H28" s="866"/>
      <c r="K28" s="143" t="s">
        <v>1017</v>
      </c>
      <c r="L28" s="142">
        <f>60</f>
        <v>60</v>
      </c>
      <c r="M28" s="899" t="s">
        <v>992</v>
      </c>
      <c r="N28" s="899"/>
      <c r="Q28" s="244" t="s">
        <v>1073</v>
      </c>
      <c r="R28" s="205">
        <v>200</v>
      </c>
      <c r="S28" s="899" t="s">
        <v>992</v>
      </c>
      <c r="T28" s="899"/>
      <c r="W28" s="143" t="s">
        <v>1016</v>
      </c>
      <c r="X28" s="142">
        <v>61.35</v>
      </c>
      <c r="Y28" s="899" t="s">
        <v>506</v>
      </c>
      <c r="Z28" s="899"/>
      <c r="AC28" s="219" t="s">
        <v>1088</v>
      </c>
      <c r="AD28" s="219">
        <f>53+207+63</f>
        <v>323</v>
      </c>
      <c r="AE28" s="899" t="s">
        <v>992</v>
      </c>
      <c r="AF28" s="899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889" t="s">
        <v>1747</v>
      </c>
      <c r="FE28" s="889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2231</v>
      </c>
      <c r="HS28">
        <v>10</v>
      </c>
      <c r="HT28" s="1" t="s">
        <v>2012</v>
      </c>
      <c r="HU28" s="272">
        <v>3000</v>
      </c>
      <c r="HV28" s="214" t="s">
        <v>2590</v>
      </c>
      <c r="HW28">
        <f>SUM(HY47:HY54)</f>
        <v>1548.6</v>
      </c>
      <c r="HX28" s="337" t="s">
        <v>2271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2332</v>
      </c>
      <c r="IE28">
        <v>329.76</v>
      </c>
      <c r="IF28" s="253" t="s">
        <v>2353</v>
      </c>
      <c r="IG28" s="278">
        <v>111</v>
      </c>
      <c r="IH28" s="402" t="s">
        <v>2389</v>
      </c>
      <c r="II28" s="510">
        <v>19.45</v>
      </c>
      <c r="IJ28" s="337" t="s">
        <v>2401</v>
      </c>
      <c r="IK28">
        <f>3.8*2+9.9</f>
        <v>17.5</v>
      </c>
      <c r="IL28" s="253" t="s">
        <v>2420</v>
      </c>
      <c r="IN28" s="402"/>
      <c r="IO28" s="510"/>
      <c r="IP28" s="337" t="s">
        <v>2487</v>
      </c>
      <c r="IQ28" s="61">
        <v>61.71</v>
      </c>
      <c r="IR28" s="253" t="s">
        <v>2420</v>
      </c>
      <c r="IT28" s="337" t="s">
        <v>2164</v>
      </c>
      <c r="IU28" s="2">
        <f>SUM(IW21:IW25)</f>
        <v>268.39</v>
      </c>
      <c r="IV28" s="412">
        <v>22.7</v>
      </c>
      <c r="IW28" s="534"/>
      <c r="IX28" s="575"/>
      <c r="IZ28" s="844" t="s">
        <v>2170</v>
      </c>
      <c r="JA28" s="844"/>
      <c r="JB28" s="337" t="s">
        <v>2938</v>
      </c>
      <c r="JC28" s="61">
        <v>34</v>
      </c>
      <c r="JF28" s="192" t="s">
        <v>1958</v>
      </c>
      <c r="JG28" s="273">
        <f>SUM(JI6:JI7)</f>
        <v>3900.1</v>
      </c>
      <c r="JH28" s="337" t="s">
        <v>2939</v>
      </c>
      <c r="JI28" s="61">
        <f>44.8+43.4</f>
        <v>88.199999999999989</v>
      </c>
      <c r="JJ28" s="699" t="s">
        <v>2742</v>
      </c>
      <c r="JK28" s="662">
        <v>75.599999999999994</v>
      </c>
      <c r="JL28" s="388" t="s">
        <v>2861</v>
      </c>
      <c r="JM28" s="273">
        <f>SUM(JO11:JO13)</f>
        <v>116477.65199999999</v>
      </c>
      <c r="JN28" s="711" t="s">
        <v>2711</v>
      </c>
      <c r="JO28" s="78">
        <v>20</v>
      </c>
      <c r="JP28" s="752"/>
      <c r="JQ28" s="2"/>
      <c r="JR28" s="346" t="s">
        <v>2165</v>
      </c>
      <c r="JS28" s="2">
        <f>SUM(JU9:JU10)</f>
        <v>15.379999999999999</v>
      </c>
      <c r="JT28" s="757" t="s">
        <v>2711</v>
      </c>
      <c r="JU28" s="78">
        <f>13</f>
        <v>13</v>
      </c>
      <c r="JV28" s="792"/>
      <c r="JW28" s="61"/>
      <c r="JZ28" s="337" t="s">
        <v>2918</v>
      </c>
      <c r="KA28" s="61">
        <v>115</v>
      </c>
      <c r="KB28" s="796" t="s">
        <v>93</v>
      </c>
    </row>
    <row r="29" spans="1:290">
      <c r="A29" s="899" t="s">
        <v>506</v>
      </c>
      <c r="B29" s="899"/>
      <c r="E29" s="193" t="s">
        <v>282</v>
      </c>
      <c r="F29" s="194"/>
      <c r="G29" s="899" t="s">
        <v>506</v>
      </c>
      <c r="H29" s="899"/>
      <c r="K29" s="143" t="s">
        <v>1016</v>
      </c>
      <c r="L29" s="142">
        <v>0</v>
      </c>
      <c r="M29" s="901" t="s">
        <v>93</v>
      </c>
      <c r="N29" s="901"/>
      <c r="Q29" s="244" t="s">
        <v>1050</v>
      </c>
      <c r="R29" s="142">
        <v>0</v>
      </c>
      <c r="S29" s="901" t="s">
        <v>93</v>
      </c>
      <c r="T29" s="901"/>
      <c r="W29" s="143" t="s">
        <v>1015</v>
      </c>
      <c r="X29" s="142">
        <v>64</v>
      </c>
      <c r="Y29" s="899" t="s">
        <v>992</v>
      </c>
      <c r="Z29" s="899"/>
      <c r="AC29" s="219" t="s">
        <v>1089</v>
      </c>
      <c r="AD29" s="219">
        <f>63+46</f>
        <v>109</v>
      </c>
      <c r="AE29" s="901" t="s">
        <v>93</v>
      </c>
      <c r="AF29" s="901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889" t="s">
        <v>1536</v>
      </c>
      <c r="EM29" s="889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2933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2238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2940</v>
      </c>
      <c r="HY29">
        <f>22.3+42.9</f>
        <v>65.2</v>
      </c>
      <c r="HZ29" s="254" t="s">
        <v>2228</v>
      </c>
      <c r="IB29" s="346" t="s">
        <v>2165</v>
      </c>
      <c r="IC29">
        <f>SUM(IE9:IE9)</f>
        <v>32.1</v>
      </c>
      <c r="ID29" s="337" t="s">
        <v>2331</v>
      </c>
      <c r="IE29">
        <v>80</v>
      </c>
      <c r="IF29" s="253" t="s">
        <v>2248</v>
      </c>
      <c r="IG29" s="278"/>
      <c r="IH29" s="401" t="s">
        <v>2390</v>
      </c>
      <c r="II29" s="510">
        <f>19.45*3</f>
        <v>58.349999999999994</v>
      </c>
      <c r="IJ29" s="337" t="s">
        <v>2433</v>
      </c>
      <c r="IK29">
        <f>7.15+14.85</f>
        <v>22</v>
      </c>
      <c r="IL29" s="400" t="s">
        <v>2249</v>
      </c>
      <c r="IM29" s="443">
        <v>21.35</v>
      </c>
      <c r="IN29" s="401"/>
      <c r="IO29" s="510"/>
      <c r="IP29" s="337" t="s">
        <v>2492</v>
      </c>
      <c r="IQ29" s="61">
        <v>23.1</v>
      </c>
      <c r="IR29" s="530" t="s">
        <v>2457</v>
      </c>
      <c r="IS29" s="529" t="s">
        <v>2458</v>
      </c>
      <c r="IT29" s="337" t="s">
        <v>2815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2659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2731</v>
      </c>
      <c r="JI29" s="533">
        <v>40.9</v>
      </c>
      <c r="JJ29" s="679"/>
      <c r="JL29" s="350" t="s">
        <v>1392</v>
      </c>
      <c r="JM29" s="2">
        <f>SUM(JO8:JO9)</f>
        <v>175.82999999999998</v>
      </c>
      <c r="JN29" s="9" t="s">
        <v>2196</v>
      </c>
      <c r="JO29" s="534">
        <f>250+254+164+105</f>
        <v>773</v>
      </c>
      <c r="JQ29" s="2"/>
      <c r="JR29" s="348" t="s">
        <v>2166</v>
      </c>
      <c r="JS29" s="2">
        <f>SUM(JU14:JU22)</f>
        <v>1271.7839999999999</v>
      </c>
      <c r="JT29" s="9" t="s">
        <v>2196</v>
      </c>
      <c r="JU29" s="534">
        <f>144+160+67</f>
        <v>371</v>
      </c>
      <c r="JX29" s="794" t="s">
        <v>2780</v>
      </c>
      <c r="JY29" s="794"/>
      <c r="JZ29" s="337" t="s">
        <v>2916</v>
      </c>
      <c r="KA29" s="61">
        <v>175</v>
      </c>
      <c r="KB29" s="796" t="s">
        <v>1034</v>
      </c>
    </row>
    <row r="30" spans="1:290">
      <c r="A30" s="899" t="s">
        <v>992</v>
      </c>
      <c r="B30" s="899"/>
      <c r="E30" s="193" t="s">
        <v>372</v>
      </c>
      <c r="F30" s="194"/>
      <c r="G30" s="899" t="s">
        <v>992</v>
      </c>
      <c r="H30" s="899"/>
      <c r="K30" s="143" t="s">
        <v>1015</v>
      </c>
      <c r="L30" s="142">
        <v>64</v>
      </c>
      <c r="M30" s="866" t="s">
        <v>385</v>
      </c>
      <c r="N30" s="866"/>
      <c r="Q30"/>
      <c r="S30" s="866" t="s">
        <v>385</v>
      </c>
      <c r="T30" s="866"/>
      <c r="W30" s="143" t="s">
        <v>1014</v>
      </c>
      <c r="X30" s="142">
        <v>100.01</v>
      </c>
      <c r="Y30" s="901" t="s">
        <v>93</v>
      </c>
      <c r="Z30" s="901"/>
      <c r="AC30" s="142" t="s">
        <v>1087</v>
      </c>
      <c r="AD30" s="142">
        <v>65</v>
      </c>
      <c r="AE30" s="866" t="s">
        <v>385</v>
      </c>
      <c r="AF30" s="866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889" t="s">
        <v>1747</v>
      </c>
      <c r="FK30" s="889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2758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2758</v>
      </c>
      <c r="HW30">
        <f>SUM(HY26:HY30)</f>
        <v>251.94</v>
      </c>
      <c r="HX30" s="337" t="s">
        <v>2294</v>
      </c>
      <c r="HY30">
        <v>11</v>
      </c>
      <c r="HZ30" s="526" t="s">
        <v>2453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2360</v>
      </c>
      <c r="IE30">
        <v>62</v>
      </c>
      <c r="IF30" s="400" t="s">
        <v>2249</v>
      </c>
      <c r="IG30" s="443">
        <v>21.35</v>
      </c>
      <c r="IH30" s="401" t="s">
        <v>2391</v>
      </c>
      <c r="II30" s="510">
        <f>19.45*25</f>
        <v>486.25</v>
      </c>
      <c r="IJ30" s="337" t="s">
        <v>2432</v>
      </c>
      <c r="IK30">
        <v>34</v>
      </c>
      <c r="IL30" s="528" t="s">
        <v>2455</v>
      </c>
      <c r="IM30">
        <v>1.49</v>
      </c>
      <c r="IN30" s="401"/>
      <c r="IO30" s="510"/>
      <c r="IP30" s="337" t="s">
        <v>2546</v>
      </c>
      <c r="IQ30" s="61" t="s">
        <v>2547</v>
      </c>
      <c r="IR30" s="542"/>
      <c r="IS30" s="527"/>
      <c r="IT30" s="571" t="s">
        <v>2548</v>
      </c>
      <c r="IU30" s="353">
        <v>90</v>
      </c>
      <c r="IV30" s="409">
        <v>5</v>
      </c>
      <c r="IW30" s="543" t="s">
        <v>2545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2675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2735</v>
      </c>
      <c r="JI30" s="533">
        <f>8.65*2</f>
        <v>17.3</v>
      </c>
      <c r="JJ30" s="703"/>
      <c r="JL30" s="346" t="s">
        <v>2165</v>
      </c>
      <c r="JM30" s="2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">
        <f>SUM(JU23:JU27)</f>
        <v>179.60000000000002</v>
      </c>
      <c r="JT30" s="412">
        <v>24.07</v>
      </c>
      <c r="JU30" s="534"/>
      <c r="JX30" s="821" t="s">
        <v>1958</v>
      </c>
      <c r="JY30" s="273">
        <f>SUM(KA6:KA7)</f>
        <v>2900.15</v>
      </c>
      <c r="JZ30" s="337" t="s">
        <v>1533</v>
      </c>
      <c r="KA30" s="61">
        <v>45.73</v>
      </c>
    </row>
    <row r="31" spans="1:290" ht="12.75" customHeight="1">
      <c r="A31" s="901" t="s">
        <v>93</v>
      </c>
      <c r="B31" s="901"/>
      <c r="E31" s="193" t="s">
        <v>1007</v>
      </c>
      <c r="F31" s="170"/>
      <c r="G31" s="901" t="s">
        <v>93</v>
      </c>
      <c r="H31" s="901"/>
      <c r="K31" s="143" t="s">
        <v>1014</v>
      </c>
      <c r="L31" s="142">
        <v>50.01</v>
      </c>
      <c r="M31" s="902" t="s">
        <v>1001</v>
      </c>
      <c r="N31" s="902"/>
      <c r="Q31" s="143" t="s">
        <v>1052</v>
      </c>
      <c r="R31" s="142">
        <v>26</v>
      </c>
      <c r="S31" s="902" t="s">
        <v>1001</v>
      </c>
      <c r="T31" s="902"/>
      <c r="W31"/>
      <c r="Y31" s="866" t="s">
        <v>385</v>
      </c>
      <c r="Z31" s="866"/>
      <c r="AC31" s="142" t="s">
        <v>1090</v>
      </c>
      <c r="AD31" s="142">
        <v>10</v>
      </c>
      <c r="AE31" s="902" t="s">
        <v>1001</v>
      </c>
      <c r="AF31" s="902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2367</v>
      </c>
      <c r="IE31">
        <v>10</v>
      </c>
      <c r="IF31" s="253" t="s">
        <v>2274</v>
      </c>
      <c r="IG31" s="443">
        <v>125.91</v>
      </c>
      <c r="IH31" s="401"/>
      <c r="II31" s="510"/>
      <c r="IJ31" s="337" t="s">
        <v>2441</v>
      </c>
      <c r="IK31">
        <f>22+32.4</f>
        <v>54.4</v>
      </c>
      <c r="IL31" s="253"/>
      <c r="IM31" s="278"/>
      <c r="IN31" s="402"/>
      <c r="IP31" s="337" t="s">
        <v>2513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2676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2746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JK22+JM35-JQ19</f>
        <v>770</v>
      </c>
      <c r="JQ31" s="2"/>
      <c r="JR31" s="337" t="s">
        <v>2815</v>
      </c>
      <c r="JS31" s="2">
        <f>SUM(JU24:JU27)</f>
        <v>169.60000000000002</v>
      </c>
      <c r="JT31" s="386" t="s">
        <v>1411</v>
      </c>
      <c r="JU31" s="408">
        <f>JQ19+JS34-JW19</f>
        <v>70</v>
      </c>
      <c r="JX31" s="388" t="s">
        <v>2860</v>
      </c>
      <c r="JY31" s="273">
        <f>SUM(KA16:KA17)</f>
        <v>3078.0699999999997</v>
      </c>
      <c r="JZ31" s="337" t="s">
        <v>2913</v>
      </c>
      <c r="KA31" s="61">
        <f>48.9</f>
        <v>48.9</v>
      </c>
    </row>
    <row r="32" spans="1:290">
      <c r="A32" s="866" t="s">
        <v>385</v>
      </c>
      <c r="B32" s="866"/>
      <c r="E32" s="170"/>
      <c r="F32" s="170"/>
      <c r="G32" s="866" t="s">
        <v>385</v>
      </c>
      <c r="H32" s="866"/>
      <c r="K32"/>
      <c r="M32" s="898" t="s">
        <v>243</v>
      </c>
      <c r="N32" s="898"/>
      <c r="Q32" s="143" t="s">
        <v>1051</v>
      </c>
      <c r="R32" s="142">
        <v>55</v>
      </c>
      <c r="S32" s="898" t="s">
        <v>243</v>
      </c>
      <c r="T32" s="898"/>
      <c r="W32" s="243" t="s">
        <v>1072</v>
      </c>
      <c r="X32" s="243">
        <v>0</v>
      </c>
      <c r="Y32" s="902" t="s">
        <v>1001</v>
      </c>
      <c r="Z32" s="902"/>
      <c r="AE32" s="898" t="s">
        <v>243</v>
      </c>
      <c r="AF32" s="898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886" t="s">
        <v>1438</v>
      </c>
      <c r="DP32" s="886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2933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2280</v>
      </c>
      <c r="HY32" s="6">
        <v>10</v>
      </c>
      <c r="HZ32" s="1" t="s">
        <v>2012</v>
      </c>
      <c r="IA32" s="272">
        <v>3000</v>
      </c>
      <c r="IB32" s="337" t="s">
        <v>2758</v>
      </c>
      <c r="IC32">
        <f>SUM(IE31:IE35)</f>
        <v>210.71</v>
      </c>
      <c r="ID32" s="337" t="s">
        <v>2362</v>
      </c>
      <c r="IE32">
        <f>40.3+11+11.4+19.2</f>
        <v>81.899999999999991</v>
      </c>
      <c r="IF32" s="253" t="s">
        <v>2372</v>
      </c>
      <c r="IG32" s="278">
        <v>146</v>
      </c>
      <c r="IH32" s="401"/>
      <c r="II32" s="510"/>
      <c r="IJ32" s="337" t="s">
        <v>2442</v>
      </c>
      <c r="IK32">
        <f>10.1+8+57.3+1.6</f>
        <v>77</v>
      </c>
      <c r="IL32" t="s">
        <v>506</v>
      </c>
      <c r="IN32" s="844" t="s">
        <v>2170</v>
      </c>
      <c r="IO32" s="844"/>
      <c r="IP32" s="337" t="s">
        <v>2540</v>
      </c>
      <c r="IQ32" s="61">
        <v>6.5</v>
      </c>
      <c r="IR32" t="s">
        <v>506</v>
      </c>
      <c r="IV32" s="409">
        <v>10</v>
      </c>
      <c r="IW32" s="543" t="s">
        <v>2614</v>
      </c>
      <c r="IX32" s="570" t="s">
        <v>2379</v>
      </c>
      <c r="IZ32" s="346" t="s">
        <v>2165</v>
      </c>
      <c r="JA32" s="2">
        <f>SUM(JC11:JC13)</f>
        <v>762.4899999999999</v>
      </c>
      <c r="JB32" s="656" t="s">
        <v>2699</v>
      </c>
      <c r="JC32" s="533">
        <v>74.13</v>
      </c>
      <c r="JF32" s="348" t="s">
        <v>2166</v>
      </c>
      <c r="JG32" s="2">
        <f>SUM(JI16:JI24)</f>
        <v>412.16</v>
      </c>
      <c r="JH32" s="662" t="s">
        <v>2711</v>
      </c>
      <c r="JI32" s="78">
        <v>78</v>
      </c>
      <c r="JJ32" s="662" t="s">
        <v>506</v>
      </c>
      <c r="JL32" s="337" t="s">
        <v>2164</v>
      </c>
      <c r="JM32" s="363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2835</v>
      </c>
      <c r="JX32" s="350" t="s">
        <v>1392</v>
      </c>
      <c r="JY32" s="2">
        <f>SUM(KA8:KA8)</f>
        <v>0</v>
      </c>
      <c r="JZ32" s="337" t="s">
        <v>2932</v>
      </c>
      <c r="KA32" s="533">
        <v>31</v>
      </c>
      <c r="KB32" s="796" t="s">
        <v>2760</v>
      </c>
    </row>
    <row r="33" spans="1:291">
      <c r="A33" s="902" t="s">
        <v>1001</v>
      </c>
      <c r="B33" s="902"/>
      <c r="C33" s="3"/>
      <c r="D33" s="3"/>
      <c r="E33" s="246"/>
      <c r="F33" s="246"/>
      <c r="G33" s="902" t="s">
        <v>1001</v>
      </c>
      <c r="H33" s="902"/>
      <c r="K33" s="243" t="s">
        <v>1021</v>
      </c>
      <c r="L33" s="243"/>
      <c r="M33" s="900" t="s">
        <v>1034</v>
      </c>
      <c r="N33" s="900"/>
      <c r="Q33" s="143" t="s">
        <v>1016</v>
      </c>
      <c r="R33" s="142">
        <v>77.239999999999995</v>
      </c>
      <c r="S33" s="900" t="s">
        <v>1034</v>
      </c>
      <c r="T33" s="900"/>
      <c r="Y33" s="898" t="s">
        <v>243</v>
      </c>
      <c r="Z33" s="898"/>
      <c r="AC33" s="197" t="s">
        <v>1012</v>
      </c>
      <c r="AD33" s="142">
        <v>350</v>
      </c>
      <c r="AE33" s="900" t="s">
        <v>1034</v>
      </c>
      <c r="AF33" s="900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896" t="s">
        <v>1411</v>
      </c>
      <c r="DB33" s="897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2245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2590</v>
      </c>
      <c r="IC33" s="601">
        <f>SUM(IE54:IE58)</f>
        <v>235.25000000000003</v>
      </c>
      <c r="ID33" s="337" t="s">
        <v>2336</v>
      </c>
      <c r="IE33">
        <v>30.01</v>
      </c>
      <c r="IH33" s="401"/>
      <c r="II33" s="510"/>
      <c r="IJ33" s="337" t="s">
        <v>2934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2475</v>
      </c>
      <c r="IQ33" s="78">
        <v>40</v>
      </c>
      <c r="IR33" t="s">
        <v>93</v>
      </c>
      <c r="IU33" s="494"/>
      <c r="IV33" s="609" t="s">
        <v>2598</v>
      </c>
      <c r="IW33" s="532">
        <v>70</v>
      </c>
      <c r="IX33" s="570" t="s">
        <v>1674</v>
      </c>
      <c r="IZ33" s="348" t="s">
        <v>2166</v>
      </c>
      <c r="JA33" s="2">
        <f>SUM(JC17:JC25)</f>
        <v>1699.2099999999998</v>
      </c>
      <c r="JB33" s="656" t="s">
        <v>2702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2815</v>
      </c>
      <c r="JM33" s="2">
        <f>SUM(JO23:JO27)</f>
        <v>251.23</v>
      </c>
      <c r="JN33" s="409">
        <v>40</v>
      </c>
      <c r="JO33" s="543" t="s">
        <v>2783</v>
      </c>
      <c r="JT33" s="409">
        <v>10</v>
      </c>
      <c r="JU33" s="543" t="s">
        <v>1828</v>
      </c>
      <c r="JX33" s="346" t="s">
        <v>2165</v>
      </c>
      <c r="JY33" s="2">
        <f>SUM(KA9:KA15)</f>
        <v>2862.23</v>
      </c>
      <c r="JZ33" s="337" t="s">
        <v>2949</v>
      </c>
      <c r="KA33" s="533" t="s">
        <v>2952</v>
      </c>
    </row>
    <row r="34" spans="1:291">
      <c r="A34" s="898" t="s">
        <v>243</v>
      </c>
      <c r="B34" s="898"/>
      <c r="E34" s="170"/>
      <c r="F34" s="170"/>
      <c r="G34" s="898" t="s">
        <v>243</v>
      </c>
      <c r="H34" s="898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00" t="s">
        <v>1034</v>
      </c>
      <c r="Z34" s="900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2213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2346</v>
      </c>
      <c r="IE34">
        <v>40.840000000000003</v>
      </c>
      <c r="IF34" t="s">
        <v>506</v>
      </c>
      <c r="IH34" s="401"/>
      <c r="II34" s="510"/>
      <c r="IJ34" s="337" t="s">
        <v>2435</v>
      </c>
      <c r="IK34">
        <v>84.86</v>
      </c>
      <c r="IL34" t="s">
        <v>2379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2379</v>
      </c>
      <c r="IU34" s="494"/>
      <c r="IV34" s="504" t="s">
        <v>2579</v>
      </c>
      <c r="IW34" s="570">
        <v>8.67</v>
      </c>
      <c r="IZ34" s="337" t="s">
        <v>2164</v>
      </c>
      <c r="JA34" s="2">
        <f>SUM(JC26:JC34)</f>
        <v>354.85099999999994</v>
      </c>
      <c r="JB34" s="337" t="s">
        <v>2697</v>
      </c>
      <c r="JC34" s="61">
        <v>55</v>
      </c>
      <c r="JF34" s="337" t="s">
        <v>2815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2774</v>
      </c>
      <c r="JP34" s="711" t="s">
        <v>506</v>
      </c>
      <c r="JR34" s="341" t="s">
        <v>2865</v>
      </c>
      <c r="JS34" s="353">
        <v>100</v>
      </c>
      <c r="JT34" s="409">
        <v>10</v>
      </c>
      <c r="JU34" s="543" t="s">
        <v>2837</v>
      </c>
      <c r="JX34" s="348" t="s">
        <v>2166</v>
      </c>
      <c r="JY34" s="2">
        <f>SUM(KA18:KA26)</f>
        <v>405.64</v>
      </c>
      <c r="JZ34" s="337" t="s">
        <v>1863</v>
      </c>
    </row>
    <row r="35" spans="1:291" ht="14.25" customHeight="1">
      <c r="A35" s="904" t="s">
        <v>342</v>
      </c>
      <c r="B35" s="904"/>
      <c r="E35" s="187" t="s">
        <v>368</v>
      </c>
      <c r="F35" s="170"/>
      <c r="G35" s="904" t="s">
        <v>342</v>
      </c>
      <c r="H35" s="904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2758</v>
      </c>
      <c r="HR35" s="409">
        <v>4</v>
      </c>
      <c r="HS35" s="340" t="s">
        <v>2247</v>
      </c>
      <c r="HT35" s="398"/>
      <c r="HU35" s="278"/>
      <c r="HV35" s="340" t="s">
        <v>2275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2356</v>
      </c>
      <c r="IE35">
        <v>47.96</v>
      </c>
      <c r="IF35" t="s">
        <v>93</v>
      </c>
      <c r="IH35" s="401"/>
      <c r="II35" s="510"/>
      <c r="IJ35" s="337" t="s">
        <v>2437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2579</v>
      </c>
      <c r="IW35" s="533">
        <v>23.08</v>
      </c>
      <c r="IZ35" s="337" t="s">
        <v>2815</v>
      </c>
      <c r="JA35" s="2">
        <f>SUM(JC28:JC34)</f>
        <v>337.85099999999994</v>
      </c>
      <c r="JB35" s="616" t="s">
        <v>2712</v>
      </c>
      <c r="JC35" s="78">
        <v>16.87</v>
      </c>
      <c r="JH35" s="386" t="s">
        <v>1411</v>
      </c>
      <c r="JI35" s="408">
        <f>JE21+JG37-JK22</f>
        <v>100</v>
      </c>
      <c r="JL35" s="714" t="s">
        <v>2814</v>
      </c>
      <c r="JM35" s="353">
        <f>50+400+200+100</f>
        <v>750</v>
      </c>
      <c r="JN35" s="409">
        <v>9</v>
      </c>
      <c r="JO35" s="543" t="s">
        <v>2773</v>
      </c>
      <c r="JP35" s="711" t="s">
        <v>93</v>
      </c>
      <c r="JT35" s="409">
        <v>10</v>
      </c>
      <c r="JU35" s="543" t="s">
        <v>2849</v>
      </c>
      <c r="JX35" s="337" t="s">
        <v>2164</v>
      </c>
      <c r="JY35" s="2">
        <f>SUM(KA27:KA32)</f>
        <v>495.63</v>
      </c>
      <c r="JZ35" s="796" t="s">
        <v>2711</v>
      </c>
      <c r="KA35" s="78">
        <v>8</v>
      </c>
    </row>
    <row r="36" spans="1:291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2286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2301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2436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2588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2709</v>
      </c>
      <c r="JN36" s="409">
        <v>10</v>
      </c>
      <c r="JO36" s="543" t="s">
        <v>2784</v>
      </c>
      <c r="JP36" s="711" t="s">
        <v>1034</v>
      </c>
      <c r="JS36" s="494"/>
      <c r="JT36" s="757" t="s">
        <v>2874</v>
      </c>
      <c r="JU36" s="533">
        <v>139</v>
      </c>
      <c r="JX36" s="337" t="s">
        <v>2815</v>
      </c>
      <c r="JY36" s="2">
        <f>SUM(KA30:KA32)</f>
        <v>125.63</v>
      </c>
      <c r="JZ36" s="9" t="s">
        <v>2196</v>
      </c>
      <c r="KA36" s="534">
        <f>201+314+19</f>
        <v>534</v>
      </c>
    </row>
    <row r="37" spans="1:291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891" t="s">
        <v>1536</v>
      </c>
      <c r="DT37" s="892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2284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2229</v>
      </c>
      <c r="HQ37" s="353">
        <v>100</v>
      </c>
      <c r="HR37" s="409">
        <v>20</v>
      </c>
      <c r="HS37" s="340" t="s">
        <v>2218</v>
      </c>
      <c r="HT37" s="400"/>
      <c r="HU37" s="278"/>
      <c r="HX37" s="409">
        <v>40</v>
      </c>
      <c r="HY37" s="340" t="s">
        <v>1828</v>
      </c>
      <c r="HZ37" s="253" t="s">
        <v>2248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2476</v>
      </c>
      <c r="IV37" s="504" t="s">
        <v>2597</v>
      </c>
      <c r="IW37" s="533">
        <v>104.35</v>
      </c>
      <c r="JB37" s="412">
        <v>23.85</v>
      </c>
      <c r="JC37" s="534"/>
      <c r="JF37" s="670" t="s">
        <v>2737</v>
      </c>
      <c r="JG37" s="353">
        <v>200</v>
      </c>
      <c r="JH37" s="409">
        <v>8</v>
      </c>
      <c r="JI37" s="543" t="s">
        <v>2715</v>
      </c>
      <c r="JN37" s="409">
        <v>192.7</v>
      </c>
      <c r="JO37" s="543" t="s">
        <v>2813</v>
      </c>
      <c r="JS37" s="494"/>
      <c r="JT37" s="819" t="s">
        <v>2887</v>
      </c>
      <c r="JU37" s="820">
        <v>5.35</v>
      </c>
      <c r="JZ37" s="412">
        <v>19.5</v>
      </c>
      <c r="KA37" s="534"/>
    </row>
    <row r="38" spans="1:291" ht="13.8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2219</v>
      </c>
      <c r="HT38" t="s">
        <v>506</v>
      </c>
      <c r="HX38" s="409">
        <v>40</v>
      </c>
      <c r="HY38" s="340" t="s">
        <v>2300</v>
      </c>
      <c r="HZ38" s="400" t="s">
        <v>2249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2466</v>
      </c>
      <c r="IV38" s="504" t="s">
        <v>2597</v>
      </c>
      <c r="IW38" s="533">
        <v>51.81</v>
      </c>
      <c r="IZ38" s="639" t="s">
        <v>2653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2777</v>
      </c>
      <c r="JT38" s="783" t="s">
        <v>2838</v>
      </c>
      <c r="JU38" s="781">
        <v>2.2000000000000002</v>
      </c>
      <c r="JZ38" s="386" t="s">
        <v>1411</v>
      </c>
      <c r="KA38" s="408">
        <f>JW19+JY40+JY7-KC17</f>
        <v>220</v>
      </c>
    </row>
    <row r="39" spans="1:291" ht="13.8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2226</v>
      </c>
      <c r="HS39" s="410">
        <v>9.9</v>
      </c>
      <c r="HT39" t="s">
        <v>93</v>
      </c>
      <c r="HX39" s="409">
        <v>40</v>
      </c>
      <c r="HY39" s="340" t="s">
        <v>2272</v>
      </c>
      <c r="HZ39" s="253" t="s">
        <v>2274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2758</v>
      </c>
      <c r="IO39" s="2">
        <f>SUM(IQ25:IQ32)</f>
        <v>303.81</v>
      </c>
      <c r="IP39" s="409">
        <v>7.9</v>
      </c>
      <c r="IQ39" s="543" t="s">
        <v>2467</v>
      </c>
      <c r="IV39" s="504" t="s">
        <v>2597</v>
      </c>
      <c r="IW39" s="533">
        <v>28.77</v>
      </c>
      <c r="IZ39" s="342"/>
      <c r="JA39" s="753"/>
      <c r="JB39" s="409">
        <v>130</v>
      </c>
      <c r="JC39" s="543" t="s">
        <v>2623</v>
      </c>
      <c r="JH39" s="409">
        <v>10</v>
      </c>
      <c r="JI39" s="543" t="s">
        <v>2734</v>
      </c>
      <c r="JM39" s="494"/>
      <c r="JN39" s="409">
        <v>10</v>
      </c>
      <c r="JO39" s="63" t="s">
        <v>2778</v>
      </c>
      <c r="JS39" s="786" t="s">
        <v>2889</v>
      </c>
      <c r="JT39" s="783" t="s">
        <v>2863</v>
      </c>
      <c r="JU39" s="781">
        <v>89.39</v>
      </c>
      <c r="JZ39" s="409">
        <v>34</v>
      </c>
      <c r="KA39" s="822" t="s">
        <v>2891</v>
      </c>
      <c r="KD39" s="813"/>
    </row>
    <row r="40" spans="1:291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886" t="s">
        <v>1438</v>
      </c>
      <c r="DJ40" s="886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2239</v>
      </c>
      <c r="HS40" s="344">
        <v>10.57</v>
      </c>
      <c r="HX40" s="409">
        <v>20</v>
      </c>
      <c r="HY40" s="340" t="s">
        <v>2297</v>
      </c>
      <c r="ID40" s="409">
        <v>70</v>
      </c>
      <c r="IE40" s="340" t="s">
        <v>2219</v>
      </c>
      <c r="IH40" s="844" t="s">
        <v>2170</v>
      </c>
      <c r="II40" s="844"/>
      <c r="IJ40" s="409">
        <v>20</v>
      </c>
      <c r="IK40" s="340" t="s">
        <v>2404</v>
      </c>
      <c r="IN40" s="340" t="s">
        <v>2534</v>
      </c>
      <c r="IO40" s="353">
        <f>100+400+100+100</f>
        <v>700</v>
      </c>
      <c r="IP40" s="409">
        <v>6</v>
      </c>
      <c r="IQ40" s="543" t="s">
        <v>2219</v>
      </c>
      <c r="IV40" s="400"/>
      <c r="IW40" s="533"/>
      <c r="JA40" s="494"/>
      <c r="JB40" s="409">
        <v>30</v>
      </c>
      <c r="JC40" s="543" t="s">
        <v>2656</v>
      </c>
      <c r="JH40" s="409">
        <v>12</v>
      </c>
      <c r="JI40" s="543" t="s">
        <v>2738</v>
      </c>
      <c r="JL40" s="745"/>
      <c r="JM40" s="494"/>
      <c r="JN40" s="409">
        <f>86*3+96</f>
        <v>354</v>
      </c>
      <c r="JO40" s="63" t="s">
        <v>2779</v>
      </c>
      <c r="JP40" s="745"/>
      <c r="JQ40" s="745"/>
      <c r="JT40" s="780" t="s">
        <v>2839</v>
      </c>
      <c r="JU40" s="781">
        <f>69.93+136.83</f>
        <v>206.76000000000002</v>
      </c>
      <c r="JX40" s="341" t="s">
        <v>2878</v>
      </c>
      <c r="JY40" s="353">
        <v>0</v>
      </c>
      <c r="JZ40" s="409">
        <v>15</v>
      </c>
      <c r="KA40" s="543" t="s">
        <v>2919</v>
      </c>
      <c r="KE40" s="745"/>
    </row>
    <row r="41" spans="1:291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2770</v>
      </c>
      <c r="JO41" s="533">
        <v>7.5</v>
      </c>
      <c r="JP41" s="724"/>
      <c r="JQ41" s="724"/>
      <c r="JR41" s="757"/>
      <c r="JS41" s="757"/>
      <c r="JT41" s="782" t="s">
        <v>2856</v>
      </c>
      <c r="JU41" s="781">
        <v>18.8</v>
      </c>
      <c r="JV41" s="757"/>
      <c r="JW41" s="757"/>
      <c r="JX41" s="796"/>
      <c r="JY41" s="796"/>
      <c r="JZ41" s="409">
        <v>7</v>
      </c>
      <c r="KA41" s="543" t="s">
        <v>1310</v>
      </c>
      <c r="KB41" s="813"/>
      <c r="KC41" s="813"/>
      <c r="KD41" s="796"/>
      <c r="KE41"/>
    </row>
    <row r="42" spans="1:291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2285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2267</v>
      </c>
      <c r="HS42" s="344">
        <v>65.7</v>
      </c>
      <c r="HX42" s="409">
        <v>45</v>
      </c>
      <c r="HY42" s="340" t="s">
        <v>2296</v>
      </c>
      <c r="IB42" s="340" t="s">
        <v>2327</v>
      </c>
      <c r="IC42" s="353">
        <v>205</v>
      </c>
      <c r="ID42" s="409">
        <v>15</v>
      </c>
      <c r="IE42" s="340" t="s">
        <v>2313</v>
      </c>
      <c r="IH42" s="351" t="s">
        <v>1958</v>
      </c>
      <c r="II42" s="273">
        <f>SUM(IK7:IK9)</f>
        <v>1946.12</v>
      </c>
      <c r="IJ42" s="409">
        <v>40</v>
      </c>
      <c r="IK42" s="340" t="s">
        <v>2380</v>
      </c>
      <c r="IP42" s="409">
        <v>30</v>
      </c>
      <c r="IQ42" s="543" t="s">
        <v>2471</v>
      </c>
      <c r="IV42" s="400"/>
      <c r="IW42" s="533"/>
      <c r="JA42" s="495"/>
      <c r="JB42" s="409">
        <v>30</v>
      </c>
      <c r="JC42" s="543" t="s">
        <v>2639</v>
      </c>
      <c r="JG42" s="494"/>
      <c r="JH42" s="504" t="s">
        <v>2714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13"/>
      <c r="JS42" s="813"/>
      <c r="JT42" s="783" t="s">
        <v>2845</v>
      </c>
      <c r="JU42" s="781">
        <v>89.8</v>
      </c>
      <c r="JZ42" s="834">
        <v>20</v>
      </c>
      <c r="KA42" s="835" t="s">
        <v>2925</v>
      </c>
      <c r="KE42" s="813"/>
    </row>
    <row r="43" spans="1:291" s="813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7"/>
      <c r="ES43" s="320"/>
      <c r="EX43" s="816"/>
      <c r="EY43" s="816"/>
      <c r="FD43" s="816"/>
      <c r="FE43" s="816"/>
      <c r="FF43" s="816"/>
      <c r="FG43" s="816"/>
      <c r="FJ43" s="816"/>
      <c r="FK43" s="816"/>
      <c r="FL43" s="818"/>
      <c r="FM43" s="278"/>
      <c r="FP43" s="815"/>
      <c r="FQ43" s="341"/>
      <c r="FV43" s="814"/>
      <c r="FW43" s="816"/>
      <c r="GB43" s="816"/>
      <c r="GH43" s="814"/>
      <c r="GI43" s="816"/>
      <c r="GN43" s="337"/>
      <c r="GP43" s="818"/>
      <c r="GQ43" s="278"/>
      <c r="GT43" s="393"/>
      <c r="GU43" s="815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15"/>
      <c r="IH43" s="351"/>
      <c r="II43" s="273"/>
      <c r="IJ43" s="409"/>
      <c r="IK43" s="815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R43" s="757"/>
      <c r="JS43" s="757"/>
      <c r="JT43" s="783" t="s">
        <v>1557</v>
      </c>
      <c r="JU43" s="781">
        <v>19.899999999999999</v>
      </c>
      <c r="JX43" s="796"/>
      <c r="JY43" s="796"/>
      <c r="JZ43" s="409">
        <v>20</v>
      </c>
      <c r="KA43" s="543" t="s">
        <v>2926</v>
      </c>
      <c r="KB43" s="796"/>
      <c r="KC43" s="796"/>
      <c r="KD43" s="796"/>
      <c r="KE43"/>
    </row>
    <row r="44" spans="1:291" ht="13.8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2214</v>
      </c>
      <c r="HS44" s="344">
        <v>2.54</v>
      </c>
      <c r="HX44" s="398" t="s">
        <v>2270</v>
      </c>
      <c r="HY44" s="344">
        <v>98.89</v>
      </c>
      <c r="HZ44" t="s">
        <v>506</v>
      </c>
      <c r="ID44" s="409">
        <v>10</v>
      </c>
      <c r="IE44" s="340" t="s">
        <v>2347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2403</v>
      </c>
      <c r="IP44" s="409">
        <v>20</v>
      </c>
      <c r="IQ44" s="543" t="s">
        <v>2529</v>
      </c>
      <c r="IV44" s="400"/>
      <c r="IW44" s="533"/>
      <c r="IX44" s="745"/>
      <c r="IY44" s="745"/>
      <c r="JB44" s="409">
        <v>13</v>
      </c>
      <c r="JC44" s="543" t="s">
        <v>2670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13"/>
      <c r="JM44" s="813"/>
      <c r="JN44" s="504" t="s">
        <v>2818</v>
      </c>
      <c r="JO44" s="533">
        <v>13.3</v>
      </c>
      <c r="JT44" s="784" t="s">
        <v>2597</v>
      </c>
      <c r="JU44" s="785">
        <f>80.82+75.78</f>
        <v>156.6</v>
      </c>
      <c r="JZ44" s="409">
        <v>80</v>
      </c>
      <c r="KA44" s="543" t="s">
        <v>2927</v>
      </c>
    </row>
    <row r="45" spans="1:291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2315</v>
      </c>
      <c r="HY45" s="600"/>
      <c r="HZ45" t="s">
        <v>93</v>
      </c>
      <c r="ID45" s="409">
        <f>20+9</f>
        <v>29</v>
      </c>
      <c r="IE45" s="340" t="s">
        <v>2363</v>
      </c>
      <c r="IH45" s="362" t="s">
        <v>1392</v>
      </c>
      <c r="II45" s="2">
        <f>SUM(IK10:IK11)</f>
        <v>3467.75</v>
      </c>
      <c r="IJ45" s="409">
        <v>20</v>
      </c>
      <c r="IK45" s="340" t="s">
        <v>2427</v>
      </c>
      <c r="IO45" s="494"/>
      <c r="IP45" s="409">
        <v>12</v>
      </c>
      <c r="IQ45" s="543" t="s">
        <v>2484</v>
      </c>
      <c r="IV45" s="577"/>
      <c r="IW45" s="579"/>
      <c r="JB45" s="609" t="s">
        <v>2640</v>
      </c>
      <c r="JC45" s="532">
        <v>18</v>
      </c>
      <c r="JG45" s="495"/>
      <c r="JH45" s="400" t="s">
        <v>2765</v>
      </c>
      <c r="JI45" s="533">
        <v>65</v>
      </c>
      <c r="JN45" s="711" t="s">
        <v>2817</v>
      </c>
      <c r="JO45" s="533">
        <v>120.36</v>
      </c>
      <c r="JT45" s="805" t="s">
        <v>2892</v>
      </c>
      <c r="JU45" s="806">
        <v>27.83</v>
      </c>
      <c r="JX45" s="813"/>
      <c r="JY45" s="813"/>
      <c r="JZ45" s="409">
        <v>30</v>
      </c>
      <c r="KA45" s="543" t="s">
        <v>1828</v>
      </c>
    </row>
    <row r="46" spans="1:291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2374</v>
      </c>
      <c r="IE46" s="344">
        <v>23</v>
      </c>
      <c r="IH46" s="346" t="s">
        <v>2165</v>
      </c>
      <c r="II46" s="2">
        <f>SUM(IK12:IK13)</f>
        <v>2138.0500000000002</v>
      </c>
      <c r="IJ46" s="409">
        <v>5</v>
      </c>
      <c r="IK46" s="340" t="s">
        <v>2406</v>
      </c>
      <c r="IO46" s="494"/>
      <c r="IP46" s="409">
        <v>20</v>
      </c>
      <c r="IQ46" s="543" t="s">
        <v>2219</v>
      </c>
      <c r="IV46" s="202"/>
      <c r="IW46" s="357"/>
      <c r="JB46" s="504" t="s">
        <v>2454</v>
      </c>
      <c r="JC46" s="616">
        <v>86.8</v>
      </c>
      <c r="JH46" s="504" t="s">
        <v>2703</v>
      </c>
      <c r="JI46" s="533">
        <v>13.3</v>
      </c>
      <c r="JN46" s="400" t="s">
        <v>2804</v>
      </c>
      <c r="JO46" s="533">
        <v>2.79</v>
      </c>
      <c r="JT46" s="805" t="s">
        <v>2868</v>
      </c>
      <c r="JU46" s="806">
        <v>8.61</v>
      </c>
      <c r="JZ46" s="409"/>
      <c r="KA46" s="543"/>
    </row>
    <row r="47" spans="1:291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2309</v>
      </c>
      <c r="HY47">
        <f>40+150</f>
        <v>190</v>
      </c>
      <c r="ID47" s="400" t="s">
        <v>2330</v>
      </c>
      <c r="IE47">
        <v>54.8</v>
      </c>
      <c r="IH47" s="345" t="s">
        <v>2166</v>
      </c>
      <c r="II47" s="2">
        <f>SUM(IK16:IK23)</f>
        <v>1252.2433333333333</v>
      </c>
      <c r="IJ47" s="409">
        <v>7</v>
      </c>
      <c r="IK47" s="340" t="s">
        <v>2423</v>
      </c>
      <c r="IO47" s="495"/>
      <c r="IP47" s="353">
        <v>10</v>
      </c>
      <c r="IQ47" s="543" t="s">
        <v>2494</v>
      </c>
      <c r="IV47" s="202"/>
      <c r="IW47" s="202"/>
      <c r="JB47" s="504" t="s">
        <v>2674</v>
      </c>
      <c r="JC47" s="533">
        <v>36.9</v>
      </c>
      <c r="JH47" s="202" t="s">
        <v>2763</v>
      </c>
      <c r="JI47" s="357">
        <v>3</v>
      </c>
      <c r="JN47" s="504" t="s">
        <v>2822</v>
      </c>
      <c r="JO47" s="533">
        <v>8.5500000000000007</v>
      </c>
      <c r="JT47" s="805" t="s">
        <v>2869</v>
      </c>
      <c r="JU47" s="806">
        <v>19.46</v>
      </c>
    </row>
    <row r="48" spans="1:291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2278</v>
      </c>
      <c r="HY48" s="344">
        <v>150</v>
      </c>
      <c r="ID48" s="400" t="s">
        <v>1656</v>
      </c>
      <c r="IE48">
        <v>54.6</v>
      </c>
      <c r="IH48" s="337" t="s">
        <v>2164</v>
      </c>
      <c r="II48" s="2">
        <f>SUM(IK24:IK36)</f>
        <v>602.14</v>
      </c>
      <c r="IJ48" s="353">
        <f>-IK7</f>
        <v>-15</v>
      </c>
      <c r="IK48" s="340" t="s">
        <v>2407</v>
      </c>
      <c r="IP48" s="353">
        <f>17+11+6</f>
        <v>34</v>
      </c>
      <c r="IQ48" s="543" t="s">
        <v>2522</v>
      </c>
      <c r="IV48" s="398"/>
      <c r="IW48" s="202"/>
      <c r="JB48" s="504" t="s">
        <v>2703</v>
      </c>
      <c r="JC48" s="533">
        <v>13.3</v>
      </c>
      <c r="JH48" s="202"/>
      <c r="JI48" s="202"/>
      <c r="JN48" s="504" t="s">
        <v>2823</v>
      </c>
      <c r="JO48" s="533">
        <v>10.35</v>
      </c>
      <c r="JS48" s="65" t="s">
        <v>2883</v>
      </c>
      <c r="JT48" s="805" t="s">
        <v>2871</v>
      </c>
      <c r="JU48" s="807">
        <f>5.42+0.41+0.58+2.33+0.29+0.28+0.26+1.45+0.29+4.73+1.54</f>
        <v>17.579999999999998</v>
      </c>
      <c r="JZ48" s="796" t="s">
        <v>2893</v>
      </c>
      <c r="KA48" s="796">
        <v>31.001000000000001</v>
      </c>
    </row>
    <row r="49" spans="41:289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885" t="s">
        <v>2092</v>
      </c>
      <c r="GZ49" s="360" t="s">
        <v>2110</v>
      </c>
      <c r="HA49" s="6">
        <v>6</v>
      </c>
      <c r="HX49" s="603" t="s">
        <v>2305</v>
      </c>
      <c r="HY49">
        <f>389.7+107.1</f>
        <v>496.79999999999995</v>
      </c>
      <c r="ID49" s="400" t="s">
        <v>2351</v>
      </c>
      <c r="IE49">
        <v>195.81</v>
      </c>
      <c r="IH49" s="337" t="s">
        <v>2758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2528</v>
      </c>
      <c r="IV49" s="202"/>
      <c r="IW49" s="342"/>
      <c r="JB49" s="400"/>
      <c r="JC49" s="533"/>
      <c r="JH49" s="398"/>
      <c r="JI49" s="202"/>
      <c r="JN49" s="504" t="s">
        <v>2824</v>
      </c>
      <c r="JO49" s="533">
        <v>15.000999999999999</v>
      </c>
      <c r="JS49" s="212" t="s">
        <v>2884</v>
      </c>
      <c r="JT49" s="805" t="s">
        <v>2873</v>
      </c>
      <c r="JU49" s="808">
        <f>0.29*3</f>
        <v>0.86999999999999988</v>
      </c>
      <c r="JZ49" s="796" t="s">
        <v>2912</v>
      </c>
      <c r="KA49" s="796">
        <v>21.81</v>
      </c>
    </row>
    <row r="50" spans="41:289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885"/>
      <c r="GZ50" t="s">
        <v>2086</v>
      </c>
      <c r="HA50" s="210">
        <v>670.00099999999998</v>
      </c>
      <c r="HX50" s="602" t="s">
        <v>2277</v>
      </c>
      <c r="HY50" s="410">
        <v>14.4</v>
      </c>
      <c r="ID50" s="400" t="s">
        <v>2359</v>
      </c>
      <c r="IE50">
        <v>50</v>
      </c>
      <c r="IH50" s="340" t="s">
        <v>2429</v>
      </c>
      <c r="II50" s="353">
        <v>300</v>
      </c>
      <c r="IJ50" s="353">
        <v>20</v>
      </c>
      <c r="IK50" s="340" t="s">
        <v>2425</v>
      </c>
      <c r="IP50" s="504" t="s">
        <v>2468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2825</v>
      </c>
      <c r="JO50" s="357">
        <v>7.67</v>
      </c>
      <c r="JS50" s="812"/>
      <c r="JT50" s="809" t="s">
        <v>2875</v>
      </c>
      <c r="JU50" s="807">
        <v>21.27</v>
      </c>
      <c r="JZ50" s="796" t="s">
        <v>2917</v>
      </c>
      <c r="KA50" s="796">
        <v>11.25</v>
      </c>
    </row>
    <row r="51" spans="41:289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885"/>
      <c r="GZ51" s="210" t="s">
        <v>2117</v>
      </c>
      <c r="HX51" s="603" t="s">
        <v>2307</v>
      </c>
      <c r="HY51">
        <v>17.88</v>
      </c>
      <c r="ID51" s="400" t="s">
        <v>2361</v>
      </c>
      <c r="IE51">
        <v>26.8</v>
      </c>
      <c r="IJ51" s="409">
        <v>10</v>
      </c>
      <c r="IK51" s="63" t="s">
        <v>2401</v>
      </c>
      <c r="IP51" s="504" t="s">
        <v>2454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2826</v>
      </c>
      <c r="JO51" s="357">
        <v>3</v>
      </c>
      <c r="JT51" s="810" t="s">
        <v>2872</v>
      </c>
      <c r="JU51" s="811"/>
      <c r="JZ51" s="796" t="s">
        <v>2913</v>
      </c>
      <c r="KA51" s="796">
        <v>117.5</v>
      </c>
    </row>
    <row r="52" spans="41:289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885"/>
      <c r="GZ52" t="s">
        <v>2085</v>
      </c>
      <c r="HA52" s="6">
        <v>50.000999999999998</v>
      </c>
      <c r="HF52" s="1"/>
      <c r="HX52" s="603" t="s">
        <v>2308</v>
      </c>
      <c r="HY52">
        <v>23.86</v>
      </c>
      <c r="IJ52" s="504" t="s">
        <v>2397</v>
      </c>
      <c r="IK52" s="515">
        <f>161+14</f>
        <v>175</v>
      </c>
      <c r="IP52" s="504" t="s">
        <v>2460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796" t="s">
        <v>2928</v>
      </c>
      <c r="KA52" s="833">
        <v>36.200000000000003</v>
      </c>
    </row>
    <row r="53" spans="41:289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2306</v>
      </c>
      <c r="HY53">
        <v>19.89</v>
      </c>
      <c r="ID53" s="491" t="s">
        <v>2315</v>
      </c>
      <c r="IE53" s="491"/>
      <c r="II53" s="494"/>
      <c r="IJ53" s="504" t="s">
        <v>2418</v>
      </c>
      <c r="IK53" s="515">
        <v>87.8</v>
      </c>
      <c r="IP53" s="398" t="s">
        <v>2485</v>
      </c>
      <c r="IQ53" s="533">
        <v>84.9</v>
      </c>
      <c r="IV53" s="400"/>
      <c r="JB53" s="202"/>
      <c r="JC53" s="357"/>
      <c r="JH53" s="400"/>
      <c r="JI53" s="202"/>
      <c r="JZ53" s="813" t="s">
        <v>2929</v>
      </c>
      <c r="KA53" s="813">
        <v>69</v>
      </c>
    </row>
    <row r="54" spans="41:289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2295</v>
      </c>
      <c r="HY54">
        <f>30.9+469.82+100.14+34.91</f>
        <v>635.77</v>
      </c>
      <c r="ID54" s="214" t="s">
        <v>2314</v>
      </c>
      <c r="IE54" s="142">
        <f>30+139.5</f>
        <v>169.5</v>
      </c>
      <c r="II54" s="494"/>
      <c r="IJ54" s="504" t="s">
        <v>2428</v>
      </c>
      <c r="IK54" s="515">
        <f>40.6+11.5</f>
        <v>52.1</v>
      </c>
      <c r="IP54" s="400" t="s">
        <v>2486</v>
      </c>
      <c r="IQ54" s="533">
        <v>105.8</v>
      </c>
      <c r="IV54" s="400"/>
      <c r="JB54" s="202"/>
      <c r="JC54" s="202"/>
      <c r="JH54" s="400"/>
      <c r="JZ54" s="796" t="s">
        <v>2930</v>
      </c>
      <c r="KA54" s="796">
        <v>29.9</v>
      </c>
    </row>
    <row r="55" spans="41:289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2266</v>
      </c>
      <c r="HY55" s="142">
        <v>7329.5</v>
      </c>
      <c r="ID55" s="214" t="s">
        <v>2328</v>
      </c>
      <c r="IE55">
        <v>15.32</v>
      </c>
      <c r="II55" s="495"/>
      <c r="IJ55" s="504" t="s">
        <v>2445</v>
      </c>
      <c r="IK55" s="515">
        <v>10.49</v>
      </c>
      <c r="IP55" s="400" t="s">
        <v>2489</v>
      </c>
      <c r="IQ55" s="533"/>
      <c r="IV55" s="400"/>
      <c r="JB55" s="398"/>
      <c r="JC55" s="202"/>
      <c r="JH55" s="400"/>
      <c r="JZ55" s="796" t="s">
        <v>2931</v>
      </c>
      <c r="KA55" s="836">
        <v>2.2000000000000002</v>
      </c>
    </row>
    <row r="56" spans="41:289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2329</v>
      </c>
      <c r="IE56" s="344">
        <v>67.61</v>
      </c>
      <c r="IJ56" s="504" t="s">
        <v>2295</v>
      </c>
      <c r="IK56" s="515">
        <v>135.09</v>
      </c>
      <c r="IP56" s="400" t="s">
        <v>2480</v>
      </c>
      <c r="IQ56" s="533">
        <v>47.05</v>
      </c>
      <c r="JB56" s="202"/>
      <c r="JC56" s="342"/>
      <c r="JH56" s="400"/>
      <c r="JZ56" s="796" t="s">
        <v>2951</v>
      </c>
      <c r="KA56" s="407">
        <f>30/5.217</f>
        <v>5.7504312823461765</v>
      </c>
    </row>
    <row r="57" spans="41:289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2337</v>
      </c>
      <c r="IE57" s="493">
        <v>-25.98</v>
      </c>
      <c r="IJ57" s="491" t="s">
        <v>2426</v>
      </c>
      <c r="IK57" s="491"/>
      <c r="IP57" s="400" t="s">
        <v>2530</v>
      </c>
      <c r="IQ57" s="579">
        <v>22.2</v>
      </c>
      <c r="JB57" s="400"/>
      <c r="JC57" s="578"/>
      <c r="JZ57" s="796" t="s">
        <v>2944</v>
      </c>
      <c r="KA57" s="796">
        <v>9.8000000000000007</v>
      </c>
      <c r="KC57" s="390"/>
    </row>
    <row r="58" spans="41:289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2357</v>
      </c>
      <c r="IE58">
        <v>8.8000000000000007</v>
      </c>
      <c r="IJ58" s="400" t="s">
        <v>2375</v>
      </c>
      <c r="IK58">
        <v>150</v>
      </c>
      <c r="IP58" s="577" t="s">
        <v>2533</v>
      </c>
      <c r="IQ58" s="357">
        <v>22.6</v>
      </c>
      <c r="JB58" s="400"/>
      <c r="JC58" s="202"/>
    </row>
    <row r="59" spans="41:289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2371</v>
      </c>
      <c r="IE59">
        <f>2000+1311.79</f>
        <v>3311.79</v>
      </c>
      <c r="IJ59" s="400" t="s">
        <v>2357</v>
      </c>
      <c r="IK59">
        <v>5.4</v>
      </c>
      <c r="IP59" s="202"/>
      <c r="IQ59" s="202"/>
      <c r="JB59" s="400"/>
      <c r="JC59" s="202"/>
      <c r="JW59" s="390"/>
    </row>
    <row r="60" spans="41:289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</row>
    <row r="61" spans="41:289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</row>
    <row r="62" spans="41:289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</row>
    <row r="63" spans="41:289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</row>
    <row r="64" spans="41:289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Q64" s="390"/>
    </row>
    <row r="65" spans="111:271">
      <c r="DG65" s="218" t="s">
        <v>1167</v>
      </c>
      <c r="DH65" s="302">
        <v>1500</v>
      </c>
      <c r="IP65" s="400"/>
      <c r="JK65" s="390"/>
    </row>
    <row r="66" spans="111:271">
      <c r="IJ66" s="398"/>
      <c r="IK66" s="344"/>
      <c r="IP66" s="400"/>
    </row>
    <row r="67" spans="111:271">
      <c r="IK67" s="493"/>
      <c r="IM67" s="390"/>
      <c r="IP67" s="400"/>
      <c r="IS67" s="390"/>
    </row>
    <row r="68" spans="111:271">
      <c r="IJ68" s="400"/>
      <c r="IP68" s="400"/>
    </row>
    <row r="69" spans="111:271">
      <c r="HO69" s="390"/>
      <c r="IG69" s="390"/>
      <c r="IJ69" s="400"/>
    </row>
    <row r="70" spans="111:271">
      <c r="IJ70" s="400"/>
    </row>
    <row r="71" spans="111:271">
      <c r="IJ71" s="400"/>
    </row>
    <row r="72" spans="111:271">
      <c r="IJ72" s="400"/>
    </row>
    <row r="73" spans="111:271">
      <c r="IJ73" s="400"/>
    </row>
    <row r="74" spans="111:271">
      <c r="HI74" s="390"/>
    </row>
    <row r="76" spans="111:271">
      <c r="GW76" s="390"/>
    </row>
    <row r="77" spans="111:271">
      <c r="HU77" s="390"/>
    </row>
    <row r="78" spans="111:271">
      <c r="HC78" s="390"/>
    </row>
    <row r="79" spans="111:271">
      <c r="IA79" s="390"/>
    </row>
  </sheetData>
  <mergeCells count="249">
    <mergeCell ref="IT22:IU22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D1:GE1"/>
    <mergeCell ref="GL1:GM1"/>
    <mergeCell ref="GR1:GS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GJ1:GK1"/>
    <mergeCell ref="GH1:GI1"/>
    <mergeCell ref="GF1:GG1"/>
    <mergeCell ref="JJ1:JK1"/>
    <mergeCell ref="JH1:JI1"/>
    <mergeCell ref="JF1:JG1"/>
    <mergeCell ref="IZ28:JA28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35"/>
  <sheetViews>
    <sheetView workbookViewId="0">
      <selection activeCell="P8" sqref="P8"/>
    </sheetView>
  </sheetViews>
  <sheetFormatPr defaultRowHeight="13.2"/>
  <cols>
    <col min="1" max="1" width="0.5546875" customWidth="1"/>
    <col min="2" max="2" width="9.6640625" bestFit="1" customWidth="1"/>
    <col min="3" max="3" width="5.6640625" customWidth="1"/>
    <col min="5" max="5" width="1.6640625" customWidth="1"/>
    <col min="6" max="6" width="9.6640625" style="767" bestFit="1" customWidth="1"/>
    <col min="7" max="7" width="4" style="767" bestFit="1" customWidth="1"/>
    <col min="8" max="8" width="8.88671875" style="767"/>
    <col min="9" max="9" width="1.6640625" style="767" customWidth="1"/>
    <col min="10" max="10" width="9.6640625" style="767" bestFit="1" customWidth="1"/>
    <col min="11" max="11" width="4" style="767" bestFit="1" customWidth="1"/>
    <col min="12" max="12" width="8.88671875" style="767"/>
    <col min="13" max="13" width="1.6640625" style="767" customWidth="1"/>
    <col min="14" max="14" width="9.6640625" style="767" bestFit="1" customWidth="1"/>
    <col min="15" max="15" width="4" style="767" bestFit="1" customWidth="1"/>
    <col min="16" max="16" width="8.88671875" style="767"/>
  </cols>
  <sheetData>
    <row r="1" spans="2:16" s="767" customFormat="1" ht="5.4" customHeight="1"/>
    <row r="2" spans="2:16" s="767" customFormat="1">
      <c r="D2" t="s">
        <v>2830</v>
      </c>
      <c r="G2" s="767" t="s">
        <v>2831</v>
      </c>
      <c r="H2" s="767" t="s">
        <v>2830</v>
      </c>
      <c r="K2" s="767" t="s">
        <v>2831</v>
      </c>
      <c r="L2" s="767" t="s">
        <v>2830</v>
      </c>
      <c r="O2" s="767" t="s">
        <v>2831</v>
      </c>
      <c r="P2" s="767" t="s">
        <v>2830</v>
      </c>
    </row>
    <row r="3" spans="2:16">
      <c r="B3" s="625">
        <v>45047</v>
      </c>
      <c r="C3">
        <v>0</v>
      </c>
      <c r="D3" s="768">
        <f>C3*1000*0.0005/365</f>
        <v>0</v>
      </c>
      <c r="F3" s="625">
        <v>44927</v>
      </c>
      <c r="G3" s="767">
        <v>290</v>
      </c>
      <c r="H3" s="767">
        <f t="shared" ref="H3:H8" si="0">G3*1000*0.0445/365</f>
        <v>35.356164383561641</v>
      </c>
      <c r="J3" s="625">
        <v>44958</v>
      </c>
      <c r="K3" s="767">
        <v>360</v>
      </c>
      <c r="L3" s="767">
        <f t="shared" ref="L3:L8" si="1">K3*1000*0.0445/365</f>
        <v>43.890410958904113</v>
      </c>
      <c r="N3" s="625">
        <v>44986</v>
      </c>
      <c r="O3" s="767">
        <v>590</v>
      </c>
      <c r="P3" s="767">
        <f t="shared" ref="P3:P8" si="2">O3*1000*0.0445/365</f>
        <v>71.93150684931507</v>
      </c>
    </row>
    <row r="4" spans="2:16">
      <c r="B4" s="625">
        <v>45048</v>
      </c>
      <c r="C4">
        <v>325</v>
      </c>
      <c r="D4" s="768">
        <f>C4*1000*0.05%/365</f>
        <v>0.4452054794520548</v>
      </c>
      <c r="F4" s="625">
        <v>44928</v>
      </c>
      <c r="G4" s="767">
        <v>290</v>
      </c>
      <c r="H4" s="767">
        <f t="shared" si="0"/>
        <v>35.356164383561641</v>
      </c>
      <c r="J4" s="625">
        <v>44959</v>
      </c>
      <c r="K4" s="767">
        <v>360</v>
      </c>
      <c r="L4" s="767">
        <f t="shared" si="1"/>
        <v>43.890410958904113</v>
      </c>
      <c r="N4" s="625">
        <v>44987</v>
      </c>
      <c r="O4" s="767">
        <v>590</v>
      </c>
      <c r="P4" s="767">
        <f t="shared" si="2"/>
        <v>71.93150684931507</v>
      </c>
    </row>
    <row r="5" spans="2:16">
      <c r="B5" s="625">
        <v>45049</v>
      </c>
      <c r="C5">
        <v>500</v>
      </c>
      <c r="D5" s="768">
        <f t="shared" ref="D5:D33" si="3">C5*1000*0.05%/365</f>
        <v>0.68493150684931503</v>
      </c>
      <c r="F5" s="625">
        <v>44929</v>
      </c>
      <c r="G5" s="767">
        <v>300</v>
      </c>
      <c r="H5" s="767">
        <f t="shared" si="0"/>
        <v>36.575342465753423</v>
      </c>
      <c r="J5" s="625">
        <v>44960</v>
      </c>
      <c r="K5" s="767">
        <v>360</v>
      </c>
      <c r="L5" s="767">
        <f t="shared" si="1"/>
        <v>43.890410958904113</v>
      </c>
      <c r="N5" s="625">
        <v>44988</v>
      </c>
      <c r="O5" s="767">
        <v>590</v>
      </c>
      <c r="P5" s="767">
        <f t="shared" si="2"/>
        <v>71.93150684931507</v>
      </c>
    </row>
    <row r="6" spans="2:16">
      <c r="B6" s="625">
        <v>45050</v>
      </c>
      <c r="C6" s="768">
        <v>500</v>
      </c>
      <c r="D6" s="768">
        <f t="shared" si="3"/>
        <v>0.68493150684931503</v>
      </c>
      <c r="F6" s="625">
        <v>44930</v>
      </c>
      <c r="G6" s="767">
        <v>300</v>
      </c>
      <c r="H6" s="767">
        <f t="shared" si="0"/>
        <v>36.575342465753423</v>
      </c>
      <c r="J6" s="625">
        <v>44961</v>
      </c>
      <c r="K6" s="767">
        <v>360</v>
      </c>
      <c r="L6" s="767">
        <f t="shared" si="1"/>
        <v>43.890410958904113</v>
      </c>
      <c r="N6" s="625">
        <v>44989</v>
      </c>
      <c r="O6" s="767">
        <v>590</v>
      </c>
      <c r="P6" s="767">
        <f t="shared" si="2"/>
        <v>71.93150684931507</v>
      </c>
    </row>
    <row r="7" spans="2:16">
      <c r="B7" s="625">
        <v>45051</v>
      </c>
      <c r="C7" s="768">
        <v>500</v>
      </c>
      <c r="D7" s="768">
        <f t="shared" si="3"/>
        <v>0.68493150684931503</v>
      </c>
      <c r="F7" s="625">
        <v>44931</v>
      </c>
      <c r="G7" s="767">
        <v>300</v>
      </c>
      <c r="H7" s="767">
        <f t="shared" si="0"/>
        <v>36.575342465753423</v>
      </c>
      <c r="J7" s="625">
        <v>44962</v>
      </c>
      <c r="K7" s="767">
        <v>360</v>
      </c>
      <c r="L7" s="767">
        <f t="shared" si="1"/>
        <v>43.890410958904113</v>
      </c>
      <c r="N7" s="625">
        <v>44990</v>
      </c>
      <c r="O7" s="767">
        <v>590</v>
      </c>
      <c r="P7" s="767">
        <f t="shared" si="2"/>
        <v>71.93150684931507</v>
      </c>
    </row>
    <row r="8" spans="2:16">
      <c r="B8" s="625">
        <v>45052</v>
      </c>
      <c r="C8" s="768">
        <v>500</v>
      </c>
      <c r="D8" s="768">
        <f t="shared" si="3"/>
        <v>0.68493150684931503</v>
      </c>
      <c r="F8" s="625">
        <v>44932</v>
      </c>
      <c r="G8" s="767">
        <v>305</v>
      </c>
      <c r="H8" s="767">
        <f t="shared" si="0"/>
        <v>37.184931506849317</v>
      </c>
      <c r="J8" s="625">
        <v>44963</v>
      </c>
      <c r="K8" s="767">
        <v>360</v>
      </c>
      <c r="L8" s="767">
        <f t="shared" si="1"/>
        <v>43.890410958904113</v>
      </c>
      <c r="N8" s="625">
        <v>44991</v>
      </c>
      <c r="O8" s="767">
        <v>590</v>
      </c>
      <c r="P8" s="767">
        <f t="shared" si="2"/>
        <v>71.93150684931507</v>
      </c>
    </row>
    <row r="9" spans="2:16">
      <c r="B9" s="625">
        <v>45053</v>
      </c>
      <c r="C9" s="768">
        <v>500</v>
      </c>
      <c r="D9" s="768">
        <f t="shared" si="3"/>
        <v>0.68493150684931503</v>
      </c>
      <c r="F9" s="625">
        <v>44933</v>
      </c>
      <c r="G9" s="767">
        <v>305</v>
      </c>
      <c r="H9" s="767">
        <f>G9*1000*0.0445/365</f>
        <v>37.184931506849317</v>
      </c>
      <c r="J9" s="625">
        <v>44964</v>
      </c>
      <c r="K9" s="767">
        <v>360</v>
      </c>
      <c r="L9" s="767">
        <f>K9*1000*0.0445/365</f>
        <v>43.890410958904113</v>
      </c>
      <c r="N9" s="625">
        <v>44992</v>
      </c>
      <c r="O9" s="767">
        <v>590</v>
      </c>
      <c r="P9" s="767">
        <f>O9*1000*0.0445/365</f>
        <v>71.93150684931507</v>
      </c>
    </row>
    <row r="10" spans="2:16">
      <c r="B10" s="625">
        <v>45054</v>
      </c>
      <c r="C10" s="768">
        <v>500</v>
      </c>
      <c r="D10" s="768">
        <f t="shared" si="3"/>
        <v>0.68493150684931503</v>
      </c>
      <c r="F10" s="625">
        <v>44934</v>
      </c>
      <c r="G10" s="767">
        <v>305</v>
      </c>
      <c r="H10" s="767">
        <f t="shared" ref="H10:H33" si="4">G10*1000*0.0445/365</f>
        <v>37.184931506849317</v>
      </c>
      <c r="J10" s="625">
        <v>44965</v>
      </c>
      <c r="K10" s="767">
        <v>360</v>
      </c>
      <c r="L10" s="767">
        <f t="shared" ref="L10:L30" si="5">K10*1000*0.0445/365</f>
        <v>43.890410958904113</v>
      </c>
      <c r="N10" s="625">
        <v>44993</v>
      </c>
      <c r="O10" s="767">
        <v>590</v>
      </c>
      <c r="P10" s="767">
        <f t="shared" ref="P10:P33" si="6">O10*1000*0.0445/365</f>
        <v>71.93150684931507</v>
      </c>
    </row>
    <row r="11" spans="2:16">
      <c r="B11" s="625">
        <v>45055</v>
      </c>
      <c r="C11" s="768">
        <v>500</v>
      </c>
      <c r="D11" s="768">
        <f t="shared" si="3"/>
        <v>0.68493150684931503</v>
      </c>
      <c r="F11" s="625">
        <v>44935</v>
      </c>
      <c r="G11" s="767">
        <v>305</v>
      </c>
      <c r="H11" s="767">
        <f t="shared" si="4"/>
        <v>37.184931506849317</v>
      </c>
      <c r="J11" s="625">
        <v>44966</v>
      </c>
      <c r="K11" s="767">
        <v>360</v>
      </c>
      <c r="L11" s="767">
        <f t="shared" si="5"/>
        <v>43.890410958904113</v>
      </c>
      <c r="N11" s="625">
        <v>44994</v>
      </c>
      <c r="O11" s="767">
        <v>590</v>
      </c>
      <c r="P11" s="767">
        <f t="shared" si="6"/>
        <v>71.93150684931507</v>
      </c>
    </row>
    <row r="12" spans="2:16">
      <c r="B12" s="625">
        <v>45056</v>
      </c>
      <c r="C12" s="768">
        <v>500</v>
      </c>
      <c r="D12" s="768">
        <f t="shared" si="3"/>
        <v>0.68493150684931503</v>
      </c>
      <c r="F12" s="625">
        <v>44936</v>
      </c>
      <c r="G12" s="767">
        <v>305</v>
      </c>
      <c r="H12" s="767">
        <f t="shared" si="4"/>
        <v>37.184931506849317</v>
      </c>
      <c r="J12" s="625">
        <v>44967</v>
      </c>
      <c r="K12" s="767">
        <v>360</v>
      </c>
      <c r="L12" s="767">
        <f t="shared" si="5"/>
        <v>43.890410958904113</v>
      </c>
      <c r="N12" s="625">
        <v>44995</v>
      </c>
      <c r="O12" s="767">
        <v>590</v>
      </c>
      <c r="P12" s="767">
        <f t="shared" si="6"/>
        <v>71.93150684931507</v>
      </c>
    </row>
    <row r="13" spans="2:16">
      <c r="B13" s="625">
        <v>45057</v>
      </c>
      <c r="C13" s="767">
        <v>515</v>
      </c>
      <c r="D13" s="768">
        <f t="shared" si="3"/>
        <v>0.70547945205479456</v>
      </c>
      <c r="F13" s="625">
        <v>44937</v>
      </c>
      <c r="G13" s="767">
        <v>305</v>
      </c>
      <c r="H13" s="767">
        <f t="shared" si="4"/>
        <v>37.184931506849317</v>
      </c>
      <c r="J13" s="625">
        <v>44968</v>
      </c>
      <c r="K13" s="767">
        <v>360</v>
      </c>
      <c r="L13" s="767">
        <f t="shared" si="5"/>
        <v>43.890410958904113</v>
      </c>
      <c r="N13" s="625">
        <v>44996</v>
      </c>
      <c r="O13" s="767">
        <v>590</v>
      </c>
      <c r="P13" s="767">
        <f t="shared" si="6"/>
        <v>71.93150684931507</v>
      </c>
    </row>
    <row r="14" spans="2:16">
      <c r="B14" s="625">
        <v>45058</v>
      </c>
      <c r="C14" s="768">
        <v>515</v>
      </c>
      <c r="D14" s="768">
        <f t="shared" si="3"/>
        <v>0.70547945205479456</v>
      </c>
      <c r="F14" s="625">
        <v>44938</v>
      </c>
      <c r="G14" s="767">
        <v>305</v>
      </c>
      <c r="H14" s="767">
        <f t="shared" si="4"/>
        <v>37.184931506849317</v>
      </c>
      <c r="J14" s="625">
        <v>44969</v>
      </c>
      <c r="K14" s="767">
        <v>360</v>
      </c>
      <c r="L14" s="767">
        <f t="shared" si="5"/>
        <v>43.890410958904113</v>
      </c>
      <c r="N14" s="625">
        <v>44997</v>
      </c>
      <c r="O14" s="767">
        <v>590</v>
      </c>
      <c r="P14" s="767">
        <f t="shared" si="6"/>
        <v>71.93150684931507</v>
      </c>
    </row>
    <row r="15" spans="2:16">
      <c r="B15" s="625">
        <v>45059</v>
      </c>
      <c r="C15" s="768">
        <v>515</v>
      </c>
      <c r="D15" s="768">
        <f t="shared" si="3"/>
        <v>0.70547945205479456</v>
      </c>
      <c r="F15" s="625">
        <v>44939</v>
      </c>
      <c r="G15" s="767">
        <v>305</v>
      </c>
      <c r="H15" s="767">
        <f t="shared" si="4"/>
        <v>37.184931506849317</v>
      </c>
      <c r="J15" s="625">
        <v>44970</v>
      </c>
      <c r="K15" s="767">
        <v>360</v>
      </c>
      <c r="L15" s="767">
        <f t="shared" si="5"/>
        <v>43.890410958904113</v>
      </c>
      <c r="N15" s="625">
        <v>44998</v>
      </c>
      <c r="O15" s="767">
        <v>590</v>
      </c>
      <c r="P15" s="767">
        <f t="shared" si="6"/>
        <v>71.93150684931507</v>
      </c>
    </row>
    <row r="16" spans="2:16">
      <c r="B16" s="625">
        <v>45060</v>
      </c>
      <c r="C16" s="768">
        <v>515</v>
      </c>
      <c r="D16" s="768">
        <f t="shared" si="3"/>
        <v>0.70547945205479456</v>
      </c>
      <c r="F16" s="625">
        <v>44940</v>
      </c>
      <c r="G16" s="767">
        <v>305</v>
      </c>
      <c r="H16" s="767">
        <f t="shared" si="4"/>
        <v>37.184931506849317</v>
      </c>
      <c r="J16" s="625">
        <v>44971</v>
      </c>
      <c r="K16" s="767">
        <v>360</v>
      </c>
      <c r="L16" s="767">
        <f t="shared" si="5"/>
        <v>43.890410958904113</v>
      </c>
      <c r="N16" s="625">
        <v>44999</v>
      </c>
      <c r="O16" s="767">
        <v>590</v>
      </c>
      <c r="P16" s="767">
        <f t="shared" si="6"/>
        <v>71.93150684931507</v>
      </c>
    </row>
    <row r="17" spans="2:16">
      <c r="B17" s="625">
        <v>45061</v>
      </c>
      <c r="C17" s="768">
        <v>515</v>
      </c>
      <c r="D17" s="768">
        <f t="shared" si="3"/>
        <v>0.70547945205479456</v>
      </c>
      <c r="F17" s="625">
        <v>44941</v>
      </c>
      <c r="G17" s="767">
        <v>305</v>
      </c>
      <c r="H17" s="767">
        <f t="shared" si="4"/>
        <v>37.184931506849317</v>
      </c>
      <c r="J17" s="625">
        <v>44972</v>
      </c>
      <c r="K17" s="767">
        <v>360</v>
      </c>
      <c r="L17" s="767">
        <f t="shared" si="5"/>
        <v>43.890410958904113</v>
      </c>
      <c r="N17" s="625">
        <v>45000</v>
      </c>
      <c r="O17" s="767">
        <v>590</v>
      </c>
      <c r="P17" s="767">
        <f t="shared" si="6"/>
        <v>71.93150684931507</v>
      </c>
    </row>
    <row r="18" spans="2:16">
      <c r="B18" s="625">
        <v>45062</v>
      </c>
      <c r="C18" s="767">
        <v>540</v>
      </c>
      <c r="D18" s="768">
        <f t="shared" si="3"/>
        <v>0.73972602739726023</v>
      </c>
      <c r="F18" s="625">
        <v>44942</v>
      </c>
      <c r="G18" s="767">
        <v>305</v>
      </c>
      <c r="H18" s="767">
        <f t="shared" si="4"/>
        <v>37.184931506849317</v>
      </c>
      <c r="J18" s="625">
        <v>44973</v>
      </c>
      <c r="K18" s="767">
        <v>360</v>
      </c>
      <c r="L18" s="767">
        <f t="shared" si="5"/>
        <v>43.890410958904113</v>
      </c>
      <c r="N18" s="625">
        <v>45001</v>
      </c>
      <c r="O18" s="767">
        <v>590</v>
      </c>
      <c r="P18" s="767">
        <f t="shared" si="6"/>
        <v>71.93150684931507</v>
      </c>
    </row>
    <row r="19" spans="2:16">
      <c r="B19" s="625">
        <v>45063</v>
      </c>
      <c r="C19" s="767">
        <v>545</v>
      </c>
      <c r="D19" s="768">
        <f t="shared" si="3"/>
        <v>0.74657534246575341</v>
      </c>
      <c r="F19" s="625">
        <v>44943</v>
      </c>
      <c r="G19" s="767">
        <v>310</v>
      </c>
      <c r="H19" s="767">
        <f t="shared" si="4"/>
        <v>37.794520547945204</v>
      </c>
      <c r="J19" s="625">
        <v>44974</v>
      </c>
      <c r="K19" s="767">
        <v>505</v>
      </c>
      <c r="L19" s="767">
        <f t="shared" si="5"/>
        <v>61.56849315068493</v>
      </c>
      <c r="N19" s="625">
        <v>45002</v>
      </c>
      <c r="O19" s="767">
        <v>590</v>
      </c>
      <c r="P19" s="767">
        <f t="shared" si="6"/>
        <v>71.93150684931507</v>
      </c>
    </row>
    <row r="20" spans="2:16">
      <c r="B20" s="625">
        <v>45064</v>
      </c>
      <c r="C20" s="768">
        <v>545</v>
      </c>
      <c r="D20" s="768">
        <f>C20*1000*0.05%/365</f>
        <v>0.74657534246575341</v>
      </c>
      <c r="F20" s="625">
        <v>44944</v>
      </c>
      <c r="G20" s="767">
        <v>310</v>
      </c>
      <c r="H20" s="767">
        <f t="shared" si="4"/>
        <v>37.794520547945204</v>
      </c>
      <c r="J20" s="625">
        <v>44975</v>
      </c>
      <c r="K20" s="767">
        <v>505</v>
      </c>
      <c r="L20" s="767">
        <f t="shared" si="5"/>
        <v>61.56849315068493</v>
      </c>
      <c r="N20" s="625">
        <v>45003</v>
      </c>
      <c r="O20" s="767">
        <v>590</v>
      </c>
      <c r="P20" s="767">
        <f t="shared" si="6"/>
        <v>71.93150684931507</v>
      </c>
    </row>
    <row r="21" spans="2:16">
      <c r="B21" s="625">
        <v>45065</v>
      </c>
      <c r="C21" s="767">
        <v>545.79999999999995</v>
      </c>
      <c r="D21" s="768">
        <f>C21*1000*0.05%/365</f>
        <v>0.74767123287671222</v>
      </c>
      <c r="F21" s="625">
        <v>44945</v>
      </c>
      <c r="G21" s="767">
        <v>310</v>
      </c>
      <c r="H21" s="767">
        <f t="shared" si="4"/>
        <v>37.794520547945204</v>
      </c>
      <c r="J21" s="625">
        <v>44976</v>
      </c>
      <c r="K21" s="767">
        <v>505</v>
      </c>
      <c r="L21" s="767">
        <f t="shared" si="5"/>
        <v>61.56849315068493</v>
      </c>
      <c r="N21" s="625">
        <v>45004</v>
      </c>
      <c r="O21" s="767">
        <v>590</v>
      </c>
      <c r="P21" s="767">
        <f t="shared" si="6"/>
        <v>71.93150684931507</v>
      </c>
    </row>
    <row r="22" spans="2:16">
      <c r="B22" s="625">
        <v>45066</v>
      </c>
      <c r="C22" s="767">
        <v>545</v>
      </c>
      <c r="D22" s="768">
        <f t="shared" si="3"/>
        <v>0.74657534246575341</v>
      </c>
      <c r="F22" s="625">
        <v>44946</v>
      </c>
      <c r="G22" s="767">
        <v>310</v>
      </c>
      <c r="H22" s="767">
        <f t="shared" si="4"/>
        <v>37.794520547945204</v>
      </c>
      <c r="J22" s="625">
        <v>44977</v>
      </c>
      <c r="K22" s="767">
        <v>505</v>
      </c>
      <c r="L22" s="767">
        <f t="shared" si="5"/>
        <v>61.56849315068493</v>
      </c>
      <c r="N22" s="625">
        <v>45005</v>
      </c>
      <c r="O22" s="767">
        <v>590</v>
      </c>
      <c r="P22" s="767">
        <f t="shared" si="6"/>
        <v>71.93150684931507</v>
      </c>
    </row>
    <row r="23" spans="2:16">
      <c r="B23" s="625">
        <v>45067</v>
      </c>
      <c r="C23" s="768">
        <v>545</v>
      </c>
      <c r="D23" s="768">
        <f t="shared" si="3"/>
        <v>0.74657534246575341</v>
      </c>
      <c r="F23" s="625">
        <v>44947</v>
      </c>
      <c r="G23" s="767">
        <v>310</v>
      </c>
      <c r="H23" s="767">
        <f t="shared" si="4"/>
        <v>37.794520547945204</v>
      </c>
      <c r="J23" s="625">
        <v>44978</v>
      </c>
      <c r="K23" s="767">
        <v>560</v>
      </c>
      <c r="L23" s="767">
        <f t="shared" si="5"/>
        <v>68.273972602739732</v>
      </c>
      <c r="N23" s="625">
        <v>45006</v>
      </c>
      <c r="O23" s="767">
        <v>590</v>
      </c>
      <c r="P23" s="767">
        <f t="shared" si="6"/>
        <v>71.93150684931507</v>
      </c>
    </row>
    <row r="24" spans="2:16">
      <c r="B24" s="625">
        <v>45068</v>
      </c>
      <c r="C24" s="768">
        <v>545</v>
      </c>
      <c r="D24" s="768">
        <f t="shared" si="3"/>
        <v>0.74657534246575341</v>
      </c>
      <c r="F24" s="625">
        <v>44948</v>
      </c>
      <c r="G24" s="767">
        <v>310</v>
      </c>
      <c r="H24" s="767">
        <f t="shared" si="4"/>
        <v>37.794520547945204</v>
      </c>
      <c r="J24" s="625">
        <v>44979</v>
      </c>
      <c r="K24" s="767">
        <v>560</v>
      </c>
      <c r="L24" s="767">
        <f t="shared" si="5"/>
        <v>68.273972602739732</v>
      </c>
      <c r="N24" s="625">
        <v>45007</v>
      </c>
      <c r="O24" s="767">
        <v>590</v>
      </c>
      <c r="P24" s="767">
        <f t="shared" si="6"/>
        <v>71.93150684931507</v>
      </c>
    </row>
    <row r="25" spans="2:16">
      <c r="B25" s="625">
        <v>45069</v>
      </c>
      <c r="C25" s="767">
        <v>545</v>
      </c>
      <c r="D25" s="768">
        <f t="shared" si="3"/>
        <v>0.74657534246575341</v>
      </c>
      <c r="F25" s="625">
        <v>44949</v>
      </c>
      <c r="G25" s="767">
        <v>310</v>
      </c>
      <c r="H25" s="767">
        <f t="shared" si="4"/>
        <v>37.794520547945204</v>
      </c>
      <c r="J25" s="625">
        <v>44980</v>
      </c>
      <c r="K25" s="767">
        <v>560</v>
      </c>
      <c r="L25" s="767">
        <f t="shared" si="5"/>
        <v>68.273972602739732</v>
      </c>
      <c r="N25" s="625">
        <v>45008</v>
      </c>
      <c r="O25" s="767">
        <v>590</v>
      </c>
      <c r="P25" s="767">
        <f t="shared" si="6"/>
        <v>71.93150684931507</v>
      </c>
    </row>
    <row r="26" spans="2:16">
      <c r="B26" s="625">
        <v>45070</v>
      </c>
      <c r="C26" s="767"/>
      <c r="D26" s="768">
        <f t="shared" si="3"/>
        <v>0</v>
      </c>
      <c r="F26" s="625">
        <v>44950</v>
      </c>
      <c r="G26" s="767">
        <v>310</v>
      </c>
      <c r="H26" s="767">
        <f t="shared" si="4"/>
        <v>37.794520547945204</v>
      </c>
      <c r="J26" s="625">
        <v>44981</v>
      </c>
      <c r="K26" s="767">
        <v>560</v>
      </c>
      <c r="L26" s="767">
        <f t="shared" si="5"/>
        <v>68.273972602739732</v>
      </c>
      <c r="N26" s="625">
        <v>45009</v>
      </c>
      <c r="O26" s="767">
        <v>590</v>
      </c>
      <c r="P26" s="767">
        <f t="shared" si="6"/>
        <v>71.93150684931507</v>
      </c>
    </row>
    <row r="27" spans="2:16">
      <c r="B27" s="625">
        <v>45071</v>
      </c>
      <c r="C27" s="767"/>
      <c r="D27" s="768">
        <f t="shared" si="3"/>
        <v>0</v>
      </c>
      <c r="F27" s="625">
        <v>44951</v>
      </c>
      <c r="G27" s="767">
        <v>310</v>
      </c>
      <c r="H27" s="767">
        <f t="shared" si="4"/>
        <v>37.794520547945204</v>
      </c>
      <c r="J27" s="625">
        <v>44982</v>
      </c>
      <c r="K27" s="767">
        <v>560</v>
      </c>
      <c r="L27" s="767">
        <f t="shared" si="5"/>
        <v>68.273972602739732</v>
      </c>
      <c r="N27" s="625">
        <v>45010</v>
      </c>
      <c r="O27" s="767">
        <v>590</v>
      </c>
      <c r="P27" s="767">
        <f t="shared" si="6"/>
        <v>71.93150684931507</v>
      </c>
    </row>
    <row r="28" spans="2:16">
      <c r="B28" s="625">
        <v>45072</v>
      </c>
      <c r="C28" s="767"/>
      <c r="D28" s="768">
        <f t="shared" si="3"/>
        <v>0</v>
      </c>
      <c r="F28" s="625">
        <v>44952</v>
      </c>
      <c r="G28" s="767">
        <v>310</v>
      </c>
      <c r="H28" s="767">
        <f t="shared" si="4"/>
        <v>37.794520547945204</v>
      </c>
      <c r="J28" s="625">
        <v>44983</v>
      </c>
      <c r="K28" s="767">
        <v>560</v>
      </c>
      <c r="L28" s="767">
        <f t="shared" si="5"/>
        <v>68.273972602739732</v>
      </c>
      <c r="N28" s="625">
        <v>45011</v>
      </c>
      <c r="O28" s="767">
        <v>590</v>
      </c>
      <c r="P28" s="767">
        <f t="shared" si="6"/>
        <v>71.93150684931507</v>
      </c>
    </row>
    <row r="29" spans="2:16">
      <c r="B29" s="625">
        <v>45073</v>
      </c>
      <c r="C29" s="767"/>
      <c r="D29" s="768">
        <f t="shared" si="3"/>
        <v>0</v>
      </c>
      <c r="F29" s="625">
        <v>44953</v>
      </c>
      <c r="G29" s="767">
        <v>310</v>
      </c>
      <c r="H29" s="767">
        <f t="shared" si="4"/>
        <v>37.794520547945204</v>
      </c>
      <c r="J29" s="625">
        <v>44984</v>
      </c>
      <c r="K29" s="767">
        <v>520</v>
      </c>
      <c r="L29" s="767">
        <f t="shared" si="5"/>
        <v>63.397260273972606</v>
      </c>
      <c r="N29" s="625">
        <v>45012</v>
      </c>
      <c r="O29" s="767">
        <v>595</v>
      </c>
      <c r="P29" s="767">
        <f t="shared" si="6"/>
        <v>72.541095890410958</v>
      </c>
    </row>
    <row r="30" spans="2:16">
      <c r="B30" s="625">
        <v>45074</v>
      </c>
      <c r="C30" s="767"/>
      <c r="D30" s="768">
        <f t="shared" si="3"/>
        <v>0</v>
      </c>
      <c r="F30" s="625">
        <v>44954</v>
      </c>
      <c r="G30" s="767">
        <v>310</v>
      </c>
      <c r="H30" s="767">
        <f t="shared" si="4"/>
        <v>37.794520547945204</v>
      </c>
      <c r="J30" s="625">
        <v>44985</v>
      </c>
      <c r="K30" s="767">
        <v>590</v>
      </c>
      <c r="L30" s="767">
        <f t="shared" si="5"/>
        <v>71.93150684931507</v>
      </c>
      <c r="N30" s="625">
        <v>45013</v>
      </c>
      <c r="O30" s="767">
        <v>595</v>
      </c>
      <c r="P30" s="767">
        <f t="shared" si="6"/>
        <v>72.541095890410958</v>
      </c>
    </row>
    <row r="31" spans="2:16">
      <c r="B31" s="625">
        <v>45075</v>
      </c>
      <c r="C31" s="767"/>
      <c r="D31" s="768">
        <f t="shared" si="3"/>
        <v>0</v>
      </c>
      <c r="F31" s="625">
        <v>44955</v>
      </c>
      <c r="G31" s="767">
        <v>310</v>
      </c>
      <c r="H31" s="767">
        <f t="shared" si="4"/>
        <v>37.794520547945204</v>
      </c>
      <c r="J31" s="625"/>
      <c r="N31" s="625">
        <v>45014</v>
      </c>
      <c r="O31" s="767">
        <v>595</v>
      </c>
      <c r="P31" s="767">
        <f t="shared" si="6"/>
        <v>72.541095890410958</v>
      </c>
    </row>
    <row r="32" spans="2:16">
      <c r="B32" s="625">
        <v>45076</v>
      </c>
      <c r="C32" s="767"/>
      <c r="D32" s="768">
        <f t="shared" si="3"/>
        <v>0</v>
      </c>
      <c r="F32" s="625">
        <v>44956</v>
      </c>
      <c r="G32" s="767">
        <v>355</v>
      </c>
      <c r="H32" s="767">
        <f t="shared" si="4"/>
        <v>43.280821917808218</v>
      </c>
      <c r="J32" s="625"/>
      <c r="N32" s="625">
        <v>45015</v>
      </c>
      <c r="O32" s="767">
        <v>500</v>
      </c>
      <c r="P32" s="767">
        <f t="shared" si="6"/>
        <v>60.958904109589042</v>
      </c>
    </row>
    <row r="33" spans="2:16">
      <c r="B33" s="625">
        <v>45077</v>
      </c>
      <c r="C33" s="767"/>
      <c r="D33" s="768">
        <f t="shared" si="3"/>
        <v>0</v>
      </c>
      <c r="F33" s="625">
        <v>44957</v>
      </c>
      <c r="G33" s="767">
        <v>355</v>
      </c>
      <c r="H33" s="767">
        <f t="shared" si="4"/>
        <v>43.280821917808218</v>
      </c>
      <c r="J33" s="625"/>
      <c r="N33" s="625">
        <v>45016</v>
      </c>
      <c r="O33" s="767">
        <v>250</v>
      </c>
      <c r="P33" s="767">
        <f t="shared" si="6"/>
        <v>30.479452054794521</v>
      </c>
    </row>
    <row r="35" spans="2:16">
      <c r="D35">
        <f>SUM(D2:D33)</f>
        <v>15.418904109589041</v>
      </c>
      <c r="F35" s="767" t="s">
        <v>2832</v>
      </c>
      <c r="H35" s="767">
        <f>SUM(H2:H33)</f>
        <v>1167.3630136986305</v>
      </c>
      <c r="J35" s="767" t="s">
        <v>2834</v>
      </c>
      <c r="L35" s="767">
        <f>SUM(L2:L33)</f>
        <v>1493.4931506849321</v>
      </c>
      <c r="N35" s="767" t="s">
        <v>2833</v>
      </c>
      <c r="P35" s="767">
        <f>SUM(P2:P33)</f>
        <v>2179.2808219178091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32"/>
  <sheetViews>
    <sheetView zoomScaleNormal="100" workbookViewId="0">
      <selection activeCell="I34" sqref="I34"/>
    </sheetView>
  </sheetViews>
  <sheetFormatPr defaultColWidth="9.109375" defaultRowHeight="13.8"/>
  <cols>
    <col min="1" max="1" width="1.109375" style="548" customWidth="1"/>
    <col min="2" max="3" width="4.5546875" style="548" bestFit="1" customWidth="1"/>
    <col min="4" max="4" width="4.6640625" style="548" bestFit="1" customWidth="1"/>
    <col min="5" max="5" width="7.5546875" style="548" bestFit="1" customWidth="1"/>
    <col min="6" max="6" width="7.44140625" style="548" bestFit="1" customWidth="1"/>
    <col min="7" max="7" width="11.5546875" style="557" bestFit="1" customWidth="1"/>
    <col min="8" max="8" width="4" style="548" bestFit="1" customWidth="1"/>
    <col min="9" max="9" width="5.44140625" style="548" customWidth="1"/>
    <col min="10" max="10" width="6.88671875" style="548" bestFit="1" customWidth="1"/>
    <col min="11" max="11" width="4.33203125" style="548" bestFit="1" customWidth="1"/>
    <col min="12" max="12" width="1.5546875" style="548" customWidth="1"/>
    <col min="13" max="13" width="4.33203125" style="548" customWidth="1"/>
    <col min="14" max="14" width="9.44140625" style="548" bestFit="1" customWidth="1"/>
    <col min="15" max="15" width="45.33203125" style="548" customWidth="1"/>
    <col min="16" max="16" width="8.5546875" style="548" bestFit="1" customWidth="1"/>
    <col min="17" max="17" width="6.109375" style="548" customWidth="1"/>
    <col min="18" max="18" width="20.88671875" style="548" bestFit="1" customWidth="1"/>
    <col min="19" max="19" width="12.6640625" style="548" bestFit="1" customWidth="1"/>
    <col min="20" max="16384" width="9.109375" style="548"/>
  </cols>
  <sheetData>
    <row r="1" spans="2:16">
      <c r="I1" s="549"/>
    </row>
    <row r="2" spans="2:16" s="622" customFormat="1">
      <c r="B2" s="927" t="s">
        <v>1875</v>
      </c>
      <c r="C2" s="927"/>
      <c r="D2" s="927"/>
      <c r="E2" s="906" t="s">
        <v>2497</v>
      </c>
      <c r="F2" s="906" t="s">
        <v>2519</v>
      </c>
      <c r="G2" s="689"/>
      <c r="H2" s="917"/>
      <c r="I2" s="905" t="s">
        <v>2624</v>
      </c>
      <c r="J2" s="905"/>
      <c r="K2" s="908" t="s">
        <v>2621</v>
      </c>
      <c r="L2" s="908" t="s">
        <v>2543</v>
      </c>
      <c r="M2" s="906" t="s">
        <v>2502</v>
      </c>
      <c r="N2" s="911" t="s">
        <v>2509</v>
      </c>
    </row>
    <row r="3" spans="2:16" s="696" customFormat="1">
      <c r="B3" s="690" t="s">
        <v>1874</v>
      </c>
      <c r="C3" s="691" t="s">
        <v>1873</v>
      </c>
      <c r="D3" s="692" t="s">
        <v>2412</v>
      </c>
      <c r="E3" s="907"/>
      <c r="F3" s="907"/>
      <c r="G3" s="693"/>
      <c r="H3" s="918"/>
      <c r="I3" s="694" t="s">
        <v>2586</v>
      </c>
      <c r="J3" s="695" t="s">
        <v>2211</v>
      </c>
      <c r="K3" s="909"/>
      <c r="L3" s="909"/>
      <c r="M3" s="907"/>
      <c r="N3" s="911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2512</v>
      </c>
      <c r="O4" s="622" t="s">
        <v>2549</v>
      </c>
    </row>
    <row r="5" spans="2:16" s="622" customFormat="1">
      <c r="B5" s="622" t="s">
        <v>2498</v>
      </c>
      <c r="C5" s="622">
        <v>8</v>
      </c>
      <c r="D5" s="622">
        <f>D4</f>
        <v>130</v>
      </c>
      <c r="E5" s="622" t="s">
        <v>2521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2512</v>
      </c>
    </row>
    <row r="6" spans="2:16" s="622" customFormat="1">
      <c r="B6" s="682"/>
      <c r="E6" s="683">
        <v>155</v>
      </c>
      <c r="G6" s="684">
        <v>44985</v>
      </c>
      <c r="H6" s="651" t="s">
        <v>2551</v>
      </c>
      <c r="P6" s="651"/>
    </row>
    <row r="7" spans="2:16" s="622" customFormat="1">
      <c r="B7" s="682"/>
      <c r="G7" s="684">
        <v>44987</v>
      </c>
      <c r="H7" s="685" t="s">
        <v>2693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2726</v>
      </c>
      <c r="P8" s="731"/>
    </row>
    <row r="9" spans="2:16" s="622" customFormat="1">
      <c r="B9" s="686"/>
      <c r="E9" s="622" t="s">
        <v>2518</v>
      </c>
      <c r="F9" s="622" t="s">
        <v>2589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2680</v>
      </c>
    </row>
    <row r="10" spans="2:16">
      <c r="B10" s="565"/>
      <c r="C10" s="922" t="s">
        <v>2500</v>
      </c>
      <c r="D10" s="922"/>
      <c r="E10" s="922"/>
      <c r="F10" s="922"/>
      <c r="G10" s="922"/>
      <c r="H10" s="922"/>
      <c r="I10" s="922"/>
      <c r="J10" s="922"/>
      <c r="K10" s="922"/>
      <c r="L10" s="922"/>
      <c r="M10" s="922"/>
      <c r="N10" s="922"/>
      <c r="O10" s="922"/>
      <c r="P10" s="922"/>
    </row>
    <row r="11" spans="2:16" ht="12.75" customHeight="1">
      <c r="B11" s="564"/>
      <c r="C11" s="556" t="s">
        <v>2515</v>
      </c>
      <c r="D11" s="554"/>
      <c r="E11" s="912" t="s">
        <v>2497</v>
      </c>
      <c r="F11" s="912" t="s">
        <v>2519</v>
      </c>
      <c r="G11" s="558"/>
      <c r="H11" s="915" t="s">
        <v>2508</v>
      </c>
      <c r="I11" s="919" t="s">
        <v>2743</v>
      </c>
      <c r="J11" s="923" t="s">
        <v>2622</v>
      </c>
      <c r="K11" s="923"/>
      <c r="L11" s="924"/>
      <c r="M11" s="912" t="s">
        <v>2744</v>
      </c>
      <c r="N11" s="914" t="s">
        <v>2509</v>
      </c>
    </row>
    <row r="12" spans="2:16">
      <c r="B12" s="564"/>
      <c r="C12" s="550" t="s">
        <v>1873</v>
      </c>
      <c r="D12" s="551" t="s">
        <v>2412</v>
      </c>
      <c r="E12" s="913"/>
      <c r="F12" s="913"/>
      <c r="G12" s="560"/>
      <c r="H12" s="916"/>
      <c r="I12" s="920"/>
      <c r="J12" s="697" t="s">
        <v>2517</v>
      </c>
      <c r="K12" s="561" t="s">
        <v>1874</v>
      </c>
      <c r="L12" s="925"/>
      <c r="M12" s="913"/>
      <c r="N12" s="914"/>
    </row>
    <row r="13" spans="2:16" s="622" customFormat="1">
      <c r="B13" s="926">
        <v>8</v>
      </c>
      <c r="C13" s="926"/>
      <c r="G13" s="688">
        <v>45017</v>
      </c>
      <c r="H13" s="651">
        <v>0</v>
      </c>
      <c r="J13" s="698"/>
      <c r="O13" s="622" t="s">
        <v>2516</v>
      </c>
    </row>
    <row r="14" spans="2:16" s="622" customFormat="1">
      <c r="B14" s="686"/>
      <c r="C14" s="622" t="s">
        <v>2498</v>
      </c>
      <c r="E14" s="685" t="s">
        <v>2625</v>
      </c>
      <c r="F14" s="685" t="s">
        <v>2613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2680</v>
      </c>
    </row>
    <row r="15" spans="2:16" s="622" customFormat="1">
      <c r="B15" s="686"/>
      <c r="E15" s="685"/>
      <c r="F15" s="685"/>
      <c r="G15" s="650">
        <v>45034</v>
      </c>
      <c r="H15" s="651" t="s">
        <v>2754</v>
      </c>
      <c r="N15" s="651"/>
    </row>
    <row r="16" spans="2:16" s="729" customFormat="1">
      <c r="B16" s="741"/>
      <c r="C16" s="729">
        <v>3</v>
      </c>
      <c r="E16" s="731" t="s">
        <v>2669</v>
      </c>
      <c r="F16" s="731" t="s">
        <v>2589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2510</v>
      </c>
      <c r="O16" s="729" t="s">
        <v>2772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2725</v>
      </c>
    </row>
    <row r="18" spans="2:18" s="729" customFormat="1" ht="18">
      <c r="B18" s="741"/>
      <c r="G18" s="742">
        <v>45045</v>
      </c>
      <c r="H18" s="731"/>
      <c r="K18" s="731"/>
      <c r="L18" s="731"/>
      <c r="O18" s="829" t="s">
        <v>2909</v>
      </c>
    </row>
    <row r="19" spans="2:18" s="729" customFormat="1">
      <c r="B19" s="830"/>
      <c r="C19" s="921" t="s">
        <v>2501</v>
      </c>
      <c r="D19" s="921"/>
      <c r="E19" s="921"/>
      <c r="F19" s="921"/>
      <c r="G19" s="921"/>
      <c r="H19" s="921"/>
      <c r="I19" s="921"/>
      <c r="J19" s="921"/>
      <c r="K19" s="921"/>
      <c r="L19" s="921"/>
      <c r="M19" s="921"/>
      <c r="N19" s="921"/>
      <c r="O19" s="921"/>
      <c r="P19" s="921"/>
    </row>
    <row r="20" spans="2:18" s="729" customFormat="1">
      <c r="B20" s="741"/>
      <c r="G20" s="910">
        <v>45076</v>
      </c>
      <c r="H20" s="731"/>
      <c r="K20" s="731"/>
      <c r="L20" s="731"/>
      <c r="O20" s="829"/>
    </row>
    <row r="21" spans="2:18" s="729" customFormat="1" ht="12.75" customHeight="1">
      <c r="B21" s="741"/>
      <c r="C21" s="729">
        <f>C16+1+20</f>
        <v>24</v>
      </c>
      <c r="D21" s="729" t="s">
        <v>2499</v>
      </c>
      <c r="G21" s="910"/>
      <c r="K21" s="731"/>
      <c r="L21" s="731"/>
      <c r="O21" s="729" t="s">
        <v>2536</v>
      </c>
      <c r="R21" s="829"/>
    </row>
    <row r="22" spans="2:18" s="729" customFormat="1" ht="12.75" customHeight="1">
      <c r="B22" s="741"/>
      <c r="G22" s="910"/>
      <c r="H22" s="731"/>
      <c r="K22" s="731"/>
      <c r="L22" s="731"/>
      <c r="O22" s="729" t="s">
        <v>2745</v>
      </c>
      <c r="R22" s="829"/>
    </row>
    <row r="23" spans="2:18" s="729" customFormat="1">
      <c r="B23" s="741"/>
      <c r="C23" s="729">
        <v>0</v>
      </c>
      <c r="E23" s="729" t="s">
        <v>2520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2511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2713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2507</v>
      </c>
    </row>
    <row r="27" spans="2:18">
      <c r="B27" s="564"/>
      <c r="H27" s="553"/>
      <c r="K27" s="553"/>
      <c r="L27" s="553"/>
    </row>
    <row r="28" spans="2:18">
      <c r="B28" s="564"/>
      <c r="E28" s="586" t="s">
        <v>2827</v>
      </c>
      <c r="F28" s="586" t="s">
        <v>2505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2506</v>
      </c>
    </row>
    <row r="31" spans="2:18">
      <c r="N31" s="568">
        <f>3.78%-2.5%</f>
        <v>1.2799999999999999E-2</v>
      </c>
      <c r="O31" s="566" t="s">
        <v>2504</v>
      </c>
    </row>
    <row r="32" spans="2:18">
      <c r="N32" s="569">
        <f>N30*N31/12</f>
        <v>10.666666666666666</v>
      </c>
      <c r="O32" s="566" t="s">
        <v>2503</v>
      </c>
    </row>
  </sheetData>
  <mergeCells count="21"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  <mergeCell ref="I2:J2"/>
    <mergeCell ref="E2:E3"/>
    <mergeCell ref="F2:F3"/>
    <mergeCell ref="M2:M3"/>
    <mergeCell ref="K2:K3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5"/>
  <sheetViews>
    <sheetView workbookViewId="0">
      <selection activeCell="D34" sqref="D34:E34"/>
    </sheetView>
  </sheetViews>
  <sheetFormatPr defaultColWidth="9.109375" defaultRowHeight="13.2"/>
  <cols>
    <col min="1" max="1" width="1.88671875" style="580" customWidth="1"/>
    <col min="2" max="2" width="11" style="580" bestFit="1" customWidth="1"/>
    <col min="3" max="3" width="9.109375" style="580"/>
    <col min="4" max="4" width="10.44140625" style="735" bestFit="1" customWidth="1"/>
    <col min="5" max="5" width="6.33203125" style="580" bestFit="1" customWidth="1"/>
    <col min="6" max="6" width="6.33203125" style="580" customWidth="1"/>
    <col min="7" max="7" width="9.109375" style="580"/>
    <col min="8" max="8" width="9.6640625" style="580" bestFit="1" customWidth="1"/>
    <col min="9" max="9" width="12" style="580" bestFit="1" customWidth="1"/>
    <col min="10" max="10" width="9.88671875" style="580" bestFit="1" customWidth="1"/>
    <col min="11" max="16384" width="9.109375" style="580"/>
  </cols>
  <sheetData>
    <row r="2" spans="2:6">
      <c r="B2" s="772" t="s">
        <v>2788</v>
      </c>
      <c r="C2" s="772"/>
      <c r="D2" s="773" t="s">
        <v>2797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2685</v>
      </c>
      <c r="I28" s="580" t="s">
        <v>2686</v>
      </c>
      <c r="J28" s="580" t="s">
        <v>2789</v>
      </c>
      <c r="K28" s="580" t="s">
        <v>2687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2750</v>
      </c>
      <c r="I31" s="580" t="s">
        <v>2750</v>
      </c>
      <c r="J31" s="580" t="s">
        <v>2750</v>
      </c>
      <c r="K31" s="580" t="s">
        <v>2750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2805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928">
        <f>SUMPRODUCT(D4:D33,E4:E33)/365</f>
        <v>25.715295438356168</v>
      </c>
      <c r="E34" s="928"/>
      <c r="F34" s="773"/>
    </row>
    <row r="35" spans="2:11">
      <c r="B35" s="772" t="s">
        <v>2810</v>
      </c>
      <c r="D35" s="928" t="s">
        <v>2798</v>
      </c>
      <c r="E35" s="928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36"/>
  <sheetViews>
    <sheetView workbookViewId="0">
      <selection activeCell="I21" sqref="I21"/>
    </sheetView>
  </sheetViews>
  <sheetFormatPr defaultColWidth="9.109375" defaultRowHeight="13.2"/>
  <cols>
    <col min="1" max="1" width="1.88671875" style="580" customWidth="1"/>
    <col min="2" max="2" width="11" style="580" bestFit="1" customWidth="1"/>
    <col min="3" max="3" width="9.109375" style="580"/>
    <col min="4" max="4" width="12.44140625" style="827" bestFit="1" customWidth="1"/>
    <col min="5" max="5" width="6.33203125" style="580" bestFit="1" customWidth="1"/>
    <col min="6" max="6" width="6.33203125" style="580" customWidth="1"/>
    <col min="7" max="7" width="9.109375" style="580"/>
    <col min="8" max="8" width="9.6640625" style="580" bestFit="1" customWidth="1"/>
    <col min="9" max="9" width="12" style="580" bestFit="1" customWidth="1"/>
    <col min="10" max="10" width="9.88671875" style="580" bestFit="1" customWidth="1"/>
    <col min="11" max="16384" width="9.109375" style="580"/>
  </cols>
  <sheetData>
    <row r="2" spans="2:10">
      <c r="B2" s="734" t="s">
        <v>2788</v>
      </c>
      <c r="C2" s="734"/>
      <c r="D2" s="827" t="s">
        <v>2797</v>
      </c>
    </row>
    <row r="3" spans="2:10">
      <c r="B3" s="357"/>
    </row>
    <row r="4" spans="2:10" ht="14.4">
      <c r="B4" s="242">
        <f t="shared" ref="B4:B33" si="0">MIN(D4,100000)</f>
        <v>100000</v>
      </c>
      <c r="C4" s="736">
        <v>45107</v>
      </c>
      <c r="D4" s="826">
        <v>100216.65</v>
      </c>
      <c r="E4" s="737">
        <f>VLOOKUP(D4,$H$5:$I$8,2)</f>
        <v>4.0000000000000001E-3</v>
      </c>
      <c r="F4" s="737"/>
      <c r="H4" s="219" t="s">
        <v>2905</v>
      </c>
      <c r="I4" s="219" t="s">
        <v>2904</v>
      </c>
      <c r="J4" s="219" t="s">
        <v>2906</v>
      </c>
    </row>
    <row r="5" spans="2:10" ht="14.4">
      <c r="B5" s="242">
        <f t="shared" si="0"/>
        <v>100000</v>
      </c>
      <c r="C5" s="736">
        <v>45106</v>
      </c>
      <c r="D5" s="826">
        <v>100203.33</v>
      </c>
      <c r="E5" s="737">
        <f t="shared" ref="E5:E33" si="1">VLOOKUP(D5,$H$5:$I$8,2)</f>
        <v>4.0000000000000001E-3</v>
      </c>
      <c r="F5" s="737"/>
      <c r="H5" s="640">
        <v>0</v>
      </c>
      <c r="I5" s="828">
        <v>1.5E-3</v>
      </c>
      <c r="J5" s="219" t="s">
        <v>2908</v>
      </c>
    </row>
    <row r="6" spans="2:10" ht="14.4">
      <c r="B6" s="242">
        <f t="shared" si="0"/>
        <v>100000</v>
      </c>
      <c r="C6" s="736">
        <v>45105</v>
      </c>
      <c r="D6" s="826">
        <v>100283.34</v>
      </c>
      <c r="E6" s="737">
        <f t="shared" si="1"/>
        <v>4.0000000000000001E-3</v>
      </c>
      <c r="F6" s="737"/>
      <c r="H6" s="640">
        <v>5000</v>
      </c>
      <c r="I6" s="828">
        <v>2E-3</v>
      </c>
      <c r="J6" s="219"/>
    </row>
    <row r="7" spans="2:10" ht="14.4">
      <c r="B7" s="242">
        <f t="shared" si="0"/>
        <v>100000</v>
      </c>
      <c r="C7" s="736">
        <v>45104</v>
      </c>
      <c r="D7" s="826">
        <v>100912.23</v>
      </c>
      <c r="E7" s="737">
        <f t="shared" si="1"/>
        <v>4.0000000000000001E-3</v>
      </c>
      <c r="F7" s="737"/>
      <c r="H7" s="640">
        <v>20000</v>
      </c>
      <c r="I7" s="828">
        <v>3.0000000000000001E-3</v>
      </c>
      <c r="J7" s="219"/>
    </row>
    <row r="8" spans="2:10" ht="14.4">
      <c r="B8" s="242">
        <f t="shared" si="0"/>
        <v>100000</v>
      </c>
      <c r="C8" s="736">
        <v>45103</v>
      </c>
      <c r="D8" s="826">
        <v>100912.22</v>
      </c>
      <c r="E8" s="737">
        <f t="shared" si="1"/>
        <v>4.0000000000000001E-3</v>
      </c>
      <c r="F8" s="737"/>
      <c r="H8" s="640">
        <v>100000</v>
      </c>
      <c r="I8" s="828">
        <v>4.0000000000000001E-3</v>
      </c>
      <c r="J8" s="219" t="s">
        <v>2907</v>
      </c>
    </row>
    <row r="9" spans="2:10" ht="14.4">
      <c r="B9" s="242">
        <f t="shared" si="0"/>
        <v>100000</v>
      </c>
      <c r="C9" s="736">
        <v>45102</v>
      </c>
      <c r="D9" s="826">
        <v>100912.21</v>
      </c>
      <c r="E9" s="737">
        <f t="shared" si="1"/>
        <v>4.0000000000000001E-3</v>
      </c>
      <c r="F9" s="737"/>
      <c r="H9" s="219"/>
      <c r="I9" s="219"/>
      <c r="J9" s="219"/>
    </row>
    <row r="10" spans="2:10" ht="14.4">
      <c r="B10" s="242">
        <f t="shared" si="0"/>
        <v>100000</v>
      </c>
      <c r="C10" s="736">
        <v>45101</v>
      </c>
      <c r="D10" s="826">
        <v>100912.21</v>
      </c>
      <c r="E10" s="737">
        <f t="shared" si="1"/>
        <v>4.0000000000000001E-3</v>
      </c>
      <c r="F10" s="737"/>
    </row>
    <row r="11" spans="2:10" ht="14.4">
      <c r="B11" s="242">
        <f t="shared" si="0"/>
        <v>1852.2</v>
      </c>
      <c r="C11" s="736">
        <v>45100</v>
      </c>
      <c r="D11" s="826">
        <v>1852.2</v>
      </c>
      <c r="E11" s="737">
        <f>VLOOKUP(D11,$H$5:$I$8,2)</f>
        <v>1.5E-3</v>
      </c>
      <c r="F11" s="737"/>
    </row>
    <row r="12" spans="2:10" ht="14.4">
      <c r="B12" s="242">
        <f t="shared" si="0"/>
        <v>99852.21</v>
      </c>
      <c r="C12" s="736">
        <v>45099</v>
      </c>
      <c r="D12" s="826">
        <v>99852.21</v>
      </c>
      <c r="E12" s="737">
        <f t="shared" si="1"/>
        <v>3.0000000000000001E-3</v>
      </c>
      <c r="F12" s="737"/>
    </row>
    <row r="13" spans="2:10" ht="14.4">
      <c r="B13" s="242">
        <f t="shared" si="0"/>
        <v>1851.19</v>
      </c>
      <c r="C13" s="736">
        <v>45098</v>
      </c>
      <c r="D13" s="826">
        <v>1851.19</v>
      </c>
      <c r="E13" s="737">
        <f t="shared" si="1"/>
        <v>1.5E-3</v>
      </c>
      <c r="F13" s="737"/>
    </row>
    <row r="14" spans="2:10" ht="14.4">
      <c r="B14" s="242">
        <f t="shared" si="0"/>
        <v>2151.1999999999998</v>
      </c>
      <c r="C14" s="736">
        <v>45097</v>
      </c>
      <c r="D14" s="826">
        <v>2151.1999999999998</v>
      </c>
      <c r="E14" s="737">
        <f t="shared" si="1"/>
        <v>1.5E-3</v>
      </c>
      <c r="F14" s="737"/>
    </row>
    <row r="15" spans="2:10" ht="14.4">
      <c r="B15" s="242">
        <f t="shared" si="0"/>
        <v>2151.1999999999998</v>
      </c>
      <c r="C15" s="736">
        <v>45096</v>
      </c>
      <c r="D15" s="826">
        <v>2151.1999999999998</v>
      </c>
      <c r="E15" s="737">
        <f t="shared" si="1"/>
        <v>1.5E-3</v>
      </c>
      <c r="F15" s="737"/>
    </row>
    <row r="16" spans="2:10" ht="14.4">
      <c r="B16" s="242">
        <f t="shared" si="0"/>
        <v>2151.1999999999998</v>
      </c>
      <c r="C16" s="736">
        <v>45095</v>
      </c>
      <c r="D16" s="826">
        <v>2151.1999999999998</v>
      </c>
      <c r="E16" s="737">
        <f t="shared" si="1"/>
        <v>1.5E-3</v>
      </c>
      <c r="F16" s="737"/>
    </row>
    <row r="17" spans="2:11" ht="14.4">
      <c r="B17" s="242">
        <f t="shared" si="0"/>
        <v>2151.1999999999998</v>
      </c>
      <c r="C17" s="736">
        <v>45094</v>
      </c>
      <c r="D17" s="826">
        <v>2151.1999999999998</v>
      </c>
      <c r="E17" s="737">
        <f t="shared" si="1"/>
        <v>1.5E-3</v>
      </c>
      <c r="F17" s="737"/>
    </row>
    <row r="18" spans="2:11" ht="14.4">
      <c r="B18" s="242">
        <f t="shared" si="0"/>
        <v>2251.21</v>
      </c>
      <c r="C18" s="736">
        <v>45093</v>
      </c>
      <c r="D18" s="826">
        <v>2251.21</v>
      </c>
      <c r="E18" s="737">
        <f t="shared" si="1"/>
        <v>1.5E-3</v>
      </c>
      <c r="F18" s="737"/>
    </row>
    <row r="19" spans="2:11" ht="14.4">
      <c r="B19" s="242">
        <f t="shared" si="0"/>
        <v>2251.21</v>
      </c>
      <c r="C19" s="736">
        <v>45092</v>
      </c>
      <c r="D19" s="826">
        <v>2251.21</v>
      </c>
      <c r="E19" s="737">
        <f>VLOOKUP(D19,$H$5:$I$8,2)</f>
        <v>1.5E-3</v>
      </c>
      <c r="F19" s="737"/>
    </row>
    <row r="20" spans="2:11" ht="14.4">
      <c r="B20" s="242">
        <f t="shared" si="0"/>
        <v>2251.21</v>
      </c>
      <c r="C20" s="736">
        <v>45091</v>
      </c>
      <c r="D20" s="826">
        <v>2251.21</v>
      </c>
      <c r="E20" s="737">
        <f t="shared" si="1"/>
        <v>1.5E-3</v>
      </c>
      <c r="F20" s="737"/>
    </row>
    <row r="21" spans="2:11" ht="14.4">
      <c r="B21" s="242">
        <f t="shared" si="0"/>
        <v>2251.21</v>
      </c>
      <c r="C21" s="736">
        <v>45090</v>
      </c>
      <c r="D21" s="826">
        <v>2251.21</v>
      </c>
      <c r="E21" s="737">
        <f t="shared" si="1"/>
        <v>1.5E-3</v>
      </c>
      <c r="F21" s="737"/>
    </row>
    <row r="22" spans="2:11" ht="14.4">
      <c r="B22" s="242">
        <f t="shared" si="0"/>
        <v>2271.2199999999998</v>
      </c>
      <c r="C22" s="736">
        <v>45089</v>
      </c>
      <c r="D22" s="826">
        <v>2271.2199999999998</v>
      </c>
      <c r="E22" s="737">
        <f t="shared" si="1"/>
        <v>1.5E-3</v>
      </c>
      <c r="F22" s="737"/>
    </row>
    <row r="23" spans="2:11" ht="14.4">
      <c r="B23" s="242">
        <f t="shared" si="0"/>
        <v>2271.2199999999998</v>
      </c>
      <c r="C23" s="736">
        <v>45088</v>
      </c>
      <c r="D23" s="826">
        <v>2271.2199999999998</v>
      </c>
      <c r="E23" s="737">
        <f t="shared" si="1"/>
        <v>1.5E-3</v>
      </c>
      <c r="F23" s="737"/>
    </row>
    <row r="24" spans="2:11" ht="14.4">
      <c r="B24" s="242">
        <f t="shared" si="0"/>
        <v>2271.2199999999998</v>
      </c>
      <c r="C24" s="736">
        <v>45087</v>
      </c>
      <c r="D24" s="826">
        <v>2271.2199999999998</v>
      </c>
      <c r="E24" s="737">
        <f t="shared" si="1"/>
        <v>1.5E-3</v>
      </c>
      <c r="F24" s="737"/>
    </row>
    <row r="25" spans="2:11" ht="14.4">
      <c r="B25" s="242">
        <f t="shared" si="0"/>
        <v>2296.23</v>
      </c>
      <c r="C25" s="736">
        <v>45086</v>
      </c>
      <c r="D25" s="826">
        <v>2296.23</v>
      </c>
      <c r="E25" s="737">
        <f t="shared" si="1"/>
        <v>1.5E-3</v>
      </c>
      <c r="F25" s="737"/>
    </row>
    <row r="26" spans="2:11" ht="14.4">
      <c r="B26" s="242">
        <f t="shared" si="0"/>
        <v>2096.2199999999998</v>
      </c>
      <c r="C26" s="736">
        <v>45085</v>
      </c>
      <c r="D26" s="826">
        <v>2096.2199999999998</v>
      </c>
      <c r="E26" s="737">
        <f t="shared" si="1"/>
        <v>1.5E-3</v>
      </c>
      <c r="F26" s="737"/>
    </row>
    <row r="27" spans="2:11" ht="14.4">
      <c r="B27" s="242">
        <f t="shared" si="0"/>
        <v>1788.3</v>
      </c>
      <c r="C27" s="736">
        <v>45084</v>
      </c>
      <c r="D27" s="826">
        <v>1788.3</v>
      </c>
      <c r="E27" s="737">
        <f t="shared" si="1"/>
        <v>1.5E-3</v>
      </c>
      <c r="F27" s="737"/>
    </row>
    <row r="28" spans="2:11" ht="14.4">
      <c r="B28" s="242">
        <f t="shared" si="0"/>
        <v>1488.29</v>
      </c>
      <c r="C28" s="736">
        <v>45083</v>
      </c>
      <c r="D28" s="826">
        <v>1488.29</v>
      </c>
      <c r="E28" s="737">
        <f t="shared" si="1"/>
        <v>1.5E-3</v>
      </c>
      <c r="F28" s="737"/>
    </row>
    <row r="29" spans="2:11" ht="14.4">
      <c r="B29" s="242">
        <f t="shared" si="0"/>
        <v>1488.29</v>
      </c>
      <c r="C29" s="736">
        <v>45082</v>
      </c>
      <c r="D29" s="826">
        <v>1488.29</v>
      </c>
      <c r="E29" s="737">
        <f t="shared" si="1"/>
        <v>1.5E-3</v>
      </c>
      <c r="F29" s="737"/>
      <c r="H29" s="580" t="s">
        <v>2685</v>
      </c>
      <c r="I29" s="580" t="s">
        <v>2686</v>
      </c>
      <c r="J29" s="580" t="s">
        <v>2789</v>
      </c>
      <c r="K29" s="580" t="s">
        <v>2687</v>
      </c>
    </row>
    <row r="30" spans="2:11" ht="14.4">
      <c r="B30" s="242">
        <f t="shared" si="0"/>
        <v>100000</v>
      </c>
      <c r="C30" s="736">
        <v>45081</v>
      </c>
      <c r="D30" s="826">
        <v>106487.29</v>
      </c>
      <c r="E30" s="737">
        <f t="shared" si="1"/>
        <v>4.0000000000000001E-3</v>
      </c>
      <c r="F30" s="737"/>
      <c r="H30" s="737">
        <v>2.5000000000000001E-2</v>
      </c>
      <c r="I30" s="737">
        <v>8.9999999999999993E-3</v>
      </c>
      <c r="J30" s="737">
        <v>0</v>
      </c>
      <c r="K30" s="737"/>
    </row>
    <row r="31" spans="2:11" ht="14.4">
      <c r="B31" s="242">
        <f t="shared" si="0"/>
        <v>100000</v>
      </c>
      <c r="C31" s="736">
        <v>45080</v>
      </c>
      <c r="D31" s="826">
        <v>102499.32</v>
      </c>
      <c r="E31" s="737">
        <f t="shared" si="1"/>
        <v>4.0000000000000001E-3</v>
      </c>
      <c r="F31" s="737"/>
      <c r="H31" s="739">
        <f>$B$35</f>
        <v>41237.874333333319</v>
      </c>
      <c r="I31" s="739">
        <f>$B$35</f>
        <v>41237.874333333319</v>
      </c>
      <c r="J31" s="739">
        <f>$B$35</f>
        <v>41237.874333333319</v>
      </c>
    </row>
    <row r="32" spans="2:11" ht="14.4">
      <c r="B32" s="242">
        <f t="shared" si="0"/>
        <v>100000</v>
      </c>
      <c r="C32" s="736">
        <v>45079</v>
      </c>
      <c r="D32" s="826">
        <v>102499.29</v>
      </c>
      <c r="E32" s="737">
        <f t="shared" si="1"/>
        <v>4.0000000000000001E-3</v>
      </c>
      <c r="F32" s="737"/>
      <c r="H32" s="580" t="s">
        <v>2750</v>
      </c>
      <c r="I32" s="580" t="s">
        <v>2750</v>
      </c>
      <c r="J32" s="580" t="s">
        <v>2750</v>
      </c>
      <c r="K32" s="580" t="s">
        <v>2750</v>
      </c>
    </row>
    <row r="33" spans="2:11" ht="14.4">
      <c r="B33" s="242">
        <f t="shared" si="0"/>
        <v>100000</v>
      </c>
      <c r="C33" s="736">
        <v>45078</v>
      </c>
      <c r="D33" s="826">
        <v>102499.29</v>
      </c>
      <c r="E33" s="737">
        <f t="shared" si="1"/>
        <v>4.0000000000000001E-3</v>
      </c>
      <c r="F33" s="737"/>
      <c r="H33" s="580">
        <f>H30*H31/365*31</f>
        <v>87.559870159817322</v>
      </c>
      <c r="I33" s="580">
        <f>I30*I31/365*31</f>
        <v>31.521553257534233</v>
      </c>
      <c r="J33" s="580">
        <f>J30*J31/365*31</f>
        <v>0</v>
      </c>
      <c r="K33" s="739">
        <f>D35</f>
        <v>13.229677205479451</v>
      </c>
    </row>
    <row r="34" spans="2:11">
      <c r="B34" s="242"/>
      <c r="C34" s="736"/>
      <c r="D34" s="774"/>
      <c r="E34" s="737"/>
      <c r="F34" s="737"/>
      <c r="G34" s="580" t="s">
        <v>2805</v>
      </c>
      <c r="H34" s="580">
        <v>85.99</v>
      </c>
      <c r="I34" s="580">
        <v>30.96</v>
      </c>
      <c r="K34" s="580">
        <v>13.23</v>
      </c>
    </row>
    <row r="35" spans="2:11">
      <c r="B35" s="739">
        <f>AVERAGE(B4:B34)</f>
        <v>41237.874333333319</v>
      </c>
      <c r="D35" s="928">
        <f>SUMPRODUCT(D4:D34,E4:E34)/365</f>
        <v>13.229677205479451</v>
      </c>
      <c r="E35" s="928"/>
      <c r="F35" s="740"/>
    </row>
    <row r="36" spans="2:11">
      <c r="B36" s="734" t="s">
        <v>2810</v>
      </c>
      <c r="D36" s="928" t="s">
        <v>2798</v>
      </c>
      <c r="E36" s="928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24"/>
  <sheetViews>
    <sheetView workbookViewId="0">
      <selection activeCell="I23" sqref="I23"/>
    </sheetView>
  </sheetViews>
  <sheetFormatPr defaultRowHeight="13.2"/>
  <cols>
    <col min="1" max="1" width="0.88671875" style="672" customWidth="1"/>
    <col min="2" max="2" width="6.5546875" bestFit="1" customWidth="1"/>
    <col min="3" max="3" width="7.5546875" bestFit="1" customWidth="1"/>
    <col min="4" max="4" width="6.5546875" bestFit="1" customWidth="1"/>
    <col min="5" max="5" width="9.33203125" style="672" bestFit="1" customWidth="1"/>
    <col min="6" max="6" width="5.5546875" style="702" bestFit="1" customWidth="1"/>
    <col min="7" max="8" width="9.6640625" bestFit="1" customWidth="1"/>
    <col min="9" max="9" width="21.109375" bestFit="1" customWidth="1"/>
  </cols>
  <sheetData>
    <row r="2" spans="2:9" s="672" customFormat="1" ht="26.4">
      <c r="B2" s="674" t="s">
        <v>2717</v>
      </c>
      <c r="C2" s="674" t="s">
        <v>311</v>
      </c>
      <c r="D2" s="675" t="s">
        <v>2721</v>
      </c>
      <c r="E2" s="676" t="s">
        <v>2718</v>
      </c>
      <c r="F2" s="676" t="s">
        <v>2752</v>
      </c>
      <c r="G2" s="676" t="s">
        <v>2719</v>
      </c>
      <c r="H2" s="674" t="s">
        <v>460</v>
      </c>
      <c r="I2" s="673" t="s">
        <v>2716</v>
      </c>
    </row>
    <row r="3" spans="2:9" ht="13.8">
      <c r="B3" s="227"/>
      <c r="C3" s="227">
        <v>102000</v>
      </c>
      <c r="D3" s="227">
        <v>0</v>
      </c>
      <c r="E3" s="227">
        <v>0</v>
      </c>
      <c r="F3" s="704" t="s">
        <v>2751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3.8">
      <c r="B5" s="227"/>
      <c r="C5" s="227">
        <v>92574</v>
      </c>
      <c r="D5" s="227">
        <v>0</v>
      </c>
      <c r="E5" s="227">
        <v>20000</v>
      </c>
      <c r="F5" s="706" t="s">
        <v>2751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3.8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2751</v>
      </c>
      <c r="G7" s="227">
        <f>SUM(B7:E7)</f>
        <v>112225.48</v>
      </c>
      <c r="H7" s="81">
        <v>44195</v>
      </c>
      <c r="I7" s="63" t="s">
        <v>2722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3.8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2751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2723</v>
      </c>
      <c r="D10" s="227"/>
      <c r="E10" s="227"/>
      <c r="F10" s="705"/>
      <c r="G10" s="227" t="s">
        <v>2724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3.8">
      <c r="B12" s="227">
        <f t="shared" ref="B12:B22" si="0">$B$7</f>
        <v>13108.48</v>
      </c>
      <c r="C12" s="227">
        <v>1000</v>
      </c>
      <c r="D12" s="227">
        <v>89000</v>
      </c>
      <c r="E12" s="227">
        <v>8672</v>
      </c>
      <c r="F12" s="706" t="s">
        <v>2751</v>
      </c>
      <c r="G12" s="227">
        <f t="shared" ref="G12:G17" si="1">SUM(B12:E12)</f>
        <v>111780.48</v>
      </c>
      <c r="H12" s="81">
        <v>44576</v>
      </c>
      <c r="I12" s="63"/>
    </row>
    <row r="13" spans="2:9" ht="13.8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2751</v>
      </c>
      <c r="G13" s="227">
        <f t="shared" si="1"/>
        <v>110480.48</v>
      </c>
      <c r="H13" s="81">
        <v>44608</v>
      </c>
      <c r="I13" s="63"/>
    </row>
    <row r="14" spans="2:9" ht="13.8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2751</v>
      </c>
      <c r="G14" s="227">
        <f t="shared" si="1"/>
        <v>112570.48</v>
      </c>
      <c r="H14" s="81">
        <v>44638</v>
      </c>
      <c r="I14" s="63"/>
    </row>
    <row r="15" spans="2:9" ht="13.8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2751</v>
      </c>
      <c r="G15" s="227">
        <f t="shared" si="1"/>
        <v>108175.48</v>
      </c>
      <c r="H15" s="81">
        <v>44701</v>
      </c>
      <c r="I15" s="63" t="s">
        <v>2727</v>
      </c>
    </row>
    <row r="16" spans="2:9" ht="13.8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2751</v>
      </c>
      <c r="G16" s="227">
        <f t="shared" si="1"/>
        <v>109985.48</v>
      </c>
      <c r="H16" s="81">
        <v>44728</v>
      </c>
      <c r="I16" s="63" t="s">
        <v>2728</v>
      </c>
    </row>
    <row r="17" spans="2:9" ht="13.8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2751</v>
      </c>
      <c r="G17" s="227">
        <f t="shared" si="1"/>
        <v>105859.48</v>
      </c>
      <c r="H17" s="81">
        <v>44788</v>
      </c>
      <c r="I17" s="63" t="s">
        <v>2720</v>
      </c>
    </row>
    <row r="18" spans="2:9" s="672" customFormat="1" ht="13.8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2751</v>
      </c>
      <c r="G18" s="227">
        <f>SUM(B18:E18)</f>
        <v>102207.48</v>
      </c>
      <c r="H18" s="81">
        <v>44851</v>
      </c>
      <c r="I18" s="63"/>
    </row>
    <row r="19" spans="2:9" s="672" customFormat="1" ht="13.8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2751</v>
      </c>
      <c r="G19" s="227">
        <f>SUM(B19:E19)</f>
        <v>100303.48</v>
      </c>
      <c r="H19" s="81">
        <v>44880</v>
      </c>
      <c r="I19" s="63"/>
    </row>
    <row r="20" spans="2:9" s="672" customFormat="1" ht="13.8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2751</v>
      </c>
      <c r="G20" s="227">
        <f>SUM(B20:E20)</f>
        <v>98359.48</v>
      </c>
      <c r="H20" s="81">
        <v>44910</v>
      </c>
      <c r="I20" s="63" t="s">
        <v>2720</v>
      </c>
    </row>
    <row r="21" spans="2:9" ht="13.8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2751</v>
      </c>
      <c r="G21" s="227">
        <f>SUM(B21:E21)</f>
        <v>99108.479999999996</v>
      </c>
      <c r="H21" s="81">
        <v>45000</v>
      </c>
      <c r="I21" s="63"/>
    </row>
    <row r="22" spans="2:9" ht="13.8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6" t="s">
        <v>2751</v>
      </c>
      <c r="G22" s="227">
        <f>SUM(B22:E22)</f>
        <v>100108.48</v>
      </c>
      <c r="H22" s="81">
        <v>45000</v>
      </c>
      <c r="I22" s="63" t="s">
        <v>2840</v>
      </c>
    </row>
    <row r="23" spans="2:9">
      <c r="B23" s="63"/>
      <c r="C23" s="63"/>
      <c r="D23" s="63"/>
      <c r="E23" s="63"/>
      <c r="F23" s="770"/>
      <c r="G23" s="63"/>
      <c r="H23" s="63"/>
      <c r="I23" s="63"/>
    </row>
    <row r="24" spans="2:9">
      <c r="B24" s="63"/>
      <c r="C24" s="63"/>
      <c r="D24" s="63"/>
      <c r="E24" s="63"/>
      <c r="F24" s="770"/>
      <c r="G24" s="63"/>
      <c r="H24" s="63"/>
      <c r="I24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0"/>
  <sheetViews>
    <sheetView workbookViewId="0">
      <selection activeCell="D10" sqref="D10"/>
    </sheetView>
  </sheetViews>
  <sheetFormatPr defaultRowHeight="13.2"/>
  <cols>
    <col min="1" max="1" width="11.109375" style="825" bestFit="1" customWidth="1"/>
    <col min="2" max="2" width="6.6640625" bestFit="1" customWidth="1"/>
    <col min="3" max="3" width="7.33203125" bestFit="1" customWidth="1"/>
    <col min="4" max="4" width="13.33203125" bestFit="1" customWidth="1"/>
  </cols>
  <sheetData>
    <row r="2" spans="1:4" ht="26.4">
      <c r="B2" t="s">
        <v>2900</v>
      </c>
      <c r="C2" s="824" t="s">
        <v>2901</v>
      </c>
      <c r="D2" t="s">
        <v>461</v>
      </c>
    </row>
    <row r="3" spans="1:4">
      <c r="A3" s="825">
        <v>45082</v>
      </c>
      <c r="C3">
        <v>1000</v>
      </c>
      <c r="D3" t="s">
        <v>2899</v>
      </c>
    </row>
    <row r="4" spans="1:4">
      <c r="B4">
        <v>5000</v>
      </c>
      <c r="C4">
        <f>C3+B4</f>
        <v>6000</v>
      </c>
      <c r="D4" t="s">
        <v>2897</v>
      </c>
    </row>
    <row r="5" spans="1:4">
      <c r="B5">
        <v>5000</v>
      </c>
      <c r="C5" s="823">
        <f>C4+B5</f>
        <v>11000</v>
      </c>
      <c r="D5" s="823" t="s">
        <v>2897</v>
      </c>
    </row>
    <row r="6" spans="1:4">
      <c r="B6">
        <v>2000</v>
      </c>
      <c r="C6" s="823">
        <f>C5+B6</f>
        <v>13000</v>
      </c>
      <c r="D6" t="s">
        <v>2896</v>
      </c>
    </row>
    <row r="7" spans="1:4">
      <c r="B7">
        <v>2000</v>
      </c>
      <c r="C7" s="823">
        <f>C6+B7</f>
        <v>15000</v>
      </c>
      <c r="D7" s="823" t="s">
        <v>2896</v>
      </c>
    </row>
    <row r="8" spans="1:4">
      <c r="A8" s="825">
        <v>45098</v>
      </c>
      <c r="B8">
        <v>-12700</v>
      </c>
      <c r="D8" t="s">
        <v>2898</v>
      </c>
    </row>
    <row r="9" spans="1:4">
      <c r="C9" s="823">
        <f>C7+B8</f>
        <v>2300</v>
      </c>
      <c r="D9" t="s">
        <v>2902</v>
      </c>
    </row>
    <row r="10" spans="1:4">
      <c r="A10" s="825">
        <v>45106</v>
      </c>
      <c r="B10">
        <v>-1410</v>
      </c>
      <c r="C10" s="823">
        <f>C9+B10</f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B4"/>
  <sheetViews>
    <sheetView workbookViewId="0">
      <selection activeCell="I48" sqref="I48"/>
    </sheetView>
  </sheetViews>
  <sheetFormatPr defaultRowHeight="13.2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E23"/>
  <sheetViews>
    <sheetView workbookViewId="0">
      <selection activeCell="C19" sqref="C19"/>
    </sheetView>
  </sheetViews>
  <sheetFormatPr defaultColWidth="9.109375" defaultRowHeight="14.4"/>
  <cols>
    <col min="1" max="1" width="1.6640625" style="373" customWidth="1"/>
    <col min="2" max="2" width="26.88671875" style="373" bestFit="1" customWidth="1"/>
    <col min="3" max="3" width="17.88671875" style="383" bestFit="1" customWidth="1"/>
    <col min="4" max="4" width="10" style="373" bestFit="1" customWidth="1"/>
    <col min="5" max="16384" width="9.109375" style="373"/>
  </cols>
  <sheetData>
    <row r="2" spans="2:5">
      <c r="B2" s="373" t="s">
        <v>1885</v>
      </c>
    </row>
    <row r="3" spans="2:5">
      <c r="B3" s="373" t="s">
        <v>1884</v>
      </c>
      <c r="C3" s="929" t="s">
        <v>1897</v>
      </c>
      <c r="D3" s="929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8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09375" defaultRowHeight="15.6"/>
  <cols>
    <col min="1" max="1" width="1.109375" style="364" customWidth="1"/>
    <col min="2" max="2" width="4.109375" style="426" customWidth="1"/>
    <col min="3" max="3" width="4.88671875" style="426" customWidth="1"/>
    <col min="4" max="4" width="4.5546875" style="364" bestFit="1" customWidth="1"/>
    <col min="5" max="5" width="7.88671875" style="364" bestFit="1" customWidth="1"/>
    <col min="6" max="6" width="4.6640625" style="426" bestFit="1" customWidth="1"/>
    <col min="7" max="7" width="5.5546875" style="426" bestFit="1" customWidth="1"/>
    <col min="8" max="8" width="8.33203125" style="377" bestFit="1" customWidth="1"/>
    <col min="9" max="10" width="6.6640625" style="365" bestFit="1" customWidth="1"/>
    <col min="11" max="11" width="1.88671875" style="365" customWidth="1"/>
    <col min="12" max="13" width="4.5546875" style="364" bestFit="1" customWidth="1"/>
    <col min="14" max="14" width="8" style="426" bestFit="1" customWidth="1"/>
    <col min="15" max="15" width="6.109375" style="364" bestFit="1" customWidth="1"/>
    <col min="16" max="16" width="0.6640625" style="426" customWidth="1"/>
    <col min="17" max="17" width="11.5546875" style="426" customWidth="1"/>
    <col min="18" max="18" width="5.109375" style="364" bestFit="1" customWidth="1"/>
    <col min="19" max="19" width="14" style="364" customWidth="1"/>
    <col min="20" max="20" width="7.88671875" style="364" bestFit="1" customWidth="1"/>
    <col min="21" max="21" width="6.88671875" style="364" customWidth="1"/>
    <col min="22" max="22" width="6.109375" style="364" customWidth="1"/>
    <col min="23" max="23" width="7.6640625" style="364" bestFit="1" customWidth="1"/>
    <col min="24" max="24" width="6.109375" style="364" customWidth="1"/>
    <col min="25" max="25" width="9.109375" style="364"/>
    <col min="26" max="26" width="6.109375" style="364" customWidth="1"/>
    <col min="27" max="16384" width="9.109375" style="364"/>
  </cols>
  <sheetData>
    <row r="1" spans="2:28" ht="5.25" customHeight="1">
      <c r="L1" s="365"/>
    </row>
    <row r="2" spans="2:28" ht="15.75" customHeight="1">
      <c r="B2" s="930" t="s">
        <v>2079</v>
      </c>
      <c r="C2" s="930"/>
      <c r="D2" s="931" t="s">
        <v>1875</v>
      </c>
      <c r="E2" s="931"/>
      <c r="F2" s="471"/>
      <c r="G2" s="471"/>
      <c r="H2" s="378"/>
      <c r="I2" s="934" t="s">
        <v>2256</v>
      </c>
      <c r="J2" s="935"/>
      <c r="K2" s="935"/>
      <c r="L2" s="935"/>
      <c r="M2" s="935"/>
      <c r="N2" s="935"/>
      <c r="O2" s="936"/>
      <c r="P2" s="438"/>
      <c r="Q2" s="937" t="s">
        <v>2287</v>
      </c>
      <c r="R2" s="434"/>
    </row>
    <row r="3" spans="2:28" s="426" customFormat="1" ht="15.75" customHeight="1">
      <c r="B3" s="429"/>
      <c r="C3" s="435"/>
      <c r="D3" s="427"/>
      <c r="E3" s="427"/>
      <c r="F3" s="942" t="s">
        <v>2282</v>
      </c>
      <c r="G3" s="943"/>
      <c r="H3" s="378"/>
      <c r="I3" s="433"/>
      <c r="J3" s="472"/>
      <c r="K3" s="939" t="s">
        <v>2422</v>
      </c>
      <c r="L3" s="940"/>
      <c r="M3" s="941"/>
      <c r="N3" s="476"/>
      <c r="O3" s="430"/>
      <c r="P3" s="470"/>
      <c r="Q3" s="938"/>
      <c r="R3" s="372"/>
    </row>
    <row r="4" spans="2:28" ht="46.8">
      <c r="B4" s="426" t="s">
        <v>2078</v>
      </c>
      <c r="C4" s="426" t="s">
        <v>2077</v>
      </c>
      <c r="D4" s="370" t="s">
        <v>1874</v>
      </c>
      <c r="E4" s="518" t="s">
        <v>2472</v>
      </c>
      <c r="F4" s="519" t="s">
        <v>2412</v>
      </c>
      <c r="G4" s="520" t="s">
        <v>2413</v>
      </c>
      <c r="H4" s="379" t="s">
        <v>460</v>
      </c>
      <c r="I4" s="431" t="s">
        <v>1872</v>
      </c>
      <c r="J4" s="432" t="s">
        <v>2269</v>
      </c>
      <c r="K4" s="431"/>
      <c r="L4" s="432" t="s">
        <v>1873</v>
      </c>
      <c r="M4" s="431" t="s">
        <v>2211</v>
      </c>
      <c r="N4" s="431" t="s">
        <v>2261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2262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2263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2257</v>
      </c>
      <c r="O8" s="460"/>
      <c r="P8" s="460"/>
      <c r="Q8" s="463"/>
      <c r="R8" s="463"/>
      <c r="S8" s="932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2258</v>
      </c>
      <c r="O9" s="460">
        <v>139</v>
      </c>
      <c r="P9" s="460"/>
      <c r="Q9" s="460"/>
      <c r="R9" s="460">
        <f>-ABS(T8)</f>
        <v>-500</v>
      </c>
      <c r="S9" s="932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2259</v>
      </c>
      <c r="O11" s="445">
        <v>141</v>
      </c>
      <c r="P11" s="445"/>
      <c r="Q11" s="445"/>
      <c r="R11" s="445">
        <v>498</v>
      </c>
      <c r="S11" s="466" t="s">
        <v>2215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2260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933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933"/>
      <c r="T14" s="449" t="s">
        <v>2217</v>
      </c>
      <c r="U14" s="449" t="s">
        <v>2216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2208</v>
      </c>
      <c r="T15" s="459">
        <f>U6+V8-(39-38)+0.6</f>
        <v>180.35999999999999</v>
      </c>
      <c r="U15" s="478" t="s">
        <v>2234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4">
      <c r="C26" s="473"/>
    </row>
    <row r="27" spans="2:28" ht="23.4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ADB</vt:lpstr>
      <vt:lpstr>paydown</vt:lpstr>
      <vt:lpstr>MCS intApr</vt:lpstr>
      <vt:lpstr>MCS int</vt:lpstr>
      <vt:lpstr>wife100k</vt:lpstr>
      <vt:lpstr>Bj15d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root1</cp:lastModifiedBy>
  <cp:lastPrinted>2023-05-19T07:09:18Z</cp:lastPrinted>
  <dcterms:created xsi:type="dcterms:W3CDTF">1998-07-18T13:03:51Z</dcterms:created>
  <dcterms:modified xsi:type="dcterms:W3CDTF">2023-07-15T11:01:03Z</dcterms:modified>
</cp:coreProperties>
</file>