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1111" windowHeight="10908" tabRatio="673" firstSheet="5" activeTab="5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MCSA ADB" sheetId="42" r:id="rId8"/>
    <sheet name="wife100k" sheetId="43" state="hidden" r:id="rId9"/>
    <sheet name="!" sheetId="33" r:id="rId10"/>
  </sheets>
  <calcPr calcId="144525"/>
</workbook>
</file>

<file path=xl/comments1.xml><?xml version="1.0" encoding="utf-8"?>
<comments xmlns="http://schemas.openxmlformats.org/spreadsheetml/2006/main">
  <authors>
    <author>a</author>
  </authors>
  <commentList>
    <comment ref="BG1" authorId="0">
      <text>
        <r>
          <rPr>
            <b/>
            <sz val="8"/>
            <rFont val="Tahoma"/>
            <charset val="134"/>
          </rPr>
          <t>see ignored</t>
        </r>
      </text>
    </comment>
    <comment ref="BJ1" authorId="0">
      <text>
        <r>
          <rPr>
            <b/>
            <sz val="8"/>
            <rFont val="Tahoma"/>
            <charset val="134"/>
          </rPr>
          <t>see ignored</t>
        </r>
      </text>
    </comment>
    <comment ref="BM1" authorId="0">
      <text>
        <r>
          <rPr>
            <b/>
            <sz val="8"/>
            <rFont val="Tahoma"/>
            <charset val="134"/>
          </rPr>
          <t>see ignored</t>
        </r>
      </text>
    </comment>
    <comment ref="BP1" authorId="0">
      <text>
        <r>
          <rPr>
            <b/>
            <sz val="8"/>
            <rFont val="Tahoma"/>
            <charset val="134"/>
          </rPr>
          <t>see ignored</t>
        </r>
      </text>
    </comment>
    <comment ref="BS1" authorId="0">
      <text>
        <r>
          <rPr>
            <b/>
            <sz val="8"/>
            <rFont val="Tahoma"/>
            <charset val="134"/>
          </rPr>
          <t>see ignored</t>
        </r>
      </text>
    </comment>
    <comment ref="E21" authorId="0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>
      <text>
        <r>
          <rPr>
            <sz val="9"/>
            <rFont val="Tahoma"/>
            <charset val="134"/>
          </rPr>
          <t>lowest in a year</t>
        </r>
      </text>
    </comment>
    <comment ref="GK5" authorId="1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>
      <text>
        <r>
          <rPr>
            <sz val="9"/>
            <rFont val="Tahoma"/>
            <charset val="134"/>
          </rPr>
          <t>bao4xiao1</t>
        </r>
      </text>
    </comment>
    <comment ref="KV11" authorId="0">
      <text>
        <r>
          <rPr>
            <sz val="9"/>
            <rFont val="Tahoma"/>
            <charset val="134"/>
          </rPr>
          <t>$488 so far</t>
        </r>
      </text>
    </comment>
    <comment ref="HA13" authorId="0">
      <text>
        <r>
          <rPr>
            <sz val="9"/>
            <rFont val="Tahoma"/>
            <charset val="134"/>
          </rPr>
          <t>6/7@monthlyAmt</t>
        </r>
      </text>
    </comment>
    <comment ref="GD16" authorId="2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>
      <text>
        <r>
          <rPr>
            <b/>
            <sz val="9"/>
            <rFont val="Tahoma"/>
            <charset val="134"/>
          </rPr>
          <t>ccard?</t>
        </r>
      </text>
    </comment>
    <comment ref="KD30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<sst xmlns="http://schemas.openxmlformats.org/spreadsheetml/2006/main" count="9044" uniqueCount="3718">
  <si>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</si>
  <si>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</si>
  <si>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</si>
  <si>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</si>
  <si>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</si>
  <si>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</si>
  <si>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</si>
  <si>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</si>
  <si>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</si>
  <si>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</si>
  <si>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</si>
  <si>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</si>
  <si>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</si>
  <si>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</si>
  <si>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</si>
  <si>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</si>
  <si>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</si>
  <si>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</si>
  <si>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</si>
  <si>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</si>
  <si>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</si>
  <si>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</si>
  <si>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</si>
  <si>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</si>
  <si>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</si>
  <si>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</si>
  <si>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</si>
  <si>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</si>
  <si>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</si>
  <si>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</si>
  <si>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</si>
  <si>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</si>
  <si>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</si>
  <si>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</si>
  <si>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</si>
  <si>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</si>
  <si>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</si>
  <si>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</si>
  <si>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</si>
  <si>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</si>
  <si>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</si>
  <si>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</si>
  <si>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</si>
  <si>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</si>
  <si>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</si>
  <si>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</si>
  <si>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</si>
  <si>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</si>
  <si>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</si>
  <si>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</si>
  <si>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</si>
  <si>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</si>
  <si>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</si>
  <si>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</si>
  <si>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</si>
  <si>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</si>
  <si>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</si>
  <si>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</si>
  <si>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</si>
  <si>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</si>
  <si>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</si>
  <si>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</si>
  <si>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</si>
  <si>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</si>
  <si>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</si>
  <si>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</si>
  <si>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</si>
  <si>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</si>
  <si>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</si>
  <si>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</si>
  <si>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</si>
  <si>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</si>
  <si>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</si>
  <si>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</si>
  <si>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</si>
  <si>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</si>
  <si>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</si>
  <si>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</si>
  <si>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</si>
  <si>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</si>
  <si>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</si>
  <si>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</si>
  <si>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</si>
  <si>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</si>
  <si>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</si>
  <si>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</si>
  <si>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</si>
  <si>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</si>
  <si>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</si>
  <si>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</si>
  <si>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</si>
  <si>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</si>
  <si>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</si>
  <si>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</si>
  <si>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</si>
  <si>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</si>
  <si>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</si>
  <si>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</si>
  <si>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</si>
  <si>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</si>
  <si>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</si>
  <si>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</si>
  <si>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</si>
  <si>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</si>
  <si>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</si>
  <si>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</si>
  <si>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</si>
  <si>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</si>
  <si>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</si>
  <si>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</si>
  <si>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</si>
  <si>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</si>
  <si>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</si>
  <si>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</si>
  <si>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</si>
  <si>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</si>
  <si>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</si>
  <si>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</si>
  <si>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</si>
  <si>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</si>
  <si>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</si>
  <si>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</si>
  <si>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</si>
  <si>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</si>
  <si>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</si>
  <si>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</si>
  <si>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</si>
  <si>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</si>
  <si>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</si>
  <si>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</si>
  <si>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</si>
  <si>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</si>
  <si>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</si>
  <si>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</si>
  <si>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</si>
  <si>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</si>
  <si>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</si>
  <si>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</si>
  <si>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</si>
  <si>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</si>
  <si>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</si>
  <si>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</si>
  <si>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</si>
  <si>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</si>
  <si>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</si>
  <si>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</si>
  <si>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</si>
  <si>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</si>
  <si>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</si>
  <si>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</si>
  <si>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</si>
  <si>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</si>
  <si>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</si>
  <si>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</si>
  <si>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</si>
  <si>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</si>
  <si>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</si>
  <si>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</si>
  <si>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</si>
  <si>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</si>
  <si>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</si>
  <si>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</si>
  <si>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</si>
  <si>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</si>
  <si>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</si>
  <si>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</si>
  <si>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</si>
  <si>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</si>
  <si>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</si>
  <si>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</si>
  <si>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</si>
  <si>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</si>
  <si>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</si>
  <si>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</si>
  <si>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</si>
  <si>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</si>
  <si>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</si>
  <si>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</si>
  <si>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</si>
  <si>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</si>
  <si>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</si>
  <si>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</si>
  <si>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</si>
  <si>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</si>
  <si>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</si>
  <si>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</si>
  <si>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</si>
  <si>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</si>
  <si>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</si>
  <si>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</si>
  <si>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</si>
  <si>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</si>
  <si>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</si>
  <si>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</si>
  <si>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</si>
  <si>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</si>
  <si>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</si>
  <si>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</si>
  <si>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</si>
  <si>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</si>
  <si>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</si>
  <si>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</si>
  <si>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</si>
  <si>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</si>
  <si>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</si>
  <si>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</si>
  <si>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</si>
  <si>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</si>
  <si>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</si>
  <si>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</si>
  <si>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</si>
  <si>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</si>
  <si>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</si>
  <si>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</si>
  <si>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</si>
  <si>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</si>
  <si>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</si>
  <si>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</si>
  <si>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</si>
  <si>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</si>
  <si>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</si>
  <si>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</si>
  <si>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</si>
  <si>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</si>
  <si>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</si>
  <si>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</si>
  <si>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</si>
  <si>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</si>
  <si>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</si>
  <si>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</si>
  <si>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</si>
  <si>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</si>
  <si>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</si>
  <si>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</si>
  <si>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</si>
  <si>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</si>
  <si>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</si>
  <si>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</si>
  <si>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</si>
  <si>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</si>
  <si>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</si>
  <si>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</si>
  <si>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</si>
  <si>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</si>
  <si>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</si>
  <si>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</si>
  <si>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</si>
  <si>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</si>
  <si>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</si>
  <si>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</si>
  <si>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</si>
  <si>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</si>
  <si>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</si>
  <si>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</si>
  <si>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</si>
  <si>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</si>
  <si>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</si>
  <si>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</si>
  <si>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</si>
  <si>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</si>
  <si>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</si>
  <si>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</si>
  <si>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</si>
  <si>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</si>
  <si>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</si>
  <si>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</si>
  <si>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</si>
  <si>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</si>
  <si>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</si>
  <si>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</si>
  <si>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</si>
  <si>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</si>
  <si>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</si>
  <si>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</si>
  <si>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</si>
  <si>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</si>
  <si>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</si>
  <si>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</si>
  <si>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</si>
  <si>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</si>
  <si>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</si>
  <si>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</si>
  <si>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</si>
  <si>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</si>
  <si>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</si>
  <si>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</si>
  <si>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</si>
  <si>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</si>
  <si>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</si>
  <si>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</si>
  <si>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</si>
  <si>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</si>
  <si>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</si>
  <si>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</si>
  <si>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</si>
  <si>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</si>
  <si>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</si>
  <si>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</si>
  <si>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</si>
  <si>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</si>
  <si>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</si>
  <si>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</si>
  <si>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</si>
  <si>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</si>
  <si>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</si>
  <si>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</si>
  <si>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</si>
  <si>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</si>
  <si>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</si>
  <si>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</si>
  <si>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</si>
  <si>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</si>
  <si>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</si>
  <si>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</si>
  <si>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</si>
  <si>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</si>
  <si>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</si>
  <si>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</si>
  <si>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</si>
  <si>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</si>
  <si>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</si>
  <si>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</si>
  <si>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</si>
  <si>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</si>
  <si>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</si>
  <si>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</si>
  <si>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</si>
  <si>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</si>
  <si>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</si>
  <si>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</si>
  <si>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</si>
  <si>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</si>
  <si>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</si>
  <si>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</si>
  <si>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</si>
  <si>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</si>
  <si>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</si>
  <si>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</si>
  <si>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</si>
  <si>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</si>
  <si>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</si>
  <si>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</si>
  <si>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</si>
  <si>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</si>
  <si>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</si>
  <si>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</si>
  <si>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</si>
  <si>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</si>
  <si>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</si>
  <si>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</si>
  <si>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</si>
  <si>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</si>
  <si>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</si>
  <si>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</si>
  <si>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</si>
  <si>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</si>
  <si>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</si>
  <si>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</si>
  <si>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</si>
  <si>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</si>
  <si>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</si>
  <si>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</si>
  <si>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</si>
  <si>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</si>
  <si>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</si>
  <si>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</si>
  <si>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</si>
  <si>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</si>
  <si>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</si>
  <si>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</si>
  <si>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</si>
  <si>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</si>
  <si>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</si>
  <si>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</si>
  <si>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</si>
  <si>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</si>
  <si>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</si>
  <si>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</si>
  <si>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</si>
  <si>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</si>
  <si>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</si>
  <si>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</si>
  <si>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</si>
  <si>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</si>
  <si>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</si>
  <si>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</si>
  <si>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</si>
  <si>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</si>
  <si>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</si>
  <si>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</si>
  <si>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</si>
  <si>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</si>
  <si>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</si>
  <si>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</si>
  <si>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</si>
  <si>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</si>
  <si>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</si>
  <si>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</si>
  <si>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</si>
  <si>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</si>
  <si>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</si>
  <si>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</si>
  <si>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</si>
  <si>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</si>
  <si>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</si>
  <si>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</si>
  <si>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</si>
  <si>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</si>
  <si>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</si>
  <si>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</si>
  <si>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</si>
  <si>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</si>
  <si>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</si>
  <si>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</si>
  <si>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</si>
  <si>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</si>
  <si>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</si>
  <si>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</si>
  <si>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</si>
  <si>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</si>
  <si>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</si>
  <si>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</si>
  <si>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</si>
  <si>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</si>
  <si>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</si>
  <si>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</si>
  <si>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</si>
  <si>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</si>
  <si>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</si>
  <si>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</si>
  <si>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</si>
  <si>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</si>
  <si>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</si>
  <si>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</si>
  <si>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</si>
  <si>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</si>
  <si>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</si>
  <si>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</si>
  <si>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</si>
  <si>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</si>
  <si>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</si>
  <si>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</si>
  <si>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</si>
  <si>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</si>
  <si>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</si>
  <si>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</si>
  <si>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</si>
  <si>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</si>
  <si>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</si>
  <si>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</si>
  <si>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</si>
  <si>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</si>
  <si>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</si>
  <si>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</si>
  <si>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</si>
  <si>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</si>
  <si>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</si>
  <si>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</si>
  <si>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</si>
  <si>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</si>
  <si>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</si>
  <si>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</si>
  <si>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</si>
  <si>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</si>
  <si>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</si>
  <si>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</si>
  <si>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</si>
  <si>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</si>
  <si>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</si>
  <si>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</si>
  <si>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</si>
  <si>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</si>
  <si>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</si>
  <si>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</si>
  <si>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</si>
  <si>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</si>
  <si>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</si>
  <si>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</si>
  <si>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</si>
  <si>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</si>
  <si>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</si>
  <si>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</si>
  <si>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</si>
  <si>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</si>
  <si>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</si>
  <si>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</si>
  <si>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</si>
  <si>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</si>
  <si>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</si>
  <si>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</si>
  <si>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</si>
  <si>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</si>
  <si>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</si>
  <si>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</si>
  <si>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</si>
  <si>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</si>
  <si>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</si>
  <si>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</si>
  <si>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</si>
  <si>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</si>
  <si>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</si>
  <si>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</si>
  <si>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</si>
  <si>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</si>
  <si>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</si>
  <si>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</si>
  <si>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</si>
  <si>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</si>
  <si>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</si>
  <si>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</si>
  <si>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</si>
  <si>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</si>
  <si>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</si>
  <si>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</si>
  <si>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</si>
  <si>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</si>
  <si>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</si>
  <si>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</si>
  <si>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</si>
  <si>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</si>
  <si>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</si>
  <si>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</si>
  <si>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</si>
  <si>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</si>
  <si>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</si>
  <si>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</si>
  <si>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</si>
  <si>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</si>
  <si>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</si>
  <si>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</si>
  <si>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</si>
  <si>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</si>
  <si>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</si>
  <si>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</si>
  <si>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</si>
  <si>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</si>
  <si>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</si>
  <si>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</si>
  <si>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</si>
  <si>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</si>
  <si>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</si>
  <si>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</si>
  <si>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</si>
  <si>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</si>
  <si>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</si>
  <si>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</si>
  <si>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</si>
  <si>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</si>
  <si>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</si>
  <si>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</si>
  <si>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</si>
  <si>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</si>
  <si>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</si>
  <si>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</si>
  <si>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</si>
  <si>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</si>
  <si>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</si>
  <si>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</si>
  <si>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</si>
  <si>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</si>
  <si>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</si>
  <si>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</si>
  <si>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</si>
  <si>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</si>
  <si>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</si>
  <si>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</si>
  <si>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</si>
  <si>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</si>
  <si>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</si>
  <si>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</si>
  <si>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</si>
  <si>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</si>
  <si>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</si>
  <si>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</si>
  <si>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</si>
  <si>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</si>
  <si>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</si>
  <si>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</si>
  <si>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</si>
  <si>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</si>
  <si>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</si>
  <si>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</si>
  <si>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</si>
  <si>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</si>
  <si>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</si>
  <si>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</si>
  <si>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</si>
  <si>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</si>
  <si>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</si>
  <si>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</si>
  <si>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</si>
  <si>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</si>
  <si>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</si>
  <si>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</si>
  <si>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</si>
  <si>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</si>
  <si>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</si>
  <si>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</si>
  <si>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</si>
  <si>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</si>
  <si>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</si>
  <si>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</si>
  <si>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</si>
  <si>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</si>
  <si>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</si>
  <si>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</si>
  <si>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</si>
  <si>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</si>
  <si>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</si>
  <si>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</si>
  <si>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</si>
  <si>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</si>
  <si>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</si>
  <si>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</si>
  <si>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</si>
  <si>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</si>
  <si>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</si>
  <si>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</si>
  <si>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</si>
  <si>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</si>
  <si>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</si>
  <si>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</si>
  <si>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</si>
  <si>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</si>
  <si>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</si>
  <si>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</si>
  <si>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</si>
  <si>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</si>
  <si>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</si>
  <si>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</si>
  <si>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</si>
  <si>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</si>
  <si>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</si>
  <si>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</si>
  <si>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</si>
  <si>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</si>
  <si>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</si>
  <si>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</si>
  <si>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</si>
  <si>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</si>
  <si>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</si>
  <si>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</si>
  <si>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</si>
  <si>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</si>
  <si>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</si>
  <si>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</si>
  <si>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</si>
  <si>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</si>
  <si>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</si>
  <si>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</si>
  <si>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</si>
  <si>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</si>
  <si>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</si>
  <si>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</si>
  <si>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</si>
  <si>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</si>
  <si>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</si>
  <si>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</si>
  <si>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</si>
  <si>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</si>
  <si>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</si>
  <si>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</si>
  <si>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</si>
  <si>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</si>
  <si>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</si>
  <si>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</si>
  <si>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</si>
  <si>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</si>
  <si>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</si>
  <si>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</si>
  <si>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</si>
  <si>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</si>
  <si>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</si>
  <si>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</si>
  <si>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</si>
  <si>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</si>
  <si>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</si>
  <si>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</si>
  <si>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</si>
  <si>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</si>
  <si>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</si>
  <si>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</si>
  <si>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</si>
  <si>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</si>
  <si>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</si>
  <si>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</si>
  <si>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</si>
  <si>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</si>
  <si>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</si>
  <si>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</si>
  <si>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</si>
  <si>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</si>
  <si>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</si>
  <si>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</si>
  <si>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</si>
  <si>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</si>
  <si>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</si>
  <si>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</si>
  <si>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</si>
  <si>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</si>
  <si>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</si>
  <si>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</si>
  <si>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</si>
  <si>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</si>
  <si>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</si>
  <si>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</si>
  <si>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</si>
  <si>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</si>
  <si>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</si>
  <si>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</si>
  <si>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</si>
  <si>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</si>
  <si>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</si>
  <si>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</si>
  <si>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</si>
  <si>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</si>
  <si>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</si>
  <si>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</si>
  <si>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</si>
  <si>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</si>
  <si>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</si>
  <si>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</si>
  <si>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</si>
  <si>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</si>
  <si>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</si>
  <si>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</si>
  <si>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</si>
  <si>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</si>
  <si>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</si>
  <si>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</si>
  <si>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</si>
  <si>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</si>
  <si>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</si>
  <si>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</si>
  <si>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</si>
  <si>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</si>
  <si>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</si>
  <si>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</si>
  <si>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</si>
  <si>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</si>
  <si>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</si>
  <si>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</si>
  <si>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</si>
  <si>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</si>
  <si>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</si>
  <si>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</si>
  <si>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</si>
  <si>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</si>
  <si>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</si>
  <si>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</si>
  <si>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</si>
  <si>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</si>
  <si>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</si>
  <si>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</si>
  <si>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</si>
  <si>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</si>
  <si>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</si>
  <si>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</si>
  <si>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</si>
  <si>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</si>
  <si>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</si>
  <si>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</si>
  <si>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</si>
  <si>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</si>
  <si>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</si>
  <si>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</si>
  <si>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</si>
  <si>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</si>
  <si>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</si>
  <si>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</si>
  <si>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</si>
  <si>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</si>
  <si>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</si>
  <si>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</si>
  <si>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</si>
  <si>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</si>
  <si>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</si>
  <si>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</si>
  <si>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</si>
  <si>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</si>
  <si>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</si>
  <si>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</si>
  <si>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</si>
  <si>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</si>
  <si>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</si>
  <si>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</si>
  <si>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</si>
  <si>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</si>
  <si>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</si>
  <si>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</si>
  <si>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</si>
  <si>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</si>
  <si>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</si>
  <si>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</si>
  <si>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</si>
  <si>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</si>
  <si>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</si>
  <si>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</si>
  <si>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</si>
  <si>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</si>
  <si>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</si>
  <si>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</si>
  <si>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</si>
  <si>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</si>
  <si>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</si>
  <si>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</si>
  <si>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</si>
  <si>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</si>
  <si>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</si>
  <si>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</si>
  <si>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</si>
  <si>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</si>
  <si>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</si>
  <si>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</si>
  <si>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</si>
  <si>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</si>
  <si>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</si>
  <si>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</si>
  <si>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</si>
  <si>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</si>
  <si>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</si>
  <si>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</si>
  <si>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</si>
  <si>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</si>
  <si>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</si>
  <si>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</si>
  <si>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</si>
  <si>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</si>
  <si>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</si>
  <si>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</si>
  <si>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</si>
  <si>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</si>
  <si>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</si>
  <si>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</si>
  <si>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</si>
  <si>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</si>
  <si>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</si>
  <si>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</si>
  <si>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</si>
  <si>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</si>
  <si>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</si>
  <si>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</si>
  <si>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</si>
  <si>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</si>
  <si>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</si>
  <si>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</si>
  <si>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</si>
  <si>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</si>
  <si>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</si>
  <si>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</si>
  <si>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</si>
  <si>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</si>
  <si>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</si>
  <si>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</si>
  <si>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</si>
  <si>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</si>
  <si>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</si>
  <si>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</si>
  <si>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</si>
  <si>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</si>
  <si>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</si>
  <si>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</si>
  <si>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</si>
  <si>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</si>
  <si>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</si>
  <si>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</si>
  <si>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</si>
  <si>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</si>
  <si>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</si>
  <si>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</si>
  <si>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</si>
  <si>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</si>
  <si>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</si>
  <si>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</si>
  <si>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</si>
  <si>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</si>
  <si>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</si>
  <si>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</si>
  <si>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</si>
  <si>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</si>
  <si>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</si>
  <si>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</si>
  <si>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</si>
  <si>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</si>
  <si>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</si>
  <si>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</si>
  <si>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</si>
  <si>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</si>
  <si>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</si>
  <si>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</si>
  <si>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</si>
  <si>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</si>
  <si>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</si>
  <si>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</si>
  <si>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</si>
  <si>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</si>
  <si>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</si>
  <si>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</si>
  <si>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</si>
  <si>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</si>
  <si>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</si>
  <si>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</si>
  <si>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</si>
  <si>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</si>
  <si>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</si>
  <si>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</si>
  <si>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</si>
  <si>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</si>
  <si>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</si>
  <si>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</si>
  <si>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</si>
  <si>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</si>
  <si>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</si>
  <si>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</si>
  <si>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</si>
  <si>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</si>
  <si>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</si>
  <si>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</si>
  <si>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</si>
  <si>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</si>
  <si>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</si>
  <si>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</si>
  <si>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</si>
  <si>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</si>
  <si>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</si>
  <si>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</si>
  <si>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</si>
  <si>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</si>
  <si>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</si>
  <si>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</si>
  <si>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</si>
  <si>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</si>
  <si>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</si>
  <si>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</si>
  <si>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</si>
  <si>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</si>
  <si>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</si>
  <si>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</si>
  <si>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</si>
  <si>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</si>
  <si>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</si>
  <si>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</si>
  <si>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</si>
  <si>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</si>
  <si>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</si>
  <si>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</si>
  <si>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</si>
  <si>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</si>
  <si>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</si>
  <si>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</si>
  <si>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</si>
  <si>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</si>
  <si>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</si>
  <si>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</si>
  <si>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</si>
  <si>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</si>
  <si>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</si>
  <si>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</si>
  <si>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</si>
  <si>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</si>
  <si>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</si>
  <si>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</si>
  <si>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</si>
  <si>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</si>
  <si>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</si>
  <si>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</si>
  <si>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</si>
  <si>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</si>
  <si>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</si>
  <si>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</si>
  <si>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</si>
  <si>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</si>
  <si>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</si>
  <si>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</si>
  <si>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</si>
  <si>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</si>
  <si>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</si>
  <si>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</si>
  <si>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</si>
  <si>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</si>
  <si>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</si>
  <si>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</si>
  <si>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</si>
  <si>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</si>
  <si>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</si>
  <si>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</si>
  <si>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</si>
  <si>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</si>
  <si>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</si>
  <si>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</si>
  <si>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</si>
  <si>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</si>
  <si>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</si>
  <si>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</si>
  <si>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</si>
  <si>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</si>
  <si>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</si>
  <si>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</si>
  <si>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</si>
  <si>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</si>
  <si>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</si>
  <si>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</si>
  <si>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</si>
  <si>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</si>
  <si>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</si>
  <si>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</si>
  <si>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</si>
  <si>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</si>
  <si>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</si>
  <si>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</si>
  <si>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</si>
  <si>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</si>
  <si>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</si>
  <si>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</si>
  <si>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</si>
  <si>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</si>
  <si>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</si>
  <si>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</si>
  <si>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</si>
  <si>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</si>
  <si>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</si>
  <si>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</si>
  <si>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</si>
  <si>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</si>
  <si>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</si>
  <si>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</si>
  <si>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</si>
  <si>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</si>
  <si>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</si>
  <si>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</si>
  <si>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</si>
  <si>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</si>
  <si>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</si>
  <si>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</si>
  <si>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</si>
  <si>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</si>
  <si>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</si>
  <si>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</si>
  <si>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</si>
  <si>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</si>
  <si>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</si>
  <si>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</si>
  <si>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</si>
  <si>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</si>
  <si>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</si>
  <si>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</si>
  <si>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</si>
  <si>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</si>
  <si>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</si>
  <si>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</si>
  <si>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</si>
  <si>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</si>
  <si>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</si>
  <si>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</si>
  <si>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</si>
  <si>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</si>
  <si>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</si>
  <si>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</si>
  <si>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</si>
  <si>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</si>
  <si>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</si>
  <si>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</si>
  <si>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</si>
  <si>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</si>
  <si>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</si>
  <si>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</si>
  <si>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</si>
  <si>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</si>
  <si>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</si>
  <si>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</si>
  <si>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</si>
  <si>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</si>
  <si>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</si>
  <si>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</si>
  <si>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</si>
  <si>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</si>
  <si>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</si>
  <si>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</si>
  <si>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</si>
  <si>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</si>
  <si>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</si>
  <si>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</si>
  <si>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</si>
  <si>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</si>
  <si>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</si>
  <si>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</si>
  <si>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</si>
  <si>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</si>
  <si>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</si>
  <si>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</si>
  <si>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</si>
  <si>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</si>
  <si>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</si>
  <si>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</si>
  <si>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</si>
  <si>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</si>
  <si>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</si>
  <si>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</si>
  <si>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</si>
  <si>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</si>
  <si>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</si>
  <si>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</si>
  <si>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</si>
  <si>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</si>
  <si>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</si>
  <si>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</si>
  <si>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</si>
  <si>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</si>
  <si>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</si>
  <si>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</si>
  <si>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</si>
  <si>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</si>
  <si>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</si>
  <si>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</si>
  <si>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</si>
  <si>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</si>
  <si>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</si>
  <si>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</si>
  <si>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</si>
  <si>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</si>
  <si>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</si>
  <si>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</si>
  <si>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</si>
  <si>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</si>
  <si>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</si>
  <si>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</si>
  <si>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</si>
  <si>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</si>
  <si>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</si>
  <si>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</si>
  <si>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</si>
  <si>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</si>
  <si>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</si>
  <si>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</si>
  <si>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</si>
  <si>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</si>
  <si>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</si>
  <si>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</si>
  <si>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</si>
  <si>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</si>
  <si>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</si>
  <si>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</si>
  <si>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</si>
  <si>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</si>
  <si>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</si>
  <si>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</si>
  <si>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</si>
  <si>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</si>
  <si>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</si>
  <si>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</si>
  <si>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</si>
  <si>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</si>
  <si>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</si>
  <si>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</si>
  <si>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</si>
  <si>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</si>
  <si>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</si>
  <si>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</si>
  <si>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</si>
  <si>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</si>
  <si>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</si>
  <si>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</si>
  <si>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</si>
  <si>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</si>
  <si>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</si>
  <si>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</si>
  <si>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</si>
  <si>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</si>
  <si>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</si>
  <si>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</si>
  <si>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</si>
  <si>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</si>
  <si>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</si>
  <si>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</si>
  <si>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</si>
  <si>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</si>
  <si>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</si>
  <si>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</si>
  <si>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</si>
  <si>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</si>
  <si>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</si>
  <si>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</si>
  <si>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</si>
  <si>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</si>
  <si>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</si>
  <si>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</si>
  <si>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</si>
  <si>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</si>
  <si>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</si>
  <si>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</si>
  <si>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</si>
  <si>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</si>
  <si>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</si>
  <si>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</si>
  <si>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</si>
  <si>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</si>
  <si>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</si>
  <si>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</si>
  <si>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</si>
  <si>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</si>
  <si>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</si>
  <si>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</si>
  <si>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</si>
  <si>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</si>
  <si>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</si>
  <si>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</si>
  <si>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</si>
  <si>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loan{boy#outside#407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</si>
  <si>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</si>
  <si>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</si>
  <si>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</si>
  <si>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</si>
  <si>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</si>
  <si>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</si>
  <si>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</si>
  <si>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</si>
  <si>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</si>
  <si>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</si>
  <si>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</si>
  <si>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</si>
  <si>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</si>
  <si>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</si>
  <si>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</si>
  <si>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</si>
  <si>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</si>
  <si>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</si>
  <si>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</si>
  <si>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</si>
  <si>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</si>
  <si>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</si>
  <si>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</si>
  <si>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</si>
  <si>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</si>
  <si>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</si>
  <si>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</si>
  <si>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</si>
  <si>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</si>
  <si>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</si>
  <si>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</si>
  <si>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</si>
  <si>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</si>
  <si>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</si>
  <si>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</si>
  <si>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</si>
  <si>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</si>
  <si>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</si>
  <si>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</si>
  <si>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</si>
  <si>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</si>
  <si>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</si>
  <si>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</si>
  <si>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</si>
  <si>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</si>
  <si>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</si>
  <si>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</si>
  <si>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</si>
  <si>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</si>
  <si>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</si>
  <si>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</si>
  <si>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</si>
  <si>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</si>
  <si>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.. IRAS via MCSA</t>
  </si>
  <si>
    <t>..ZLH#无记录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</si>
  <si>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</si>
  <si>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</si>
  <si>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</si>
  <si>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</si>
  <si>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</si>
  <si>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</si>
  <si>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</si>
  <si>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</si>
  <si>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</si>
  <si>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</si>
  <si>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</si>
  <si>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</si>
  <si>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</si>
  <si>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</si>
  <si>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</si>
  <si>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</si>
  <si>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</si>
  <si>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</si>
  <si>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</si>
  <si>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</si>
  <si>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</si>
  <si>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</si>
  <si>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</si>
  <si>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</si>
  <si>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</si>
  <si>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</si>
  <si>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</si>
  <si>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</si>
  <si>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</si>
  <si>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</si>
  <si>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</si>
  <si>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</si>
  <si>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</si>
  <si>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</si>
  <si>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</si>
  <si>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</si>
  <si>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</si>
  <si>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</si>
  <si>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</si>
  <si>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</si>
  <si>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</si>
  <si>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</si>
  <si>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</si>
  <si>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</si>
  <si>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</si>
  <si>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</si>
  <si>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</si>
  <si>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</si>
  <si>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</si>
  <si>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</si>
  <si>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</si>
  <si>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</si>
  <si>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</si>
  <si>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</si>
  <si>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</si>
  <si>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</si>
  <si>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</si>
  <si>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</si>
  <si>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</si>
  <si>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</si>
  <si>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transfers placeholder</t>
  </si>
  <si>
    <t>e$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</si>
  <si>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</si>
  <si>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</si>
  <si>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</si>
  <si>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</si>
  <si>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</si>
  <si>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</si>
  <si>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</si>
  <si>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</si>
  <si>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</si>
  <si>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</si>
  <si>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</si>
  <si>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</si>
  <si>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</si>
  <si>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</si>
  <si>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</si>
  <si>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</si>
  <si>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</si>
  <si>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</si>
  <si>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</si>
  <si>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</si>
  <si>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</si>
  <si>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</si>
  <si>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</si>
  <si>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</si>
  <si>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</si>
  <si>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</si>
  <si>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</si>
  <si>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</si>
  <si>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</si>
  <si>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</si>
  <si>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</si>
  <si>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</si>
  <si>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</si>
  <si>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</si>
  <si>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</si>
  <si>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</si>
  <si>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</si>
  <si>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</si>
  <si>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</si>
  <si>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</si>
  <si>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</si>
  <si>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</si>
  <si>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</si>
  <si>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</si>
  <si>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</si>
  <si>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</si>
  <si>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</si>
  <si>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</si>
  <si>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</si>
  <si>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</si>
  <si>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</si>
  <si>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</si>
  <si>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</si>
  <si>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</si>
  <si>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</si>
  <si>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</si>
  <si>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</si>
  <si>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</si>
  <si>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</si>
  <si>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t>工商467.92#cigna}108</t>
  </si>
  <si>
    <t>randRw smart remark</t>
  </si>
  <si>
    <t>CIMB #min1k</t>
  </si>
  <si>
    <t>USD4k&gt;moneyChanger</t>
  </si>
  <si>
    <t>int@228k #</t>
  </si>
  <si>
    <t>MCSA AccBal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</si>
  <si>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</si>
  <si>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</si>
  <si>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</si>
  <si>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</si>
  <si>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</si>
  <si>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</si>
  <si>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</si>
  <si>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</si>
  <si>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</si>
  <si>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</si>
  <si>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</si>
  <si>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</si>
  <si>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</si>
  <si>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</si>
  <si>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</si>
  <si>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</si>
  <si>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</si>
  <si>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</si>
  <si>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</si>
  <si>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</si>
  <si>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</si>
  <si>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</si>
  <si>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</si>
  <si>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</si>
  <si>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</si>
  <si>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</si>
  <si>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</si>
  <si>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</si>
  <si>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</si>
  <si>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</si>
  <si>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</si>
  <si>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</si>
  <si>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</si>
  <si>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</si>
  <si>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</si>
  <si>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</si>
  <si>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</si>
  <si>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</si>
  <si>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</si>
  <si>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</si>
  <si>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</si>
  <si>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</si>
  <si>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</si>
  <si>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</si>
  <si>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</si>
  <si>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</si>
  <si>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</si>
  <si>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</si>
  <si>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</si>
  <si>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</si>
  <si>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</si>
  <si>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</si>
  <si>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</si>
  <si>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</si>
  <si>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</si>
  <si>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</si>
  <si>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</si>
  <si>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</si>
  <si>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</si>
  <si>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</si>
  <si>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FLI250#payment#1</t>
  </si>
  <si>
    <t>EGA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</si>
  <si>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</si>
  <si>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</si>
  <si>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</si>
  <si>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</si>
  <si>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</si>
  <si>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</si>
  <si>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</si>
  <si>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</si>
  <si>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</si>
  <si>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</si>
  <si>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</si>
  <si>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</si>
  <si>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</si>
  <si>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</si>
  <si>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</si>
  <si>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</si>
  <si>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</si>
  <si>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</si>
  <si>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</si>
  <si>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</si>
  <si>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</si>
  <si>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</si>
  <si>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</si>
  <si>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</si>
  <si>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</si>
  <si>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</si>
  <si>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</si>
  <si>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</si>
  <si>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</si>
  <si>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</si>
  <si>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</si>
  <si>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</si>
  <si>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</si>
  <si>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</si>
  <si>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</si>
  <si>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</si>
  <si>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</si>
  <si>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</si>
  <si>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</si>
  <si>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</si>
  <si>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</si>
  <si>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</si>
  <si>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</si>
  <si>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</si>
  <si>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</si>
  <si>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</si>
  <si>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</si>
  <si>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</si>
  <si>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</si>
  <si>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</si>
  <si>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</si>
  <si>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</si>
  <si>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</si>
  <si>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</si>
  <si>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</si>
  <si>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</si>
  <si>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</si>
  <si>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</si>
  <si>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</si>
  <si>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</si>
  <si>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</si>
  <si>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</si>
  <si>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</si>
  <si>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</si>
  <si>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</si>
  <si>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</si>
  <si>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</si>
  <si>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</si>
  <si>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 xml:space="preserve">bx </t>
  </si>
  <si>
    <t xml:space="preserve">icbc 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</si>
  <si>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</si>
  <si>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</si>
  <si>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</si>
  <si>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</si>
  <si>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</si>
  <si>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</si>
  <si>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</si>
  <si>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</si>
  <si>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</si>
  <si>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</si>
  <si>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</si>
  <si>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</si>
  <si>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</si>
  <si>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</si>
  <si>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</si>
  <si>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</si>
  <si>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</si>
  <si>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</si>
  <si>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</si>
  <si>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</si>
  <si>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</si>
  <si>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</si>
  <si>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</si>
  <si>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</si>
  <si>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</si>
  <si>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</si>
  <si>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</si>
  <si>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</si>
  <si>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</si>
  <si>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</si>
  <si>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</si>
  <si>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</si>
  <si>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</si>
  <si>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</si>
  <si>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</si>
  <si>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</si>
  <si>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</si>
  <si>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</si>
  <si>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</si>
  <si>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</si>
  <si>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</si>
  <si>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</si>
  <si>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</si>
  <si>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</si>
  <si>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</si>
  <si>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</si>
  <si>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</si>
  <si>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</si>
  <si>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</si>
  <si>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</si>
  <si>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e$}cpfSA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</si>
  <si>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</si>
  <si>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</si>
  <si>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</si>
  <si>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</si>
  <si>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</si>
  <si>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</si>
  <si>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~~~~~ cCard+PFSA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</si>
  <si>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</si>
  <si>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</si>
  <si>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</si>
  <si>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</si>
  <si>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</si>
  <si>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</si>
  <si>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</si>
  <si>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</si>
  <si>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</si>
  <si>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</si>
  <si>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</si>
  <si>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</si>
  <si>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</si>
  <si>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</si>
  <si>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</si>
  <si>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</si>
  <si>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</si>
  <si>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</si>
  <si>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</si>
  <si>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</si>
  <si>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</si>
  <si>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</si>
  <si>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</si>
  <si>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</si>
  <si>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</si>
  <si>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</si>
  <si>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</si>
  <si>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</si>
  <si>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</si>
  <si>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</si>
  <si>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</si>
  <si>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</si>
  <si>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</si>
  <si>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</si>
  <si>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</si>
  <si>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</si>
  <si>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</si>
  <si>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</si>
  <si>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</si>
  <si>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</si>
  <si>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</si>
  <si>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</si>
  <si>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</si>
  <si>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</si>
  <si>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</si>
  <si>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</si>
  <si>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</si>
  <si>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</si>
  <si>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</si>
  <si>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</si>
  <si>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</si>
  <si>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</si>
  <si>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</si>
  <si>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</si>
  <si>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</si>
  <si>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</si>
  <si>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</si>
  <si>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</si>
  <si>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</si>
  <si>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</si>
  <si>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</si>
  <si>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</si>
  <si>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</si>
  <si>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</si>
  <si>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</si>
  <si>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</si>
  <si>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</si>
  <si>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</si>
  <si>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 #23/12</t>
  </si>
  <si>
    <t>Rmb10k #5.3824</t>
  </si>
  <si>
    <t>SgPow #BocD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</si>
  <si>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</si>
  <si>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</si>
  <si>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</si>
  <si>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</si>
  <si>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</si>
  <si>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</si>
  <si>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</si>
  <si>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</si>
  <si>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</si>
  <si>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</si>
  <si>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</si>
  <si>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</si>
  <si>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</si>
  <si>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</si>
  <si>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</si>
  <si>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</si>
  <si>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</si>
  <si>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</si>
  <si>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</si>
  <si>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</si>
  <si>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</si>
  <si>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</si>
  <si>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</si>
  <si>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</si>
  <si>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</si>
  <si>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</si>
  <si>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</si>
  <si>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</si>
  <si>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</si>
  <si>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</si>
  <si>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</si>
  <si>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</si>
  <si>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</si>
  <si>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</si>
  <si>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</si>
  <si>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</si>
  <si>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</si>
  <si>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</si>
  <si>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</si>
  <si>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</si>
  <si>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</si>
  <si>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</si>
  <si>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</si>
  <si>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</si>
  <si>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</si>
  <si>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</si>
  <si>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</si>
  <si>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</si>
  <si>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</si>
  <si>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</si>
  <si>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</si>
  <si>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</si>
  <si>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</si>
  <si>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</si>
  <si>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</si>
  <si>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</si>
  <si>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</si>
  <si>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</si>
  <si>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</si>
  <si>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</si>
  <si>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</si>
  <si>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</si>
  <si>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</si>
  <si>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</si>
  <si>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</si>
  <si>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</si>
  <si>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</si>
  <si>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</si>
  <si>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</si>
  <si>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</si>
  <si>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</si>
  <si>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</si>
  <si>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</si>
  <si>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</si>
  <si>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</si>
  <si>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>FnF up to ↴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</si>
  <si>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</si>
  <si>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</si>
  <si>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</si>
  <si>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</si>
  <si>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</si>
  <si>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</si>
  <si>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</si>
  <si>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</si>
  <si>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</si>
  <si>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</si>
  <si>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</si>
  <si>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</si>
  <si>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</si>
  <si>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</si>
  <si>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</si>
  <si>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</si>
  <si>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</si>
  <si>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</si>
  <si>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</si>
  <si>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</si>
  <si>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</si>
  <si>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</si>
  <si>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</si>
  <si>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</si>
  <si>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</si>
  <si>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</si>
  <si>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</si>
  <si>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</si>
  <si>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</si>
  <si>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</si>
  <si>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</si>
  <si>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</si>
  <si>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</si>
  <si>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</si>
  <si>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</si>
  <si>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</si>
  <si>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</si>
  <si>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</si>
  <si>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</si>
  <si>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</si>
  <si>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</si>
  <si>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</si>
  <si>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</si>
  <si>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</si>
  <si>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</si>
  <si>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</si>
  <si>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</si>
  <si>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731437116611"/>
        <rFont val="Arial"/>
        <charset val="134"/>
      </rPr>
      <t>mtg-I#3175.47</t>
    </r>
    <r>
      <rPr>
        <b/>
        <sz val="10"/>
        <color theme="5" tint="0.399731437116611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</si>
  <si>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</si>
  <si>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</si>
  <si>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</si>
  <si>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</si>
  <si>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</si>
  <si>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</si>
  <si>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</si>
  <si>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</si>
  <si>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</si>
  <si>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</si>
  <si>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</si>
  <si>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</si>
  <si>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</si>
  <si>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</si>
  <si>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</si>
  <si>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</si>
  <si>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</si>
  <si>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</si>
  <si>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</si>
  <si>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</si>
  <si>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</si>
  <si>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Cmlink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</si>
  <si>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</si>
  <si>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</si>
  <si>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</si>
  <si>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</si>
  <si>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</si>
  <si>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</si>
  <si>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</si>
  <si>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</si>
  <si>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</si>
  <si>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</si>
  <si>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</si>
  <si>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</si>
  <si>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</si>
  <si>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</si>
  <si>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</si>
  <si>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</si>
  <si>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</si>
  <si>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</si>
  <si>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</si>
  <si>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</si>
  <si>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</si>
  <si>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</si>
  <si>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</si>
  <si>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</si>
  <si>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</si>
  <si>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</si>
  <si>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</si>
  <si>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</si>
  <si>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</si>
  <si>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</si>
  <si>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</si>
  <si>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</si>
  <si>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</si>
  <si>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</si>
  <si>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</si>
  <si>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</si>
  <si>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</si>
  <si>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</si>
  <si>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</si>
  <si>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</si>
  <si>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</si>
  <si>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</si>
  <si>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</si>
  <si>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</si>
  <si>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</si>
  <si>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</si>
  <si>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</si>
  <si>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</si>
  <si>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</si>
  <si>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</si>
  <si>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</si>
  <si>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</si>
  <si>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</si>
  <si>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</si>
  <si>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</si>
  <si>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</si>
  <si>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</si>
  <si>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</si>
  <si>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</si>
  <si>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</si>
  <si>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</si>
  <si>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</si>
  <si>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</si>
  <si>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</si>
  <si>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Starhub</t>
  </si>
  <si>
    <t>Rev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</si>
  <si>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</si>
  <si>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</si>
  <si>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</si>
  <si>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</si>
  <si>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</si>
  <si>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</si>
  <si>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</si>
  <si>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</si>
  <si>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</si>
  <si>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</si>
  <si>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</si>
  <si>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</si>
  <si>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</si>
  <si>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</si>
  <si>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</si>
  <si>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</si>
  <si>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</si>
  <si>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</si>
  <si>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</si>
  <si>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</si>
  <si>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</si>
  <si>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</si>
  <si>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</si>
  <si>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</si>
  <si>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</si>
  <si>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</si>
  <si>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</si>
  <si>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</si>
  <si>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</si>
  <si>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</si>
  <si>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</si>
  <si>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</si>
  <si>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</si>
  <si>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</si>
  <si>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</si>
  <si>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</si>
  <si>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</si>
  <si>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</si>
  <si>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</si>
  <si>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</si>
  <si>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</si>
  <si>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</si>
  <si>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</si>
  <si>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</si>
  <si>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</si>
  <si>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</si>
  <si>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</si>
  <si>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</si>
  <si>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</si>
  <si>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</si>
  <si>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</si>
  <si>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</si>
  <si>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</si>
  <si>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</si>
  <si>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</si>
  <si>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</si>
  <si>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</si>
  <si>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</si>
  <si>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</si>
  <si>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</si>
  <si>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</si>
  <si>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</si>
  <si>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</si>
  <si>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</si>
  <si>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</si>
  <si>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</si>
  <si>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</si>
  <si>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Cimb 31/12</t>
  </si>
  <si>
    <t>scsc @ACL↴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</si>
  <si>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</si>
  <si>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</si>
  <si>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</si>
  <si>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</si>
  <si>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</si>
  <si>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</si>
  <si>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</si>
  <si>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</si>
  <si>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</si>
  <si>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</si>
  <si>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</si>
  <si>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</si>
  <si>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</si>
  <si>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</si>
  <si>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</si>
  <si>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</si>
  <si>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</si>
  <si>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</si>
  <si>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</si>
  <si>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</si>
  <si>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</si>
  <si>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</si>
  <si>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</si>
  <si>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</si>
  <si>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</si>
  <si>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</si>
  <si>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</si>
  <si>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</si>
  <si>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</si>
  <si>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</si>
  <si>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</si>
  <si>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</si>
  <si>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</si>
  <si>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</si>
  <si>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</si>
  <si>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</si>
  <si>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</si>
  <si>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</si>
  <si>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</si>
  <si>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</si>
  <si>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</si>
  <si>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</si>
  <si>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</si>
  <si>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</si>
  <si>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</si>
  <si>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</si>
  <si>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</si>
  <si>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</si>
  <si>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</si>
  <si>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</si>
  <si>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</si>
  <si>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</si>
  <si>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</si>
  <si>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</si>
  <si>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</si>
  <si>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</si>
  <si>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</si>
  <si>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</si>
  <si>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</si>
  <si>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</si>
  <si>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</si>
  <si>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</si>
  <si>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</si>
  <si>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</si>
  <si>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</si>
  <si>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</si>
  <si>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含pend`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</si>
  <si>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</si>
  <si>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</si>
  <si>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</si>
  <si>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</si>
  <si>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</si>
  <si>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</si>
  <si>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</si>
  <si>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</si>
  <si>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</si>
  <si>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</si>
  <si>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</si>
  <si>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</si>
  <si>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</si>
  <si>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</si>
  <si>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</si>
  <si>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</si>
  <si>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</si>
  <si>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</si>
  <si>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</si>
  <si>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</si>
  <si>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</si>
  <si>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</si>
  <si>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</si>
  <si>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</si>
  <si>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</si>
  <si>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</si>
  <si>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</si>
  <si>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</si>
  <si>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</si>
  <si>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</si>
  <si>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</si>
  <si>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</si>
  <si>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</si>
  <si>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</si>
  <si>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</si>
  <si>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</si>
  <si>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</si>
  <si>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</si>
  <si>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</si>
  <si>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</si>
  <si>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</si>
  <si>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</si>
  <si>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</si>
  <si>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</si>
  <si>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</si>
  <si>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</si>
  <si>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</si>
  <si>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</si>
  <si>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</si>
  <si>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</si>
  <si>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</si>
  <si>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</si>
  <si>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</si>
  <si>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</si>
  <si>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</si>
  <si>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</si>
  <si>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</si>
  <si>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</si>
  <si>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</si>
  <si>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</si>
  <si>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</si>
  <si>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</si>
  <si>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</si>
  <si>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</si>
  <si>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</si>
  <si>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</si>
  <si>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</si>
  <si>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</si>
  <si>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</si>
  <si>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</si>
  <si>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</si>
  <si>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</si>
  <si>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</si>
  <si>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</si>
  <si>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</si>
  <si>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scsc 1.5% #10/1</t>
  </si>
  <si>
    <t>DBS198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</si>
  <si>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</si>
  <si>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</si>
  <si>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</si>
  <si>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</si>
  <si>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</si>
  <si>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</si>
  <si>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</si>
  <si>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</si>
  <si>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</si>
  <si>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</si>
  <si>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</si>
  <si>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</si>
  <si>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</si>
  <si>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</si>
  <si>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</si>
  <si>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</si>
  <si>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</si>
  <si>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</si>
  <si>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</si>
  <si>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</si>
  <si>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</si>
  <si>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</si>
  <si>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</si>
  <si>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</si>
  <si>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</si>
  <si>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</si>
  <si>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</si>
  <si>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</si>
  <si>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</si>
  <si>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</si>
  <si>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</si>
  <si>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</si>
  <si>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</si>
  <si>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</si>
  <si>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</si>
  <si>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</si>
  <si>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</si>
  <si>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</si>
  <si>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</si>
  <si>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</si>
  <si>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</si>
  <si>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</si>
  <si>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</si>
  <si>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</si>
  <si>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</si>
  <si>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</si>
  <si>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</si>
  <si>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</si>
  <si>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</si>
  <si>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</si>
  <si>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</si>
  <si>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</si>
  <si>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</si>
  <si>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</si>
  <si>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</si>
  <si>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</si>
  <si>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</si>
  <si>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</si>
  <si>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</si>
  <si>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</si>
  <si>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</si>
  <si>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</si>
  <si>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</si>
  <si>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</si>
  <si>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</si>
  <si>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</si>
  <si>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</si>
  <si>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</si>
  <si>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</si>
  <si>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</si>
  <si>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</si>
  <si>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</si>
  <si>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</si>
  <si>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</si>
  <si>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</si>
  <si>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</si>
  <si>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</si>
  <si>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</si>
  <si>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</si>
  <si>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</si>
  <si>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</si>
  <si>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scscOct24promo#9/1</t>
  </si>
  <si>
    <t>DBS104 #TotBal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</si>
  <si>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</si>
  <si>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</si>
  <si>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</si>
  <si>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</si>
  <si>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</si>
  <si>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</si>
  <si>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</si>
  <si>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</si>
  <si>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</si>
  <si>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</si>
  <si>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</si>
  <si>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</si>
  <si>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</si>
  <si>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</si>
  <si>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</si>
  <si>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</si>
  <si>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</si>
  <si>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</si>
  <si>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</si>
  <si>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</si>
  <si>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</si>
  <si>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</si>
  <si>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</si>
  <si>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</si>
  <si>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</si>
  <si>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</si>
  <si>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</si>
  <si>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</si>
  <si>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</si>
  <si>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</si>
  <si>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</si>
  <si>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</si>
  <si>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</si>
  <si>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</si>
  <si>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</si>
  <si>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</si>
  <si>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</si>
  <si>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</si>
  <si>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</si>
  <si>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</si>
  <si>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</si>
  <si>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</si>
  <si>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</si>
  <si>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</si>
  <si>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</si>
  <si>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</si>
  <si>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</si>
  <si>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</si>
  <si>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</si>
  <si>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</si>
  <si>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</si>
  <si>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</si>
  <si>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</si>
  <si>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</si>
  <si>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</si>
  <si>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</si>
  <si>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</si>
  <si>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</si>
  <si>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</si>
  <si>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</si>
  <si>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</si>
  <si>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</si>
  <si>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</si>
  <si>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</si>
  <si>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 xml:space="preserve">MCSA base </t>
  </si>
  <si>
    <t>anyW</t>
  </si>
  <si>
    <t>DBS108 #min2k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</si>
  <si>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</si>
  <si>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</si>
  <si>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</si>
  <si>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</si>
  <si>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</si>
  <si>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</si>
  <si>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</si>
  <si>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</si>
  <si>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</si>
  <si>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</si>
  <si>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</si>
  <si>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</si>
  <si>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</si>
  <si>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</si>
  <si>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</si>
  <si>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</si>
  <si>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</si>
  <si>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</si>
  <si>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</si>
  <si>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</si>
  <si>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</si>
  <si>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</si>
  <si>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</si>
  <si>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</si>
  <si>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</si>
  <si>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</si>
  <si>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</si>
  <si>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</si>
  <si>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</si>
  <si>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</si>
  <si>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</si>
  <si>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</si>
  <si>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</si>
  <si>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</si>
  <si>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</si>
  <si>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</si>
  <si>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</si>
  <si>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</si>
  <si>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</si>
  <si>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</si>
  <si>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</si>
  <si>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</si>
  <si>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</si>
  <si>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</si>
  <si>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</si>
  <si>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</si>
  <si>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</si>
  <si>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</si>
  <si>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</si>
  <si>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</si>
  <si>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</si>
  <si>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</si>
  <si>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</si>
  <si>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</si>
  <si>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</si>
  <si>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</si>
  <si>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</si>
  <si>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</si>
  <si>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MCSA bonus#early Jan</t>
  </si>
  <si>
    <t>Jettz book`#scsc</t>
  </si>
  <si>
    <t>MB yStar $10 min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</si>
  <si>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</si>
  <si>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</si>
  <si>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</si>
  <si>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</si>
  <si>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</si>
  <si>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</si>
  <si>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</si>
  <si>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</si>
  <si>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</si>
  <si>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</si>
  <si>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</si>
  <si>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</si>
  <si>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</si>
  <si>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</si>
  <si>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</si>
  <si>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</si>
  <si>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</si>
  <si>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</si>
  <si>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</si>
  <si>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</si>
  <si>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</si>
  <si>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</si>
  <si>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</si>
  <si>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</si>
  <si>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</si>
  <si>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</si>
  <si>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</si>
  <si>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</si>
  <si>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</si>
  <si>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</si>
  <si>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</si>
  <si>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</si>
  <si>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</si>
  <si>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</si>
  <si>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</si>
  <si>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</si>
  <si>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</si>
  <si>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</si>
  <si>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</si>
  <si>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</si>
  <si>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</si>
  <si>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</si>
  <si>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</si>
  <si>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</si>
  <si>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</si>
  <si>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</si>
  <si>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</si>
  <si>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</si>
  <si>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</si>
  <si>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</si>
  <si>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</si>
  <si>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</si>
  <si>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</si>
  <si>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</si>
  <si>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</si>
  <si>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</si>
  <si>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</si>
  <si>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</si>
  <si>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eDream book`#scsc should be 420.96</t>
  </si>
  <si>
    <t>纸币 #A-B unaffected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</si>
  <si>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</si>
  <si>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</si>
  <si>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</si>
  <si>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</si>
  <si>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</si>
  <si>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</si>
  <si>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</si>
  <si>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</si>
  <si>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</si>
  <si>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</si>
  <si>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</si>
  <si>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</si>
  <si>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</si>
  <si>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</si>
  <si>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</si>
  <si>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</si>
  <si>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</si>
  <si>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</si>
  <si>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</si>
  <si>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</si>
  <si>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</si>
  <si>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</si>
  <si>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</si>
  <si>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</si>
  <si>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</si>
  <si>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</si>
  <si>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</si>
  <si>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</si>
  <si>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</si>
  <si>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</si>
  <si>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</si>
  <si>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</si>
  <si>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</si>
  <si>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</si>
  <si>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</si>
  <si>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</si>
  <si>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</si>
  <si>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</si>
  <si>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</si>
  <si>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</si>
  <si>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</si>
  <si>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</si>
  <si>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</si>
  <si>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</si>
  <si>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</si>
  <si>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</si>
  <si>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</si>
  <si>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</si>
  <si>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</si>
  <si>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</si>
  <si>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</si>
  <si>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</si>
  <si>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cimb</t>
  </si>
  <si>
    <t>88MktSt #e$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</si>
  <si>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</si>
  <si>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</si>
  <si>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</si>
  <si>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</si>
  <si>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</si>
  <si>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</si>
  <si>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</si>
  <si>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</si>
  <si>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</si>
  <si>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</si>
  <si>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</si>
  <si>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</si>
  <si>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</si>
  <si>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</si>
  <si>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</si>
  <si>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</si>
  <si>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</si>
  <si>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</si>
  <si>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</si>
  <si>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</si>
  <si>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</si>
  <si>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</si>
  <si>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</si>
  <si>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</si>
  <si>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</si>
  <si>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</si>
  <si>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</si>
  <si>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</si>
  <si>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</si>
  <si>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</si>
  <si>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</si>
  <si>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</si>
  <si>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</si>
  <si>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</si>
  <si>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</si>
  <si>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</si>
  <si>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</si>
  <si>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</si>
  <si>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</si>
  <si>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</si>
  <si>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</si>
  <si>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</si>
  <si>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</si>
  <si>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</si>
  <si>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</si>
  <si>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</si>
  <si>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</si>
  <si>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</si>
  <si>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</si>
  <si>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</si>
  <si>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</si>
  <si>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</si>
  <si>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</si>
  <si>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</si>
  <si>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</si>
  <si>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</si>
  <si>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</si>
  <si>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</si>
  <si>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</si>
  <si>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</si>
  <si>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</si>
  <si>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</si>
  <si>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</si>
  <si>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</si>
  <si>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SRS#min2k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</si>
  <si>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</si>
  <si>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</si>
  <si>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</si>
  <si>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</si>
  <si>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</si>
  <si>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</si>
  <si>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</si>
  <si>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</si>
  <si>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</si>
  <si>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</si>
  <si>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</si>
  <si>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</si>
  <si>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</si>
  <si>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</si>
  <si>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</si>
  <si>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</si>
  <si>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</si>
  <si>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</si>
  <si>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</si>
  <si>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</si>
  <si>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</si>
  <si>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</si>
  <si>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</si>
  <si>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</si>
  <si>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</si>
  <si>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</si>
  <si>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</si>
  <si>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</si>
  <si>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</si>
  <si>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</si>
  <si>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</si>
  <si>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</si>
  <si>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</si>
  <si>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</si>
  <si>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</si>
  <si>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</si>
  <si>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</si>
  <si>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</si>
  <si>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</si>
  <si>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</si>
  <si>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</si>
  <si>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</si>
  <si>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</si>
  <si>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</si>
  <si>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</si>
  <si>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</si>
  <si>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</si>
  <si>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</si>
  <si>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</si>
  <si>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</si>
  <si>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</si>
  <si>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</si>
  <si>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s27pend`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</si>
  <si>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</si>
  <si>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</si>
  <si>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</si>
  <si>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</si>
  <si>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</si>
  <si>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</si>
  <si>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</si>
  <si>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</si>
  <si>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</si>
  <si>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</si>
  <si>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</si>
  <si>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</si>
  <si>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</si>
  <si>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</si>
  <si>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</si>
  <si>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</si>
  <si>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</si>
  <si>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</si>
  <si>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</si>
  <si>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</si>
  <si>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</si>
  <si>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</si>
  <si>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</si>
  <si>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</si>
  <si>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</si>
  <si>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</si>
  <si>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</si>
  <si>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</si>
  <si>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</si>
  <si>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</si>
  <si>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</si>
  <si>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</si>
  <si>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</si>
  <si>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</si>
  <si>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</si>
  <si>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</si>
  <si>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</si>
  <si>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</si>
  <si>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</si>
  <si>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</si>
  <si>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</si>
  <si>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</si>
  <si>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</si>
  <si>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</si>
  <si>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</si>
  <si>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</si>
  <si>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</si>
  <si>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</si>
  <si>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</si>
  <si>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</si>
  <si>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</si>
  <si>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</si>
  <si>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</si>
  <si>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</si>
  <si>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</si>
  <si>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</si>
  <si>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</si>
  <si>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</si>
  <si>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</si>
  <si>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</si>
  <si>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</si>
  <si>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</si>
  <si>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</si>
  <si>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</si>
  <si>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</si>
  <si>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</si>
  <si>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</si>
  <si>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</si>
  <si>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</si>
  <si>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</si>
  <si>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</si>
  <si>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</si>
  <si>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</si>
  <si>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</si>
  <si>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</si>
  <si>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</si>
  <si>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</si>
  <si>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</si>
  <si>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</si>
  <si>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</si>
  <si>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</si>
  <si>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</si>
  <si>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</si>
  <si>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</si>
  <si>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</si>
  <si>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</si>
  <si>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</si>
  <si>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</si>
  <si>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</si>
  <si>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</si>
  <si>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</si>
  <si>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</si>
  <si>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</si>
  <si>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</si>
  <si>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</si>
  <si>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</si>
  <si>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</si>
  <si>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</si>
  <si>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</si>
  <si>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</si>
  <si>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</si>
  <si>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</si>
  <si>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</si>
  <si>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</si>
  <si>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</si>
  <si>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</si>
  <si>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</si>
  <si>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</si>
  <si>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</si>
  <si>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</si>
  <si>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</si>
  <si>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</si>
  <si>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</si>
  <si>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</si>
  <si>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</si>
  <si>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</si>
  <si>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</si>
  <si>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</si>
  <si>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</si>
  <si>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</si>
  <si>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</si>
  <si>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</si>
  <si>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mcsa}Rev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</si>
  <si>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</si>
  <si>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</si>
  <si>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</si>
  <si>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</si>
  <si>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</si>
  <si>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</si>
  <si>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</si>
  <si>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</si>
  <si>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</si>
  <si>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</si>
  <si>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</si>
  <si>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</si>
  <si>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</si>
  <si>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</si>
  <si>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</si>
  <si>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</si>
  <si>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</si>
  <si>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</si>
  <si>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</si>
  <si>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</si>
  <si>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</si>
  <si>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</si>
  <si>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</si>
  <si>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</si>
  <si>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</si>
  <si>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</si>
  <si>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</si>
  <si>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</si>
  <si>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</si>
  <si>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</si>
  <si>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</si>
  <si>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</si>
  <si>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</si>
  <si>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</si>
  <si>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</si>
  <si>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</si>
  <si>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</si>
  <si>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</si>
  <si>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</si>
  <si>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</si>
  <si>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</si>
  <si>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</si>
  <si>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</si>
  <si>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</si>
  <si>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</si>
  <si>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</si>
  <si>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</si>
  <si>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</si>
  <si>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</si>
  <si>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</si>
  <si>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</si>
  <si>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</si>
  <si>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</si>
  <si>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</si>
  <si>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</si>
  <si>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</si>
  <si>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</si>
  <si>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mcsa}scsc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</si>
  <si>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</si>
  <si>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</si>
  <si>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</si>
  <si>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</si>
  <si>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</si>
  <si>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</si>
  <si>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</si>
  <si>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</si>
  <si>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</si>
  <si>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</si>
  <si>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</si>
  <si>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</si>
  <si>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</si>
  <si>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</si>
  <si>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</si>
  <si>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</si>
  <si>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</si>
  <si>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</si>
  <si>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</si>
  <si>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</si>
  <si>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</si>
  <si>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</si>
  <si>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</si>
  <si>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</si>
  <si>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</si>
  <si>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</si>
  <si>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</si>
  <si>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</si>
  <si>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</si>
  <si>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</si>
  <si>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</si>
  <si>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</si>
  <si>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</si>
  <si>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</si>
  <si>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</si>
  <si>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</si>
  <si>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</si>
  <si>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</si>
  <si>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</si>
  <si>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</si>
  <si>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</si>
  <si>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</si>
  <si>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</si>
  <si>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</si>
  <si>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</si>
  <si>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</si>
  <si>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</si>
  <si>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</si>
  <si>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</si>
  <si>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</si>
  <si>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</si>
  <si>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</si>
  <si>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</si>
  <si>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</si>
  <si>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</si>
  <si>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</si>
  <si>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</si>
  <si>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</si>
  <si>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</si>
  <si>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</si>
  <si>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</si>
  <si>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</si>
  <si>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</si>
  <si>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</si>
  <si>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</si>
  <si>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</si>
  <si>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</si>
  <si>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</si>
  <si>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</si>
  <si>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</si>
  <si>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</si>
  <si>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</si>
  <si>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</si>
  <si>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</si>
  <si>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</si>
  <si>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</si>
  <si>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</si>
  <si>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</si>
  <si>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</si>
  <si>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</si>
  <si>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</si>
  <si>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</si>
  <si>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</si>
  <si>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</si>
  <si>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</si>
  <si>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</si>
  <si>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</si>
  <si>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</si>
  <si>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</si>
  <si>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</si>
  <si>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</si>
  <si>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</si>
  <si>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</si>
  <si>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</si>
  <si>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</si>
  <si>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</si>
  <si>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</si>
  <si>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</si>
  <si>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</si>
  <si>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</si>
  <si>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</si>
  <si>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</si>
  <si>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</si>
  <si>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</si>
  <si>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</si>
  <si>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</si>
  <si>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</si>
  <si>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</si>
  <si>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</si>
  <si>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</si>
  <si>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</si>
  <si>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</si>
  <si>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</si>
  <si>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</si>
  <si>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</si>
  <si>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</si>
  <si>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</si>
  <si>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</si>
  <si>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</si>
  <si>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</si>
  <si>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</si>
  <si>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</si>
  <si>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</si>
  <si>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</si>
  <si>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</si>
  <si>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</si>
  <si>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</si>
  <si>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</si>
  <si>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</si>
  <si>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</si>
  <si>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</si>
  <si>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</si>
  <si>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</si>
  <si>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</si>
  <si>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</si>
  <si>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</si>
  <si>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</si>
  <si>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</si>
  <si>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</si>
  <si>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</si>
  <si>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</si>
  <si>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</si>
  <si>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</si>
  <si>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</si>
  <si>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</si>
  <si>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</si>
  <si>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</si>
  <si>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</si>
  <si>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</si>
  <si>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</si>
  <si>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</si>
  <si>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</si>
  <si>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</si>
  <si>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</si>
  <si>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</si>
  <si>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~~ keep $0 bal</t>
  </si>
  <si>
    <t>ATM till 16 Sep</t>
  </si>
  <si>
    <t>USS #scsc</t>
  </si>
  <si>
    <t>McD #FnF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</si>
  <si>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</si>
  <si>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</si>
  <si>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</si>
  <si>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</si>
  <si>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</si>
  <si>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</si>
  <si>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</si>
  <si>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</si>
  <si>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</si>
  <si>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</si>
  <si>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</si>
  <si>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</si>
  <si>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</si>
  <si>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</si>
  <si>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</si>
  <si>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</si>
  <si>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</si>
  <si>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</si>
  <si>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</si>
  <si>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</si>
  <si>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</si>
  <si>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</si>
  <si>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</si>
  <si>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</si>
  <si>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</si>
  <si>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</si>
  <si>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</si>
  <si>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</si>
  <si>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</si>
  <si>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</si>
  <si>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</si>
  <si>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</si>
  <si>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</si>
  <si>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</si>
  <si>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</si>
  <si>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</si>
  <si>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</si>
  <si>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</si>
  <si>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</si>
  <si>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</si>
  <si>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</si>
  <si>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</si>
  <si>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</si>
  <si>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</si>
  <si>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</si>
  <si>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</si>
  <si>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</si>
  <si>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</si>
  <si>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</si>
  <si>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</si>
  <si>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</si>
  <si>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</si>
  <si>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</si>
  <si>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</si>
  <si>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</si>
  <si>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</si>
  <si>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</si>
  <si>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eccard, citi</t>
  </si>
  <si>
    <t>taobao#SCSC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</si>
  <si>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</si>
  <si>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</si>
  <si>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</si>
  <si>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</si>
  <si>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</si>
  <si>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</si>
  <si>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</si>
  <si>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</si>
  <si>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</si>
  <si>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</si>
  <si>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</si>
  <si>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</si>
  <si>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</si>
  <si>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</si>
  <si>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</si>
  <si>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</si>
  <si>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</si>
  <si>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</si>
  <si>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</si>
  <si>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</si>
  <si>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</si>
  <si>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</si>
  <si>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</si>
  <si>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</si>
  <si>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</si>
  <si>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</si>
  <si>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</si>
  <si>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</si>
  <si>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</si>
  <si>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</si>
  <si>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</si>
  <si>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</si>
  <si>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</si>
  <si>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</si>
  <si>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</si>
  <si>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</si>
  <si>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</si>
  <si>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</si>
  <si>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</si>
  <si>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</si>
  <si>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</si>
  <si>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</si>
  <si>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</si>
  <si>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</si>
  <si>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</si>
  <si>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</si>
  <si>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</si>
  <si>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</si>
  <si>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</si>
  <si>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</si>
  <si>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</si>
  <si>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</si>
  <si>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</si>
  <si>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</si>
  <si>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</si>
  <si>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</si>
  <si>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</si>
  <si>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</si>
  <si>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</si>
  <si>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</si>
  <si>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</si>
  <si>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</si>
  <si>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</si>
  <si>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</si>
  <si>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</si>
  <si>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</si>
  <si>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</si>
  <si>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</si>
  <si>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</si>
  <si>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</si>
  <si>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</si>
  <si>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</si>
  <si>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</si>
  <si>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</si>
  <si>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</si>
  <si>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</si>
  <si>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</si>
  <si>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</si>
  <si>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</si>
  <si>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</si>
  <si>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</si>
  <si>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</si>
  <si>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</si>
  <si>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</si>
  <si>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</si>
  <si>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</si>
  <si>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</si>
  <si>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</si>
  <si>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</si>
  <si>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</si>
  <si>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</si>
  <si>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</si>
  <si>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</si>
  <si>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</si>
  <si>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</si>
  <si>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</si>
  <si>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</si>
  <si>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</si>
  <si>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</si>
  <si>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</si>
  <si>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</si>
  <si>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</si>
  <si>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</si>
  <si>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</si>
  <si>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</si>
  <si>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</si>
  <si>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</si>
  <si>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</si>
  <si>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</si>
  <si>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</si>
  <si>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</si>
  <si>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</si>
  <si>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illiquid assets like FLI2,SRS,CPF</t>
  </si>
  <si>
    <t>cable spee</t>
  </si>
  <si>
    <t>grabPay top-up #Rev</t>
  </si>
  <si>
    <t>szr x2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</si>
  <si>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</si>
  <si>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</si>
  <si>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</si>
  <si>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</si>
  <si>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</si>
  <si>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</si>
  <si>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</si>
  <si>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</si>
  <si>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</si>
  <si>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</si>
  <si>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</si>
  <si>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</si>
  <si>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</si>
  <si>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</si>
  <si>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</si>
  <si>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</si>
  <si>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</si>
  <si>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</si>
  <si>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</si>
  <si>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</si>
  <si>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</si>
  <si>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</si>
  <si>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</si>
  <si>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</si>
  <si>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</si>
  <si>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</si>
  <si>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</si>
  <si>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</si>
  <si>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</si>
  <si>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</si>
  <si>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</si>
  <si>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</si>
  <si>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</si>
  <si>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</si>
  <si>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</si>
  <si>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</si>
  <si>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</si>
  <si>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</si>
  <si>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</si>
  <si>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</si>
  <si>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</si>
  <si>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</si>
  <si>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</si>
  <si>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</si>
  <si>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</si>
  <si>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</si>
  <si>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</si>
  <si>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</si>
  <si>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</si>
  <si>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</si>
  <si>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</si>
  <si>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</si>
  <si>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mufu</t>
  </si>
  <si>
    <t>SNEC #appeal</t>
  </si>
  <si>
    <t>watson</t>
  </si>
  <si>
    <t>ikea dine-in+to-go x2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</si>
  <si>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</si>
  <si>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</si>
  <si>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</si>
  <si>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</si>
  <si>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</si>
  <si>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</si>
  <si>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</si>
  <si>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</si>
  <si>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</si>
  <si>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</si>
  <si>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</si>
  <si>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</si>
  <si>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</si>
  <si>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</si>
  <si>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</si>
  <si>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</si>
  <si>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</si>
  <si>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</si>
  <si>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</si>
  <si>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</si>
  <si>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</si>
  <si>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</si>
  <si>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</si>
  <si>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</si>
  <si>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</si>
  <si>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</si>
  <si>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</si>
  <si>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</si>
  <si>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</si>
  <si>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</si>
  <si>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</si>
  <si>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</si>
  <si>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</si>
  <si>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</si>
  <si>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</si>
  <si>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</si>
  <si>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</si>
  <si>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</si>
  <si>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</si>
  <si>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</si>
  <si>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</si>
  <si>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</si>
  <si>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</si>
  <si>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</si>
  <si>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</si>
  <si>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</si>
  <si>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</si>
  <si>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</si>
  <si>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</si>
  <si>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</si>
  <si>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</si>
  <si>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</si>
  <si>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</si>
  <si>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</si>
  <si>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</si>
  <si>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</si>
  <si>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</si>
  <si>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</si>
  <si>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</si>
  <si>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</si>
  <si>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</si>
  <si>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</si>
  <si>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</si>
  <si>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</si>
  <si>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</si>
  <si>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</si>
  <si>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</si>
  <si>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</si>
  <si>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</si>
  <si>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</si>
  <si>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</si>
  <si>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</si>
  <si>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</si>
  <si>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</si>
  <si>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</si>
  <si>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</si>
  <si>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</si>
  <si>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</si>
  <si>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</si>
  <si>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</si>
  <si>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</si>
  <si>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</si>
  <si>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</si>
  <si>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</si>
  <si>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</si>
  <si>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</si>
  <si>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</si>
  <si>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</si>
  <si>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</si>
  <si>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</si>
  <si>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</si>
  <si>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~~ snapshot numbers should</t>
  </si>
  <si>
    <t>eccard,Citi,Cimib</t>
  </si>
  <si>
    <t>Korea x2 #FnF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</si>
  <si>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</si>
  <si>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</si>
  <si>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</si>
  <si>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</si>
  <si>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</si>
  <si>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</si>
  <si>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</si>
  <si>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</si>
  <si>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</si>
  <si>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</si>
  <si>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</si>
  <si>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</si>
  <si>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</si>
  <si>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</si>
  <si>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</si>
  <si>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</si>
  <si>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</si>
  <si>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</si>
  <si>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</si>
  <si>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</si>
  <si>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</si>
  <si>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</si>
  <si>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</si>
  <si>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</si>
  <si>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</si>
  <si>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</si>
  <si>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</si>
  <si>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</si>
  <si>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</si>
  <si>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</si>
  <si>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</si>
  <si>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</si>
  <si>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</si>
  <si>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</si>
  <si>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</si>
  <si>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</si>
  <si>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</si>
  <si>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</si>
  <si>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</si>
  <si>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</si>
  <si>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</si>
  <si>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..NOT depend on non-snapshot</t>
  </si>
  <si>
    <t>ATM till 21Nov</t>
  </si>
  <si>
    <t>Koufu     22/12scsc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</si>
  <si>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</si>
  <si>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</si>
  <si>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</si>
  <si>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</si>
  <si>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</si>
  <si>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</si>
  <si>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</si>
  <si>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</si>
  <si>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</si>
  <si>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</si>
  <si>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</si>
  <si>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</si>
  <si>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</si>
  <si>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</si>
  <si>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</si>
  <si>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</si>
  <si>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</si>
  <si>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</si>
  <si>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</si>
  <si>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</si>
  <si>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</si>
  <si>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</si>
  <si>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</si>
  <si>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</si>
  <si>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</si>
  <si>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</si>
  <si>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</si>
  <si>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</si>
  <si>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</si>
  <si>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</si>
  <si>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</si>
  <si>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</si>
  <si>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</si>
  <si>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</si>
  <si>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</si>
  <si>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</si>
  <si>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</si>
  <si>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</si>
  <si>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</si>
  <si>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</si>
  <si>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</si>
  <si>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</si>
  <si>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</si>
  <si>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</si>
  <si>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</si>
  <si>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</si>
  <si>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</si>
  <si>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</si>
  <si>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</si>
  <si>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</si>
  <si>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</si>
  <si>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</si>
  <si>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</si>
  <si>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</si>
  <si>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</si>
  <si>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</si>
  <si>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</si>
  <si>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</si>
  <si>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</si>
  <si>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</si>
  <si>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</si>
  <si>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</si>
  <si>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</si>
  <si>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</si>
  <si>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</si>
  <si>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</si>
  <si>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</si>
  <si>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</si>
  <si>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</si>
  <si>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</si>
  <si>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</si>
  <si>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</si>
  <si>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</si>
  <si>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</si>
  <si>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</si>
  <si>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</si>
  <si>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</si>
  <si>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</si>
  <si>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</si>
  <si>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</si>
  <si>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</si>
  <si>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</si>
  <si>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</si>
  <si>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</si>
  <si>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</si>
  <si>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</si>
  <si>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</si>
  <si>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</si>
  <si>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</si>
  <si>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</si>
  <si>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</si>
  <si>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</si>
  <si>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</si>
  <si>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</si>
  <si>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ATM till  11 Jan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</si>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</sst>
</file>

<file path=xl/styles.xml><?xml version="1.0" encoding="utf-8"?>
<styleSheet xmlns="http://schemas.openxmlformats.org/spreadsheetml/2006/main" xmlns:xr9="http://schemas.microsoft.com/office/spreadsheetml/2016/revision9">
  <numFmts count="28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ddd\ d\-mmm"/>
    <numFmt numFmtId="178" formatCode="0.0000"/>
    <numFmt numFmtId="179" formatCode="_-&quot;$&quot;* #,##0_-;\-&quot;$&quot;* #,##0_-;_-&quot;$&quot;* &quot;-&quot;_-;_-@_-"/>
    <numFmt numFmtId="180" formatCode="[$SGD]\ #,##0.0"/>
    <numFmt numFmtId="181" formatCode="[$SGD]\ #,##0"/>
    <numFmt numFmtId="182" formatCode="\+0;\-0;0"/>
    <numFmt numFmtId="183" formatCode="0.000"/>
    <numFmt numFmtId="184" formatCode="\+0.00;\-0.00;0"/>
    <numFmt numFmtId="185" formatCode="&quot;$&quot;#,##0.00"/>
    <numFmt numFmtId="186" formatCode="[$SGD]\ #,##0_);[Red]\([$SGD]\ #,##0\)"/>
    <numFmt numFmtId="187" formatCode="#,##0.000"/>
    <numFmt numFmtId="188" formatCode="&quot;$&quot;#,##0"/>
    <numFmt numFmtId="189" formatCode="#,##0.0"/>
    <numFmt numFmtId="190" formatCode="[$-409]d\-mmm\-yy;@"/>
    <numFmt numFmtId="191" formatCode="[$SGD]\ #,##0.00_);[Red]\([$SGD]\ #,##0.00\)"/>
    <numFmt numFmtId="192" formatCode="[$-409]d\-mmm;@"/>
    <numFmt numFmtId="193" formatCode="&quot;$&quot;#,##0.00;[Red]\-&quot;$&quot;#,##0.00"/>
    <numFmt numFmtId="194" formatCode="yyyy/mmm/dd"/>
    <numFmt numFmtId="195" formatCode="dd\ /mmm/yyyy"/>
    <numFmt numFmtId="196" formatCode="[$₱-464]#,##0"/>
    <numFmt numFmtId="197" formatCode="_(&quot;$&quot;* #,##0.000_);_(&quot;$&quot;* \(#,##0.000\);_(&quot;$&quot;* &quot;-&quot;???_);_(@_)"/>
  </numFmts>
  <fonts count="88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731437116611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731437116611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731437116611"/>
      <name val="Arial"/>
      <charset val="134"/>
    </font>
    <font>
      <sz val="10"/>
      <color rgb="FF00B0F0"/>
      <name val="Arial"/>
      <charset val="134"/>
    </font>
    <font>
      <sz val="10"/>
      <color theme="5" tint="0.399731437116611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6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color rgb="FFFF0000"/>
      <name val="Arial"/>
      <charset val="134"/>
    </font>
    <font>
      <sz val="10"/>
      <color theme="0" tint="-0.149754325998718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10"/>
      <name val="Arial Narrow"/>
      <charset val="134"/>
    </font>
    <font>
      <sz val="9"/>
      <name val="Tahoma"/>
      <charset val="134"/>
    </font>
    <font>
      <b/>
      <sz val="9"/>
      <name val="Tahoma"/>
      <charset val="134"/>
    </font>
  </fonts>
  <fills count="5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73143711661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75432599871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 tint="0.79973754081850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73754081850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5" tint="0.39973143711661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737540818506"/>
        <bgColor indexed="64"/>
      </patternFill>
    </fill>
    <fill>
      <patternFill patternType="solid">
        <fgColor theme="5" tint="0.79973754081850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/>
    <xf numFmtId="44" fontId="58" fillId="0" borderId="0" applyFont="0" applyFill="0" applyBorder="0" applyAlignment="0" applyProtection="0">
      <alignment vertical="center"/>
    </xf>
    <xf numFmtId="9" fontId="58" fillId="0" borderId="0" applyFont="0" applyFill="0" applyBorder="0" applyAlignment="0" applyProtection="0">
      <alignment vertical="center"/>
    </xf>
    <xf numFmtId="176" fontId="58" fillId="0" borderId="0" applyFont="0" applyFill="0" applyBorder="0" applyAlignment="0" applyProtection="0">
      <alignment vertical="center"/>
    </xf>
    <xf numFmtId="42" fontId="58" fillId="0" borderId="0" applyFon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8" fillId="22" borderId="24" applyNumberFormat="0" applyFont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25" applyNumberFormat="0" applyFill="0" applyAlignment="0" applyProtection="0">
      <alignment vertical="center"/>
    </xf>
    <xf numFmtId="0" fontId="65" fillId="0" borderId="25" applyNumberFormat="0" applyFill="0" applyAlignment="0" applyProtection="0">
      <alignment vertical="center"/>
    </xf>
    <xf numFmtId="0" fontId="66" fillId="0" borderId="26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23" borderId="27" applyNumberFormat="0" applyAlignment="0" applyProtection="0">
      <alignment vertical="center"/>
    </xf>
    <xf numFmtId="0" fontId="68" fillId="24" borderId="28" applyNumberFormat="0" applyAlignment="0" applyProtection="0">
      <alignment vertical="center"/>
    </xf>
    <xf numFmtId="0" fontId="69" fillId="24" borderId="27" applyNumberFormat="0" applyAlignment="0" applyProtection="0">
      <alignment vertical="center"/>
    </xf>
    <xf numFmtId="0" fontId="70" fillId="25" borderId="29" applyNumberFormat="0" applyAlignment="0" applyProtection="0">
      <alignment vertical="center"/>
    </xf>
    <xf numFmtId="0" fontId="71" fillId="0" borderId="30" applyNumberFormat="0" applyFill="0" applyAlignment="0" applyProtection="0">
      <alignment vertical="center"/>
    </xf>
    <xf numFmtId="0" fontId="72" fillId="0" borderId="31" applyNumberFormat="0" applyFill="0" applyAlignment="0" applyProtection="0">
      <alignment vertical="center"/>
    </xf>
    <xf numFmtId="0" fontId="73" fillId="26" borderId="0" applyNumberFormat="0" applyBorder="0" applyAlignment="0" applyProtection="0">
      <alignment vertical="center"/>
    </xf>
    <xf numFmtId="0" fontId="74" fillId="27" borderId="0" applyNumberFormat="0" applyBorder="0" applyAlignment="0" applyProtection="0">
      <alignment vertical="center"/>
    </xf>
    <xf numFmtId="0" fontId="75" fillId="28" borderId="0" applyNumberFormat="0" applyBorder="0" applyAlignment="0" applyProtection="0">
      <alignment vertical="center"/>
    </xf>
    <xf numFmtId="0" fontId="76" fillId="29" borderId="0" applyNumberFormat="0" applyBorder="0" applyAlignment="0" applyProtection="0">
      <alignment vertical="center"/>
    </xf>
    <xf numFmtId="0" fontId="77" fillId="30" borderId="0" applyNumberFormat="0" applyBorder="0" applyAlignment="0" applyProtection="0">
      <alignment vertical="center"/>
    </xf>
    <xf numFmtId="0" fontId="77" fillId="31" borderId="0" applyNumberFormat="0" applyBorder="0" applyAlignment="0" applyProtection="0">
      <alignment vertical="center"/>
    </xf>
    <xf numFmtId="0" fontId="76" fillId="32" borderId="0" applyNumberFormat="0" applyBorder="0" applyAlignment="0" applyProtection="0">
      <alignment vertical="center"/>
    </xf>
    <xf numFmtId="0" fontId="76" fillId="33" borderId="0" applyNumberFormat="0" applyBorder="0" applyAlignment="0" applyProtection="0">
      <alignment vertical="center"/>
    </xf>
    <xf numFmtId="0" fontId="77" fillId="34" borderId="0" applyNumberFormat="0" applyBorder="0" applyAlignment="0" applyProtection="0">
      <alignment vertical="center"/>
    </xf>
    <xf numFmtId="0" fontId="77" fillId="35" borderId="0" applyNumberFormat="0" applyBorder="0" applyAlignment="0" applyProtection="0">
      <alignment vertical="center"/>
    </xf>
    <xf numFmtId="0" fontId="76" fillId="36" borderId="0" applyNumberFormat="0" applyBorder="0" applyAlignment="0" applyProtection="0">
      <alignment vertical="center"/>
    </xf>
    <xf numFmtId="0" fontId="76" fillId="37" borderId="0" applyNumberFormat="0" applyBorder="0" applyAlignment="0" applyProtection="0">
      <alignment vertical="center"/>
    </xf>
    <xf numFmtId="0" fontId="77" fillId="38" borderId="0" applyNumberFormat="0" applyBorder="0" applyAlignment="0" applyProtection="0">
      <alignment vertical="center"/>
    </xf>
    <xf numFmtId="0" fontId="77" fillId="39" borderId="0" applyNumberFormat="0" applyBorder="0" applyAlignment="0" applyProtection="0">
      <alignment vertical="center"/>
    </xf>
    <xf numFmtId="0" fontId="76" fillId="40" borderId="0" applyNumberFormat="0" applyBorder="0" applyAlignment="0" applyProtection="0">
      <alignment vertical="center"/>
    </xf>
    <xf numFmtId="0" fontId="76" fillId="41" borderId="0" applyNumberFormat="0" applyBorder="0" applyAlignment="0" applyProtection="0">
      <alignment vertical="center"/>
    </xf>
    <xf numFmtId="0" fontId="77" fillId="42" borderId="0" applyNumberFormat="0" applyBorder="0" applyAlignment="0" applyProtection="0">
      <alignment vertical="center"/>
    </xf>
    <xf numFmtId="0" fontId="77" fillId="43" borderId="0" applyNumberFormat="0" applyBorder="0" applyAlignment="0" applyProtection="0">
      <alignment vertical="center"/>
    </xf>
    <xf numFmtId="0" fontId="76" fillId="44" borderId="0" applyNumberFormat="0" applyBorder="0" applyAlignment="0" applyProtection="0">
      <alignment vertical="center"/>
    </xf>
    <xf numFmtId="0" fontId="76" fillId="45" borderId="0" applyNumberFormat="0" applyBorder="0" applyAlignment="0" applyProtection="0">
      <alignment vertical="center"/>
    </xf>
    <xf numFmtId="0" fontId="77" fillId="46" borderId="0" applyNumberFormat="0" applyBorder="0" applyAlignment="0" applyProtection="0">
      <alignment vertical="center"/>
    </xf>
    <xf numFmtId="0" fontId="77" fillId="47" borderId="0" applyNumberFormat="0" applyBorder="0" applyAlignment="0" applyProtection="0">
      <alignment vertical="center"/>
    </xf>
    <xf numFmtId="0" fontId="76" fillId="48" borderId="0" applyNumberFormat="0" applyBorder="0" applyAlignment="0" applyProtection="0">
      <alignment vertical="center"/>
    </xf>
    <xf numFmtId="0" fontId="76" fillId="49" borderId="0" applyNumberFormat="0" applyBorder="0" applyAlignment="0" applyProtection="0">
      <alignment vertical="center"/>
    </xf>
    <xf numFmtId="0" fontId="77" fillId="50" borderId="0" applyNumberFormat="0" applyBorder="0" applyAlignment="0" applyProtection="0">
      <alignment vertical="center"/>
    </xf>
    <xf numFmtId="0" fontId="77" fillId="51" borderId="0" applyNumberFormat="0" applyBorder="0" applyAlignment="0" applyProtection="0">
      <alignment vertical="center"/>
    </xf>
    <xf numFmtId="0" fontId="76" fillId="52" borderId="0" applyNumberFormat="0" applyBorder="0" applyAlignment="0" applyProtection="0">
      <alignment vertical="center"/>
    </xf>
    <xf numFmtId="0" fontId="78" fillId="0" borderId="0" applyNumberFormat="0" applyFill="0" applyBorder="0" applyAlignment="0" applyProtection="0"/>
    <xf numFmtId="0" fontId="58" fillId="0" borderId="0"/>
  </cellStyleXfs>
  <cellXfs count="585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77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77" fontId="0" fillId="0" borderId="0" xfId="0" applyNumberFormat="1"/>
    <xf numFmtId="0" fontId="0" fillId="0" borderId="0" xfId="0" applyNumberFormat="1"/>
    <xf numFmtId="178" fontId="0" fillId="0" borderId="0" xfId="0" applyNumberFormat="1"/>
    <xf numFmtId="177" fontId="0" fillId="0" borderId="0" xfId="0" applyNumberFormat="1" applyBorder="1"/>
    <xf numFmtId="178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79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0" fillId="0" borderId="0" xfId="0" applyFont="1" applyBorder="1" applyAlignment="1">
      <alignment vertical="top" wrapText="1"/>
    </xf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80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80" fontId="0" fillId="0" borderId="2" xfId="0" applyNumberFormat="1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80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81" fontId="0" fillId="0" borderId="2" xfId="0" applyNumberFormat="1" applyFont="1" applyBorder="1" applyAlignment="1">
      <alignment horizontal="right"/>
    </xf>
    <xf numFmtId="181" fontId="0" fillId="0" borderId="2" xfId="0" applyNumberFormat="1" applyFont="1" applyFill="1" applyBorder="1" applyAlignment="1">
      <alignment horizontal="right"/>
    </xf>
    <xf numFmtId="182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83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81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84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85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85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81" fontId="0" fillId="0" borderId="2" xfId="0" applyNumberFormat="1" applyFont="1" applyBorder="1"/>
    <xf numFmtId="186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86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81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81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87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86" fontId="0" fillId="0" borderId="2" xfId="0" applyNumberFormat="1" applyFont="1" applyBorder="1" applyAlignment="1">
      <alignment horizontal="left"/>
    </xf>
    <xf numFmtId="186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88" fontId="0" fillId="0" borderId="0" xfId="0" applyNumberFormat="1" applyFont="1" applyBorder="1"/>
    <xf numFmtId="181" fontId="0" fillId="0" borderId="8" xfId="0" applyNumberFormat="1" applyFont="1" applyBorder="1" applyAlignment="1">
      <alignment horizontal="right"/>
    </xf>
    <xf numFmtId="186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89" fontId="0" fillId="0" borderId="0" xfId="0" applyNumberFormat="1" applyFont="1"/>
    <xf numFmtId="3" fontId="0" fillId="0" borderId="16" xfId="0" applyNumberFormat="1" applyFont="1" applyBorder="1"/>
    <xf numFmtId="190" fontId="0" fillId="0" borderId="4" xfId="0" applyNumberFormat="1" applyFont="1" applyFill="1" applyBorder="1"/>
    <xf numFmtId="3" fontId="0" fillId="0" borderId="17" xfId="0" applyNumberFormat="1" applyFont="1" applyBorder="1"/>
    <xf numFmtId="190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91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91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86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82" fontId="0" fillId="0" borderId="0" xfId="0" applyNumberFormat="1" applyFont="1"/>
    <xf numFmtId="0" fontId="41" fillId="0" borderId="0" xfId="0" applyFont="1" applyFill="1"/>
    <xf numFmtId="190" fontId="0" fillId="0" borderId="16" xfId="0" applyNumberFormat="1" applyFont="1" applyFill="1" applyBorder="1"/>
    <xf numFmtId="190" fontId="0" fillId="0" borderId="17" xfId="0" applyNumberFormat="1" applyFont="1" applyFill="1" applyBorder="1"/>
    <xf numFmtId="190" fontId="0" fillId="0" borderId="19" xfId="0" applyNumberFormat="1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190" fontId="0" fillId="0" borderId="8" xfId="0" applyNumberFormat="1" applyFont="1" applyFill="1" applyBorder="1"/>
    <xf numFmtId="3" fontId="0" fillId="0" borderId="9" xfId="0" applyNumberFormat="1" applyFont="1" applyBorder="1"/>
    <xf numFmtId="192" fontId="0" fillId="0" borderId="0" xfId="0" applyNumberFormat="1" applyFont="1"/>
    <xf numFmtId="0" fontId="42" fillId="0" borderId="0" xfId="0" applyNumberFormat="1" applyFont="1" applyFill="1" applyBorder="1"/>
    <xf numFmtId="0" fontId="0" fillId="0" borderId="17" xfId="0" applyFont="1" applyFill="1" applyBorder="1"/>
    <xf numFmtId="0" fontId="0" fillId="4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0" borderId="0" xfId="0" applyAlignment="1">
      <alignment horizontal="left"/>
    </xf>
    <xf numFmtId="179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79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3" fillId="0" borderId="0" xfId="0" applyFont="1"/>
    <xf numFmtId="0" fontId="0" fillId="0" borderId="0" xfId="0" applyFill="1"/>
    <xf numFmtId="0" fontId="44" fillId="0" borderId="0" xfId="0" applyFont="1"/>
    <xf numFmtId="0" fontId="45" fillId="0" borderId="0" xfId="0" applyFont="1"/>
    <xf numFmtId="0" fontId="46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7" fillId="0" borderId="0" xfId="0" applyFont="1" applyFill="1"/>
    <xf numFmtId="179" fontId="0" fillId="0" borderId="0" xfId="0" applyNumberFormat="1" applyFont="1"/>
    <xf numFmtId="0" fontId="47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79" fontId="0" fillId="0" borderId="2" xfId="0" applyNumberFormat="1" applyFill="1" applyBorder="1"/>
    <xf numFmtId="179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0" borderId="0" xfId="0" applyFill="1" applyBorder="1" applyAlignment="1">
      <alignment horizontal="left"/>
    </xf>
    <xf numFmtId="0" fontId="0" fillId="11" borderId="2" xfId="0" applyFill="1" applyBorder="1"/>
    <xf numFmtId="193" fontId="0" fillId="0" borderId="0" xfId="0" applyNumberFormat="1"/>
    <xf numFmtId="193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94" fontId="0" fillId="0" borderId="0" xfId="0" applyNumberFormat="1"/>
    <xf numFmtId="195" fontId="0" fillId="0" borderId="0" xfId="0" applyNumberFormat="1"/>
    <xf numFmtId="196" fontId="0" fillId="0" borderId="0" xfId="0" applyNumberFormat="1"/>
    <xf numFmtId="194" fontId="44" fillId="0" borderId="0" xfId="0" applyNumberFormat="1" applyFont="1"/>
    <xf numFmtId="0" fontId="1" fillId="12" borderId="2" xfId="0" applyFont="1" applyFill="1" applyBorder="1"/>
    <xf numFmtId="194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8" fillId="12" borderId="2" xfId="0" applyFont="1" applyFill="1" applyBorder="1"/>
    <xf numFmtId="194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49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95" fontId="0" fillId="0" borderId="2" xfId="0" applyNumberFormat="1" applyFont="1" applyBorder="1"/>
    <xf numFmtId="196" fontId="0" fillId="0" borderId="2" xfId="0" applyNumberFormat="1" applyFont="1" applyBorder="1"/>
    <xf numFmtId="195" fontId="0" fillId="0" borderId="2" xfId="0" applyNumberFormat="1" applyBorder="1"/>
    <xf numFmtId="196" fontId="0" fillId="0" borderId="2" xfId="0" applyNumberFormat="1" applyBorder="1"/>
    <xf numFmtId="49" fontId="0" fillId="0" borderId="0" xfId="0" applyNumberFormat="1"/>
    <xf numFmtId="0" fontId="50" fillId="0" borderId="0" xfId="0" applyFont="1" applyAlignment="1">
      <alignment vertical="top"/>
    </xf>
    <xf numFmtId="0" fontId="50" fillId="0" borderId="0" xfId="0" applyNumberFormat="1" applyFont="1" applyAlignment="1">
      <alignment vertical="top"/>
    </xf>
    <xf numFmtId="0" fontId="50" fillId="0" borderId="0" xfId="0" applyFont="1"/>
    <xf numFmtId="44" fontId="0" fillId="0" borderId="0" xfId="0" applyNumberFormat="1"/>
    <xf numFmtId="0" fontId="5" fillId="0" borderId="0" xfId="0" applyFont="1"/>
    <xf numFmtId="197" fontId="0" fillId="0" borderId="0" xfId="0" applyNumberForma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0" fontId="50" fillId="4" borderId="0" xfId="0" applyFont="1" applyFill="1" applyAlignment="1">
      <alignment horizontal="center"/>
    </xf>
    <xf numFmtId="49" fontId="50" fillId="0" borderId="0" xfId="0" applyNumberFormat="1" applyFont="1" applyAlignment="1">
      <alignment vertical="top"/>
    </xf>
    <xf numFmtId="0" fontId="0" fillId="0" borderId="0" xfId="0" applyBorder="1" applyAlignment="1">
      <alignment vertical="top" wrapText="1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0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1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50" fillId="0" borderId="16" xfId="0" applyFont="1" applyBorder="1" applyAlignment="1">
      <alignment vertical="top" wrapText="1"/>
    </xf>
    <xf numFmtId="49" fontId="50" fillId="0" borderId="17" xfId="0" applyNumberFormat="1" applyFont="1" applyBorder="1" applyAlignment="1">
      <alignment vertical="top"/>
    </xf>
    <xf numFmtId="0" fontId="0" fillId="17" borderId="0" xfId="0" applyNumberFormat="1" applyFill="1" applyBorder="1"/>
    <xf numFmtId="0" fontId="0" fillId="0" borderId="8" xfId="0" applyNumberFormat="1" applyBorder="1"/>
    <xf numFmtId="49" fontId="0" fillId="0" borderId="17" xfId="0" applyNumberFormat="1" applyFill="1" applyBorder="1"/>
    <xf numFmtId="0" fontId="50" fillId="0" borderId="17" xfId="0" applyFont="1" applyBorder="1" applyAlignment="1">
      <alignment vertical="top"/>
    </xf>
    <xf numFmtId="0" fontId="0" fillId="0" borderId="3" xfId="0" applyNumberFormat="1" applyBorder="1"/>
    <xf numFmtId="0" fontId="0" fillId="0" borderId="0" xfId="0" applyNumberFormat="1" applyFill="1" applyBorder="1"/>
    <xf numFmtId="0" fontId="50" fillId="0" borderId="19" xfId="0" applyFont="1" applyBorder="1" applyAlignment="1">
      <alignment vertical="top"/>
    </xf>
    <xf numFmtId="0" fontId="51" fillId="0" borderId="0" xfId="0" applyFont="1" applyBorder="1" applyAlignment="1">
      <alignment vertical="top"/>
    </xf>
    <xf numFmtId="0" fontId="0" fillId="14" borderId="2" xfId="0" applyNumberFormat="1" applyFill="1" applyBorder="1"/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50" fillId="0" borderId="0" xfId="0" applyFont="1" applyBorder="1" applyAlignment="1">
      <alignment vertical="top"/>
    </xf>
    <xf numFmtId="16" fontId="0" fillId="0" borderId="0" xfId="0" applyNumberFormat="1"/>
    <xf numFmtId="0" fontId="50" fillId="0" borderId="0" xfId="0" applyFont="1" applyFill="1" applyBorder="1" applyAlignment="1">
      <alignment vertical="top"/>
    </xf>
    <xf numFmtId="15" fontId="50" fillId="0" borderId="0" xfId="0" applyNumberFormat="1" applyFont="1" applyAlignment="1">
      <alignment horizontal="right" vertical="top"/>
    </xf>
    <xf numFmtId="0" fontId="50" fillId="0" borderId="0" xfId="0" applyFont="1" applyAlignment="1">
      <alignment horizontal="right" vertical="top"/>
    </xf>
    <xf numFmtId="0" fontId="10" fillId="3" borderId="0" xfId="0" applyFont="1" applyFill="1" applyAlignment="1">
      <alignment horizontal="center"/>
    </xf>
    <xf numFmtId="1" fontId="50" fillId="0" borderId="0" xfId="0" applyNumberFormat="1" applyFont="1" applyAlignment="1">
      <alignment vertical="top"/>
    </xf>
    <xf numFmtId="0" fontId="50" fillId="0" borderId="0" xfId="0" applyNumberFormat="1" applyFont="1"/>
    <xf numFmtId="42" fontId="50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1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1" fillId="0" borderId="0" xfId="0" applyNumberFormat="1" applyFont="1" applyAlignment="1">
      <alignment vertical="top"/>
    </xf>
    <xf numFmtId="0" fontId="52" fillId="0" borderId="0" xfId="0" applyFont="1"/>
    <xf numFmtId="0" fontId="50" fillId="0" borderId="4" xfId="0" applyNumberFormat="1" applyFont="1" applyBorder="1" applyAlignment="1">
      <alignment vertical="top"/>
    </xf>
    <xf numFmtId="0" fontId="0" fillId="0" borderId="9" xfId="0" applyBorder="1"/>
    <xf numFmtId="0" fontId="50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0" fillId="0" borderId="18" xfId="0" applyNumberFormat="1" applyFont="1" applyFill="1" applyBorder="1" applyAlignment="1">
      <alignment vertical="top"/>
    </xf>
    <xf numFmtId="0" fontId="50" fillId="0" borderId="20" xfId="0" applyNumberFormat="1" applyFont="1" applyBorder="1" applyAlignment="1">
      <alignment vertical="top"/>
    </xf>
    <xf numFmtId="0" fontId="50" fillId="0" borderId="0" xfId="0" applyNumberFormat="1" applyFont="1" applyBorder="1" applyAlignment="1">
      <alignment vertical="top"/>
    </xf>
    <xf numFmtId="0" fontId="50" fillId="0" borderId="0" xfId="0" applyNumberFormat="1" applyFont="1" applyBorder="1" applyAlignment="1">
      <alignment horizontal="right" vertical="top"/>
    </xf>
    <xf numFmtId="0" fontId="50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53" fillId="0" borderId="0" xfId="0" applyFont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49" fontId="50" fillId="0" borderId="0" xfId="0" applyNumberFormat="1" applyFont="1" applyAlignment="1">
      <alignment wrapText="1"/>
    </xf>
    <xf numFmtId="0" fontId="54" fillId="0" borderId="0" xfId="0" applyFont="1"/>
    <xf numFmtId="0" fontId="55" fillId="0" borderId="0" xfId="0" applyFont="1"/>
    <xf numFmtId="0" fontId="56" fillId="0" borderId="0" xfId="0" applyFont="1"/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vertical="top" wrapText="1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16" borderId="0" xfId="0" applyFill="1"/>
    <xf numFmtId="0" fontId="0" fillId="5" borderId="0" xfId="0" applyFill="1"/>
    <xf numFmtId="197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7" fillId="0" borderId="0" xfId="0" applyFont="1"/>
    <xf numFmtId="38" fontId="0" fillId="0" borderId="0" xfId="0" applyNumberFormat="1"/>
    <xf numFmtId="49" fontId="57" fillId="0" borderId="0" xfId="0" applyNumberFormat="1" applyFont="1" applyFill="1"/>
    <xf numFmtId="3" fontId="57" fillId="0" borderId="0" xfId="0" applyNumberFormat="1" applyFont="1"/>
    <xf numFmtId="0" fontId="57" fillId="0" borderId="0" xfId="0" applyFont="1" applyFill="1"/>
    <xf numFmtId="49" fontId="57" fillId="20" borderId="0" xfId="0" applyNumberFormat="1" applyFont="1" applyFill="1"/>
    <xf numFmtId="3" fontId="57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7" fillId="21" borderId="0" xfId="0" applyNumberFormat="1" applyFont="1" applyFill="1"/>
    <xf numFmtId="3" fontId="57" fillId="21" borderId="0" xfId="0" applyNumberFormat="1" applyFont="1" applyFill="1"/>
    <xf numFmtId="0" fontId="57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7" fillId="0" borderId="19" xfId="0" applyNumberFormat="1" applyFont="1" applyBorder="1"/>
    <xf numFmtId="0" fontId="57" fillId="0" borderId="20" xfId="0" applyFont="1" applyBorder="1"/>
    <xf numFmtId="0" fontId="57" fillId="0" borderId="19" xfId="0" applyFont="1" applyBorder="1"/>
    <xf numFmtId="38" fontId="57" fillId="0" borderId="0" xfId="0" applyNumberFormat="1" applyFont="1"/>
    <xf numFmtId="38" fontId="57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7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7" fillId="0" borderId="20" xfId="0" applyNumberFormat="1" applyFont="1" applyBorder="1"/>
    <xf numFmtId="0" fontId="57" fillId="0" borderId="17" xfId="0" applyFont="1" applyBorder="1"/>
    <xf numFmtId="38" fontId="57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applyFont="1" applyFill="1" quotePrefix="1"/>
    <xf numFmtId="0" fontId="0" fillId="21" borderId="0" xfId="0" applyFill="1" quotePrefix="1"/>
    <xf numFmtId="0" fontId="0" fillId="0" borderId="0" xfId="0" applyAlignment="1" quotePrefix="1">
      <alignment horizontal="center"/>
    </xf>
    <xf numFmtId="0" fontId="0" fillId="3" borderId="0" xfId="0" applyFill="1" applyAlignment="1" quotePrefix="1">
      <alignment horizontal="center"/>
    </xf>
    <xf numFmtId="0" fontId="0" fillId="4" borderId="0" xfId="0" applyFill="1" applyAlignment="1" quotePrefix="1">
      <alignment horizontal="center"/>
    </xf>
    <xf numFmtId="0" fontId="50" fillId="4" borderId="0" xfId="0" applyFont="1" applyFill="1" applyAlignment="1" quotePrefix="1">
      <alignment horizontal="center"/>
    </xf>
    <xf numFmtId="0" fontId="10" fillId="3" borderId="0" xfId="0" applyFont="1" applyFill="1" applyAlignment="1" quotePrefix="1">
      <alignment horizontal="center"/>
    </xf>
    <xf numFmtId="0" fontId="0" fillId="4" borderId="0" xfId="0" applyFont="1" applyFill="1" applyAlignment="1" quotePrefix="1">
      <alignment horizontal="center"/>
    </xf>
    <xf numFmtId="0" fontId="5" fillId="3" borderId="0" xfId="0" applyFont="1" applyFill="1" applyAlignment="1" quotePrefix="1">
      <alignment horizontal="center"/>
    </xf>
    <xf numFmtId="0" fontId="6" fillId="4" borderId="0" xfId="0" applyFont="1" applyFill="1" applyAlignment="1" quotePrefix="1">
      <alignment horizontal="center"/>
    </xf>
    <xf numFmtId="0" fontId="0" fillId="0" borderId="0" xfId="0" quotePrefix="1"/>
    <xf numFmtId="49" fontId="0" fillId="0" borderId="0" xfId="0" applyNumberFormat="1" quotePrefix="1"/>
    <xf numFmtId="0" fontId="5" fillId="0" borderId="0" xfId="0" applyFont="1" quotePrefix="1"/>
    <xf numFmtId="0" fontId="52" fillId="0" borderId="0" xfId="0" applyFont="1" quotePrefix="1"/>
    <xf numFmtId="0" fontId="50" fillId="0" borderId="16" xfId="0" applyFont="1" applyBorder="1" applyAlignment="1" quotePrefix="1">
      <alignment vertical="top" wrapText="1"/>
    </xf>
    <xf numFmtId="49" fontId="50" fillId="0" borderId="17" xfId="0" applyNumberFormat="1" applyFont="1" applyBorder="1" applyAlignment="1" quotePrefix="1">
      <alignment vertical="top"/>
    </xf>
    <xf numFmtId="0" fontId="55" fillId="0" borderId="0" xfId="0" applyFont="1" quotePrefix="1"/>
    <xf numFmtId="49" fontId="0" fillId="0" borderId="17" xfId="0" applyNumberFormat="1" applyFill="1" applyBorder="1" quotePrefix="1"/>
    <xf numFmtId="0" fontId="50" fillId="0" borderId="17" xfId="0" applyFont="1" applyBorder="1" applyAlignment="1" quotePrefix="1">
      <alignment vertical="top"/>
    </xf>
    <xf numFmtId="49" fontId="0" fillId="0" borderId="0" xfId="0" applyNumberFormat="1" applyBorder="1" quotePrefix="1"/>
    <xf numFmtId="49" fontId="51" fillId="0" borderId="0" xfId="0" applyNumberFormat="1" applyFont="1" applyAlignment="1" quotePrefix="1">
      <alignment vertical="top"/>
    </xf>
    <xf numFmtId="0" fontId="53" fillId="0" borderId="0" xfId="0" applyFont="1" quotePrefix="1"/>
    <xf numFmtId="0" fontId="56" fillId="0" borderId="0" xfId="0" applyFont="1" quotePrefix="1"/>
    <xf numFmtId="0" fontId="51" fillId="0" borderId="0" xfId="0" applyFont="1" applyBorder="1" applyAlignment="1" quotePrefix="1">
      <alignment vertical="top"/>
    </xf>
    <xf numFmtId="0" fontId="51" fillId="0" borderId="0" xfId="0" applyFont="1" quotePrefix="1"/>
    <xf numFmtId="49" fontId="0" fillId="0" borderId="2" xfId="0" applyNumberFormat="1" applyBorder="1" quotePrefix="1"/>
    <xf numFmtId="0" fontId="50" fillId="0" borderId="0" xfId="0" applyFont="1" applyAlignment="1" quotePrefix="1">
      <alignment vertical="top"/>
    </xf>
    <xf numFmtId="0" fontId="50" fillId="0" borderId="0" xfId="0" applyFont="1" quotePrefix="1"/>
    <xf numFmtId="0" fontId="7" fillId="0" borderId="0" xfId="0" applyFont="1" quotePrefix="1"/>
    <xf numFmtId="0" fontId="0" fillId="0" borderId="0" xfId="0" applyFont="1" quotePrefix="1"/>
    <xf numFmtId="49" fontId="7" fillId="0" borderId="0" xfId="0" applyNumberFormat="1" applyFont="1" applyAlignment="1" quotePrefix="1">
      <alignment vertical="top"/>
    </xf>
    <xf numFmtId="0" fontId="50" fillId="0" borderId="0" xfId="0" applyFont="1" applyBorder="1" applyAlignment="1" quotePrefix="1">
      <alignment vertical="top"/>
    </xf>
    <xf numFmtId="0" fontId="8" fillId="0" borderId="0" xfId="0" applyFont="1" quotePrefix="1"/>
    <xf numFmtId="49" fontId="50" fillId="0" borderId="0" xfId="0" applyNumberFormat="1" applyFont="1" applyAlignment="1" quotePrefix="1">
      <alignment vertical="top"/>
    </xf>
    <xf numFmtId="0" fontId="50" fillId="0" borderId="0" xfId="0" applyFont="1" applyFill="1" applyBorder="1" applyAlignment="1" quotePrefix="1">
      <alignment vertical="top"/>
    </xf>
    <xf numFmtId="0" fontId="6" fillId="0" borderId="0" xfId="0" applyFont="1" quotePrefix="1"/>
    <xf numFmtId="49" fontId="50" fillId="0" borderId="0" xfId="0" applyNumberFormat="1" applyFont="1" applyAlignment="1" quotePrefix="1">
      <alignment vertical="top" wrapText="1"/>
    </xf>
    <xf numFmtId="49" fontId="50" fillId="0" borderId="0" xfId="0" applyNumberFormat="1" applyFont="1" applyAlignment="1" quotePrefix="1">
      <alignment wrapText="1"/>
    </xf>
    <xf numFmtId="0" fontId="6" fillId="0" borderId="0" xfId="0" applyFont="1" applyAlignment="1" quotePrefix="1">
      <alignment wrapText="1"/>
    </xf>
    <xf numFmtId="49" fontId="0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 wrapText="1"/>
    </xf>
    <xf numFmtId="0" fontId="0" fillId="9" borderId="0" xfId="0" applyFont="1" applyFill="1" applyAlignment="1" quotePrefix="1">
      <alignment horizontal="center"/>
    </xf>
    <xf numFmtId="0" fontId="46" fillId="4" borderId="0" xfId="0" applyFont="1" applyFill="1" applyAlignment="1" quotePrefix="1">
      <alignment horizontal="center"/>
    </xf>
    <xf numFmtId="0" fontId="0" fillId="0" borderId="2" xfId="0" applyBorder="1" quotePrefix="1"/>
    <xf numFmtId="0" fontId="18" fillId="3" borderId="0" xfId="0" applyFont="1" applyFill="1" applyAlignment="1" quotePrefix="1">
      <alignment horizontal="center"/>
    </xf>
    <xf numFmtId="0" fontId="0" fillId="0" borderId="0" xfId="0" applyFont="1" applyFill="1" quotePrefix="1"/>
    <xf numFmtId="0" fontId="0" fillId="0" borderId="0" xfId="0" applyFont="1" applyFill="1" applyBorder="1" quotePrefix="1"/>
    <xf numFmtId="0" fontId="0" fillId="0" borderId="2" xfId="0" applyNumberFormat="1" applyFont="1" applyFill="1" applyBorder="1" applyAlignment="1" quotePrefix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00B020A9"/>
      <color rgb="00AD23AD"/>
      <color rgb="00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40"/>
  <sheetViews>
    <sheetView workbookViewId="0">
      <selection activeCell="Q21" sqref="Q21"/>
    </sheetView>
  </sheetViews>
  <sheetFormatPr defaultColWidth="9" defaultRowHeight="13.2"/>
  <cols>
    <col min="1" max="1" width="21.5740740740741" style="419" customWidth="1"/>
    <col min="2" max="2" width="8.42592592592593" customWidth="1"/>
    <col min="3" max="3" width="3.28703703703704" customWidth="1"/>
    <col min="4" max="4" width="22.1388888888889" customWidth="1"/>
    <col min="5" max="5" width="9.13888888888889" customWidth="1"/>
    <col min="6" max="6" width="1.85185185185185" customWidth="1"/>
    <col min="7" max="8" width="8.71296296296296" customWidth="1"/>
    <col min="9" max="9" width="2" customWidth="1"/>
    <col min="10" max="10" width="8.71296296296296" customWidth="1"/>
    <col min="11" max="11" width="8.71296296296296" style="540" customWidth="1"/>
    <col min="12" max="12" width="1.28703703703704" customWidth="1"/>
    <col min="13" max="14" width="8.71296296296296" customWidth="1"/>
    <col min="15" max="15" width="1.57407407407407" customWidth="1"/>
    <col min="16" max="17" width="8.71296296296296" customWidth="1"/>
    <col min="18" max="18" width="1.57407407407407" customWidth="1"/>
    <col min="19" max="20" width="8.71296296296296" customWidth="1"/>
    <col min="21" max="21" width="2.57407407407407" customWidth="1"/>
    <col min="22" max="22" width="10.8518518518519" customWidth="1"/>
    <col min="23" max="23" width="8.71296296296296" customWidth="1"/>
    <col min="24" max="24" width="2.13888888888889" customWidth="1"/>
    <col min="25" max="26" width="8.71296296296296" customWidth="1"/>
    <col min="27" max="27" width="2" customWidth="1"/>
    <col min="28" max="28" width="20.4259259259259" customWidth="1"/>
    <col min="30" max="30" width="2" customWidth="1"/>
    <col min="31" max="31" width="22.8518518518519" customWidth="1"/>
    <col min="33" max="33" width="2" customWidth="1"/>
    <col min="34" max="34" width="21.4259259259259" customWidth="1"/>
    <col min="36" max="36" width="2" customWidth="1"/>
    <col min="37" max="37" width="20.4259259259259" customWidth="1"/>
    <col min="39" max="39" width="2" customWidth="1"/>
    <col min="40" max="40" width="20.4259259259259" customWidth="1"/>
    <col min="42" max="42" width="2" customWidth="1"/>
    <col min="43" max="43" width="16.287037037037" customWidth="1"/>
    <col min="45" max="45" width="2" customWidth="1"/>
    <col min="46" max="46" width="16.287037037037" customWidth="1"/>
    <col min="48" max="48" width="2" customWidth="1"/>
    <col min="49" max="49" width="16.287037037037" customWidth="1"/>
    <col min="51" max="51" width="2" customWidth="1"/>
    <col min="52" max="52" width="16.287037037037" customWidth="1"/>
    <col min="54" max="54" width="2" customWidth="1"/>
    <col min="55" max="55" width="16.287037037037" customWidth="1"/>
    <col min="57" max="57" width="2" customWidth="1"/>
    <col min="58" max="58" width="16.287037037037" customWidth="1"/>
    <col min="60" max="60" width="2" customWidth="1"/>
    <col min="61" max="61" width="16.287037037037" customWidth="1"/>
    <col min="63" max="63" width="2" customWidth="1"/>
    <col min="64" max="64" width="16.287037037037" customWidth="1"/>
    <col min="66" max="66" width="2" customWidth="1"/>
    <col min="67" max="67" width="16.287037037037" customWidth="1"/>
    <col min="69" max="69" width="2" customWidth="1"/>
    <col min="70" max="70" width="16.287037037037" customWidth="1"/>
    <col min="72" max="72" width="3.13888888888889" customWidth="1"/>
    <col min="73" max="73" width="21.4259259259259" customWidth="1"/>
    <col min="75" max="75" width="5.13888888888889" customWidth="1"/>
    <col min="76" max="76" width="17.287037037037" customWidth="1"/>
  </cols>
  <sheetData>
    <row r="1" spans="1:71">
      <c r="A1" s="468" t="s">
        <v>0</v>
      </c>
      <c r="B1" s="375">
        <f>B4+B8</f>
        <v>161660</v>
      </c>
      <c r="D1" s="362" t="s">
        <v>1</v>
      </c>
      <c r="E1" s="375">
        <f>E4+E8</f>
        <v>163062</v>
      </c>
      <c r="G1" s="362" t="s">
        <v>2</v>
      </c>
      <c r="H1" s="375">
        <f>H4+H8</f>
        <v>161566</v>
      </c>
      <c r="J1" s="362" t="s">
        <v>3</v>
      </c>
      <c r="K1" s="540">
        <f>K4+K10</f>
        <v>162133</v>
      </c>
      <c r="M1" s="362" t="s">
        <v>4</v>
      </c>
      <c r="N1" s="540">
        <f>N4+N10</f>
        <v>162098</v>
      </c>
      <c r="P1" s="362" t="s">
        <v>5</v>
      </c>
      <c r="Q1" s="540">
        <f>Q4+Q10</f>
        <v>163077</v>
      </c>
      <c r="S1" s="362" t="s">
        <v>6</v>
      </c>
      <c r="T1" s="540">
        <f>T4+T10</f>
        <v>163735</v>
      </c>
      <c r="V1" s="362" t="s">
        <v>7</v>
      </c>
      <c r="W1" s="540">
        <f>W4+W10</f>
        <v>150712.25</v>
      </c>
      <c r="Y1" s="362" t="s">
        <v>8</v>
      </c>
      <c r="Z1" s="582">
        <f>Z4+Z10</f>
        <v>168724</v>
      </c>
      <c r="AB1" s="362" t="s">
        <v>9</v>
      </c>
      <c r="AC1" s="540">
        <f>AC4+AC10</f>
        <v>172572</v>
      </c>
      <c r="AE1" s="362" t="s">
        <v>10</v>
      </c>
      <c r="AF1" s="540">
        <f>AF4+AF10</f>
        <v>179304</v>
      </c>
      <c r="AH1" s="362" t="s">
        <v>11</v>
      </c>
      <c r="AI1" s="540">
        <f>AI4+AI10</f>
        <v>183632.36</v>
      </c>
      <c r="AK1" s="362" t="s">
        <v>12</v>
      </c>
      <c r="AL1" s="540">
        <f>AL4+AL10</f>
        <v>184144.27</v>
      </c>
      <c r="AN1" s="362" t="s">
        <v>13</v>
      </c>
      <c r="AO1" s="540">
        <f>AO4+AO9+AO10</f>
        <v>63910.01</v>
      </c>
      <c r="AQ1" s="362" t="s">
        <v>14</v>
      </c>
      <c r="AR1" s="540">
        <f>AR4+AR9+AR10</f>
        <v>64590.26</v>
      </c>
      <c r="AT1" s="362" t="s">
        <v>15</v>
      </c>
      <c r="AU1" s="540">
        <f>AU4+AU9+AU10</f>
        <v>65928.56</v>
      </c>
      <c r="AW1" s="362" t="s">
        <v>16</v>
      </c>
      <c r="AX1" s="540">
        <f>AX4+AX9+AX10+AX11</f>
        <v>62919.98</v>
      </c>
      <c r="AZ1" s="362" t="s">
        <v>17</v>
      </c>
      <c r="BA1" s="540">
        <f>BA4+BA9+BA12+BA13+BA10+BA11</f>
        <v>63989.44</v>
      </c>
      <c r="BC1" s="362" t="s">
        <v>18</v>
      </c>
      <c r="BD1" s="540">
        <f>BD4+BD9+BD11+BD10+BD12</f>
        <v>61117</v>
      </c>
      <c r="BF1" s="362" t="s">
        <v>19</v>
      </c>
      <c r="BG1" s="540">
        <f>BG4+BG9+BG11+BG10+BG12</f>
        <v>63433.31</v>
      </c>
      <c r="BI1" s="362" t="s">
        <v>20</v>
      </c>
      <c r="BJ1" s="540">
        <f>BJ4+BJ9+BJ11+BJ10</f>
        <v>69487</v>
      </c>
      <c r="BL1" s="362" t="s">
        <v>21</v>
      </c>
      <c r="BM1" s="540">
        <f>BM4+BM9+BM10</f>
        <v>63990</v>
      </c>
      <c r="BO1" s="362" t="s">
        <v>21</v>
      </c>
      <c r="BP1" s="540">
        <f>BP4+BP9+BP10</f>
        <v>64935</v>
      </c>
      <c r="BR1" s="362" t="s">
        <v>22</v>
      </c>
      <c r="BS1" s="540">
        <f>BS4+BS9+BS10</f>
        <v>64481</v>
      </c>
    </row>
    <row r="2" s="539" customFormat="1" spans="1:71">
      <c r="A2" s="541" t="s">
        <v>23</v>
      </c>
      <c r="B2" s="542">
        <f>B3+B6</f>
        <v>37000</v>
      </c>
      <c r="D2" s="543" t="s">
        <v>24</v>
      </c>
      <c r="E2" s="542">
        <f>E3+E6</f>
        <v>38000</v>
      </c>
      <c r="G2" s="543" t="s">
        <v>25</v>
      </c>
      <c r="H2" s="542">
        <f>H3+H6</f>
        <v>36471</v>
      </c>
      <c r="J2" s="543" t="s">
        <v>26</v>
      </c>
      <c r="K2" s="566">
        <f>K3+K8</f>
        <v>39331</v>
      </c>
      <c r="M2" s="543" t="s">
        <v>27</v>
      </c>
      <c r="N2" s="566">
        <f>N3+N8</f>
        <v>43191</v>
      </c>
      <c r="P2" s="543" t="s">
        <v>28</v>
      </c>
      <c r="Q2" s="566">
        <f>Q3+Q8</f>
        <v>43191</v>
      </c>
      <c r="S2" s="543" t="s">
        <v>29</v>
      </c>
      <c r="T2" s="566">
        <f>T3+T8</f>
        <v>61161</v>
      </c>
      <c r="V2" s="543" t="s">
        <v>30</v>
      </c>
      <c r="W2" s="566">
        <f>W3+W8</f>
        <v>66421.73</v>
      </c>
      <c r="Y2" s="543" t="s">
        <v>31</v>
      </c>
      <c r="Z2" s="566">
        <f>Z3+Z8</f>
        <v>69428</v>
      </c>
      <c r="AB2" s="543" t="s">
        <v>32</v>
      </c>
      <c r="AC2" s="566">
        <f>AC3+AC8</f>
        <v>71128</v>
      </c>
      <c r="AE2" s="543" t="s">
        <v>33</v>
      </c>
      <c r="AF2" s="566">
        <f>AF3+AF8</f>
        <v>73029</v>
      </c>
      <c r="AH2" s="543" t="s">
        <v>34</v>
      </c>
      <c r="AI2" s="566">
        <f>AI3+AI8</f>
        <v>77752.71</v>
      </c>
      <c r="AK2" s="543" t="s">
        <v>35</v>
      </c>
      <c r="AL2" s="566">
        <f>AL3+AL8</f>
        <v>78762.91</v>
      </c>
      <c r="AN2" s="543" t="s">
        <v>36</v>
      </c>
      <c r="AO2" s="566">
        <f>AO3+AO8</f>
        <v>81757.88</v>
      </c>
      <c r="AQ2" s="543" t="s">
        <v>37</v>
      </c>
      <c r="AR2" s="566">
        <f>AR3+AR8</f>
        <v>80757.88</v>
      </c>
      <c r="AT2" s="543" t="s">
        <v>38</v>
      </c>
      <c r="AU2" s="566">
        <f>AU3+AU8</f>
        <v>83787.88</v>
      </c>
      <c r="AW2" s="543" t="s">
        <v>39</v>
      </c>
      <c r="AX2" s="566">
        <f>AX3+AX8</f>
        <v>86494.69</v>
      </c>
      <c r="AZ2" s="543" t="s">
        <v>40</v>
      </c>
      <c r="BA2" s="566">
        <f>BA3+BA8</f>
        <v>92470.65</v>
      </c>
      <c r="BC2" s="543" t="s">
        <v>41</v>
      </c>
      <c r="BD2" s="566">
        <f>BD3+BD8</f>
        <v>100390</v>
      </c>
      <c r="BF2" s="543" t="s">
        <v>42</v>
      </c>
      <c r="BG2" s="566">
        <f>BG3+BG8</f>
        <v>100388</v>
      </c>
      <c r="BI2" s="543" t="s">
        <v>43</v>
      </c>
      <c r="BJ2" s="566">
        <f>BJ3+BJ8</f>
        <v>100388</v>
      </c>
      <c r="BL2" s="543" t="s">
        <v>44</v>
      </c>
      <c r="BM2" s="566">
        <f>BM3+BM8</f>
        <v>30621</v>
      </c>
      <c r="BO2" s="543" t="s">
        <v>44</v>
      </c>
      <c r="BP2" s="566">
        <f>BP3+BP8</f>
        <v>32801</v>
      </c>
      <c r="BR2" s="543" t="s">
        <v>45</v>
      </c>
      <c r="BS2" s="566">
        <f>BS3+BS8</f>
        <v>32801</v>
      </c>
    </row>
    <row r="3" s="539" customFormat="1" spans="1:71">
      <c r="A3" s="544" t="s">
        <v>46</v>
      </c>
      <c r="B3" s="545">
        <v>35000</v>
      </c>
      <c r="D3" s="545" t="s">
        <v>46</v>
      </c>
      <c r="E3" s="545">
        <v>35000</v>
      </c>
      <c r="G3" s="545" t="s">
        <v>46</v>
      </c>
      <c r="H3" s="545">
        <v>35000</v>
      </c>
      <c r="J3" s="545" t="s">
        <v>47</v>
      </c>
      <c r="K3" s="567">
        <v>35000</v>
      </c>
      <c r="M3" s="545" t="s">
        <v>47</v>
      </c>
      <c r="N3" s="567">
        <v>35000</v>
      </c>
      <c r="P3" s="545" t="s">
        <v>47</v>
      </c>
      <c r="Q3" s="567">
        <v>35000</v>
      </c>
      <c r="S3" s="545" t="s">
        <v>47</v>
      </c>
      <c r="T3" s="567">
        <v>45000</v>
      </c>
      <c r="V3" s="545" t="s">
        <v>47</v>
      </c>
      <c r="W3" s="567">
        <v>60000</v>
      </c>
      <c r="Y3" s="545" t="s">
        <v>47</v>
      </c>
      <c r="Z3" s="567">
        <v>60000</v>
      </c>
      <c r="AB3" s="545" t="s">
        <v>47</v>
      </c>
      <c r="AC3" s="567">
        <v>60000</v>
      </c>
      <c r="AE3" s="545" t="s">
        <v>47</v>
      </c>
      <c r="AF3" s="567">
        <v>70000</v>
      </c>
      <c r="AH3" s="545" t="s">
        <v>47</v>
      </c>
      <c r="AI3" s="567">
        <v>70000</v>
      </c>
      <c r="AK3" s="545" t="s">
        <v>47</v>
      </c>
      <c r="AL3" s="567">
        <v>70000</v>
      </c>
      <c r="AN3" s="545" t="s">
        <v>47</v>
      </c>
      <c r="AO3" s="567">
        <v>80000</v>
      </c>
      <c r="AQ3" s="545" t="s">
        <v>47</v>
      </c>
      <c r="AR3" s="567">
        <v>80000</v>
      </c>
      <c r="AT3" s="545" t="s">
        <v>47</v>
      </c>
      <c r="AU3" s="567">
        <v>80000</v>
      </c>
      <c r="AW3" s="545" t="s">
        <v>47</v>
      </c>
      <c r="AX3" s="567">
        <v>80000</v>
      </c>
      <c r="AZ3" s="545" t="s">
        <v>47</v>
      </c>
      <c r="BA3" s="567">
        <v>80000</v>
      </c>
      <c r="BC3" s="545" t="s">
        <v>47</v>
      </c>
      <c r="BD3" s="567">
        <v>90000</v>
      </c>
      <c r="BF3" s="545" t="s">
        <v>47</v>
      </c>
      <c r="BG3" s="567">
        <v>90000</v>
      </c>
      <c r="BI3" s="545" t="s">
        <v>47</v>
      </c>
      <c r="BJ3" s="567">
        <v>90000</v>
      </c>
      <c r="BL3" s="545" t="s">
        <v>47</v>
      </c>
      <c r="BM3" s="567">
        <v>30000</v>
      </c>
      <c r="BO3" s="545" t="s">
        <v>47</v>
      </c>
      <c r="BP3" s="567">
        <v>30000</v>
      </c>
      <c r="BR3" s="545" t="s">
        <v>47</v>
      </c>
      <c r="BS3" s="567">
        <v>30000</v>
      </c>
    </row>
    <row r="4" spans="1:71">
      <c r="A4" s="546" t="s">
        <v>48</v>
      </c>
      <c r="B4" s="547">
        <v>132500</v>
      </c>
      <c r="D4" s="548" t="s">
        <v>48</v>
      </c>
      <c r="E4" s="547">
        <f>159000-E3</f>
        <v>124000</v>
      </c>
      <c r="G4" s="548" t="s">
        <v>48</v>
      </c>
      <c r="H4" s="547">
        <f>124000-H3</f>
        <v>89000</v>
      </c>
      <c r="J4" s="548" t="s">
        <v>49</v>
      </c>
      <c r="K4" s="570">
        <f>24000+100000-K3</f>
        <v>89000</v>
      </c>
      <c r="M4" s="548" t="s">
        <v>49</v>
      </c>
      <c r="N4" s="570">
        <f>15000+100000-N3</f>
        <v>80000</v>
      </c>
      <c r="P4" s="548" t="s">
        <v>49</v>
      </c>
      <c r="Q4" s="570">
        <f>82000-Q3</f>
        <v>47000</v>
      </c>
      <c r="S4" s="548" t="s">
        <v>49</v>
      </c>
      <c r="T4" s="570">
        <f>80600-T3</f>
        <v>35600</v>
      </c>
      <c r="V4" s="548" t="s">
        <v>49</v>
      </c>
      <c r="W4" s="570">
        <f>80900-W3</f>
        <v>20900</v>
      </c>
      <c r="Y4" s="548" t="s">
        <v>49</v>
      </c>
      <c r="Z4" s="570">
        <f>158900-Z3</f>
        <v>98900</v>
      </c>
      <c r="AB4" s="548" t="s">
        <v>49</v>
      </c>
      <c r="AC4" s="570">
        <f>168101-AC3</f>
        <v>108101</v>
      </c>
      <c r="AE4" s="548" t="s">
        <v>49</v>
      </c>
      <c r="AF4" s="570">
        <f>186109-AF3</f>
        <v>116109</v>
      </c>
      <c r="AH4" s="548" t="s">
        <v>49</v>
      </c>
      <c r="AI4" s="570">
        <f>245000-AI3</f>
        <v>175000</v>
      </c>
      <c r="AK4" s="548" t="s">
        <v>49</v>
      </c>
      <c r="AL4" s="570">
        <f>245000-AL3</f>
        <v>175000</v>
      </c>
      <c r="AN4" s="548" t="s">
        <v>49</v>
      </c>
      <c r="AO4" s="570">
        <f>131252-AO3</f>
        <v>51252</v>
      </c>
      <c r="AQ4" s="548" t="s">
        <v>49</v>
      </c>
      <c r="AR4" s="570">
        <f>130488-AR3</f>
        <v>50488</v>
      </c>
      <c r="AT4" s="548" t="s">
        <v>49</v>
      </c>
      <c r="AU4" s="570">
        <f>130501-AU3</f>
        <v>50501</v>
      </c>
      <c r="AW4" s="548" t="s">
        <v>49</v>
      </c>
      <c r="AX4" s="570">
        <f>100020-AX3</f>
        <v>20020</v>
      </c>
      <c r="AZ4" s="548" t="s">
        <v>49</v>
      </c>
      <c r="BA4" s="570">
        <f>102081.01-BA3</f>
        <v>22081.01</v>
      </c>
      <c r="BC4" s="548" t="s">
        <v>49</v>
      </c>
      <c r="BD4" s="570">
        <f>130211-BD3</f>
        <v>40211</v>
      </c>
      <c r="BF4" s="548" t="s">
        <v>49</v>
      </c>
      <c r="BG4" s="570">
        <f>140211-BG3</f>
        <v>50211</v>
      </c>
      <c r="BI4" s="548" t="s">
        <v>49</v>
      </c>
      <c r="BJ4" s="570">
        <f>142105-BJ3</f>
        <v>52105</v>
      </c>
      <c r="BL4" s="548" t="s">
        <v>49</v>
      </c>
      <c r="BM4" s="570">
        <f>80237-BM3</f>
        <v>50237</v>
      </c>
      <c r="BO4" s="548" t="s">
        <v>49</v>
      </c>
      <c r="BP4" s="570">
        <f>81118-BP3</f>
        <v>51118</v>
      </c>
      <c r="BR4" s="548" t="s">
        <v>49</v>
      </c>
      <c r="BS4" s="570">
        <f>81186-BS3</f>
        <v>51186</v>
      </c>
    </row>
    <row r="5" spans="1:71">
      <c r="A5" s="549" t="s">
        <v>50</v>
      </c>
      <c r="B5" s="550">
        <f>16500+15200</f>
        <v>31700</v>
      </c>
      <c r="D5" s="551" t="s">
        <v>50</v>
      </c>
      <c r="E5" s="550">
        <v>42580</v>
      </c>
      <c r="G5" s="551" t="s">
        <v>50</v>
      </c>
      <c r="H5" s="550">
        <f>55272+19251</f>
        <v>74523</v>
      </c>
      <c r="J5" s="585" t="s">
        <v>51</v>
      </c>
      <c r="K5" s="572">
        <v>22081</v>
      </c>
      <c r="M5" s="585" t="s">
        <v>51</v>
      </c>
      <c r="N5" s="572">
        <v>14103</v>
      </c>
      <c r="P5" s="585" t="s">
        <v>51</v>
      </c>
      <c r="Q5" s="572">
        <v>31786</v>
      </c>
      <c r="S5" s="585" t="s">
        <v>51</v>
      </c>
      <c r="T5" s="572">
        <v>24818</v>
      </c>
      <c r="V5" s="585" t="s">
        <v>51</v>
      </c>
      <c r="W5" s="572">
        <v>14599.45</v>
      </c>
      <c r="Y5" s="585" t="s">
        <v>51</v>
      </c>
      <c r="Z5" s="572">
        <v>22965</v>
      </c>
      <c r="AB5" s="585" t="s">
        <v>51</v>
      </c>
      <c r="AC5" s="572">
        <v>20865</v>
      </c>
      <c r="AE5" s="585" t="s">
        <v>51</v>
      </c>
      <c r="AF5" s="572">
        <v>10791</v>
      </c>
      <c r="AH5" s="585" t="s">
        <v>51</v>
      </c>
      <c r="AI5" s="572">
        <v>15084.57</v>
      </c>
      <c r="AK5" s="585" t="s">
        <v>51</v>
      </c>
      <c r="AL5" s="572">
        <v>16593.87</v>
      </c>
      <c r="AN5" s="585" t="s">
        <v>51</v>
      </c>
      <c r="AO5" s="572">
        <v>11157.55</v>
      </c>
      <c r="AQ5" s="585" t="s">
        <v>51</v>
      </c>
      <c r="AR5" s="572">
        <v>11489.96</v>
      </c>
      <c r="AT5" s="585" t="s">
        <v>51</v>
      </c>
      <c r="AU5" s="572">
        <v>16876.49</v>
      </c>
      <c r="AW5" s="585" t="s">
        <v>51</v>
      </c>
      <c r="AX5" s="572">
        <v>12074.72</v>
      </c>
      <c r="AZ5" s="585" t="s">
        <v>51</v>
      </c>
      <c r="BA5" s="572">
        <v>20857.82</v>
      </c>
      <c r="BC5" s="585" t="s">
        <v>51</v>
      </c>
      <c r="BD5" s="572">
        <v>28686</v>
      </c>
      <c r="BF5" s="585" t="s">
        <v>51</v>
      </c>
      <c r="BG5" s="572">
        <v>20995.31</v>
      </c>
      <c r="BI5" s="585" t="s">
        <v>51</v>
      </c>
      <c r="BJ5" s="572">
        <v>21155</v>
      </c>
      <c r="BL5" s="585" t="s">
        <v>51</v>
      </c>
      <c r="BM5" s="572">
        <v>8231</v>
      </c>
      <c r="BO5" s="585" t="s">
        <v>51</v>
      </c>
      <c r="BP5" s="572">
        <v>10475</v>
      </c>
      <c r="BR5" s="585" t="s">
        <v>51</v>
      </c>
      <c r="BS5" s="572">
        <v>9915</v>
      </c>
    </row>
    <row r="6" s="539" customFormat="1" spans="1:71">
      <c r="A6" s="552" t="s">
        <v>52</v>
      </c>
      <c r="B6" s="553">
        <v>2000</v>
      </c>
      <c r="D6" s="554" t="s">
        <v>52</v>
      </c>
      <c r="E6" s="553">
        <v>3000</v>
      </c>
      <c r="G6" s="554" t="s">
        <v>52</v>
      </c>
      <c r="H6" s="553">
        <v>1471</v>
      </c>
      <c r="J6" s="586" t="s">
        <v>53</v>
      </c>
      <c r="K6" s="573">
        <v>55896</v>
      </c>
      <c r="M6" s="586" t="s">
        <v>53</v>
      </c>
      <c r="N6" s="573">
        <v>76694</v>
      </c>
      <c r="P6" s="586" t="s">
        <v>53</v>
      </c>
      <c r="Q6" s="573">
        <v>93032</v>
      </c>
      <c r="S6" s="586" t="s">
        <v>53</v>
      </c>
      <c r="T6" s="573">
        <v>120290</v>
      </c>
      <c r="V6" s="586" t="s">
        <v>53</v>
      </c>
      <c r="W6" s="573">
        <v>122484.8</v>
      </c>
      <c r="Y6" s="586" t="s">
        <v>53</v>
      </c>
      <c r="Z6" s="573">
        <v>57212</v>
      </c>
      <c r="AB6" s="586" t="s">
        <v>53</v>
      </c>
      <c r="AC6" s="573">
        <v>55611</v>
      </c>
      <c r="AE6" s="586" t="s">
        <v>53</v>
      </c>
      <c r="AF6" s="573">
        <v>56254</v>
      </c>
      <c r="AH6" s="586" t="s">
        <v>53</v>
      </c>
      <c r="AI6" s="573">
        <v>2232.05</v>
      </c>
      <c r="AK6" s="586" t="s">
        <v>53</v>
      </c>
      <c r="AL6" s="573">
        <v>2291.92</v>
      </c>
      <c r="AN6" s="586" t="s">
        <v>53</v>
      </c>
      <c r="AO6" s="573">
        <v>2258.34</v>
      </c>
      <c r="AQ6" s="586" t="s">
        <v>53</v>
      </c>
      <c r="AR6" s="573">
        <v>2370.18</v>
      </c>
      <c r="AT6" s="586" t="s">
        <v>53</v>
      </c>
      <c r="AU6" s="573">
        <v>1338.95</v>
      </c>
      <c r="AW6" s="586" t="s">
        <v>53</v>
      </c>
      <c r="AX6" s="573">
        <v>1319.95</v>
      </c>
      <c r="AZ6" s="586" t="s">
        <v>53</v>
      </c>
      <c r="BA6" s="573">
        <v>17.26</v>
      </c>
      <c r="BC6" s="586" t="s">
        <v>53</v>
      </c>
      <c r="BD6" s="573">
        <v>17</v>
      </c>
      <c r="BF6" s="586" t="s">
        <v>53</v>
      </c>
      <c r="BG6" s="573">
        <v>17</v>
      </c>
      <c r="BI6" s="586" t="s">
        <v>53</v>
      </c>
      <c r="BJ6" s="573">
        <v>17</v>
      </c>
      <c r="BL6" s="586" t="s">
        <v>53</v>
      </c>
      <c r="BM6" s="573">
        <v>17</v>
      </c>
      <c r="BO6" s="586" t="s">
        <v>53</v>
      </c>
      <c r="BP6" s="573">
        <v>17</v>
      </c>
      <c r="BR6" s="586" t="s">
        <v>53</v>
      </c>
      <c r="BS6" s="573">
        <v>17</v>
      </c>
    </row>
    <row r="7" spans="1:71">
      <c r="A7" s="555" t="s">
        <v>54</v>
      </c>
      <c r="B7" s="556">
        <v>540</v>
      </c>
      <c r="D7" s="556" t="s">
        <v>54</v>
      </c>
      <c r="E7" s="556">
        <v>518</v>
      </c>
      <c r="G7" s="556" t="s">
        <v>54</v>
      </c>
      <c r="H7" s="556">
        <v>486</v>
      </c>
      <c r="J7" s="586" t="s">
        <v>55</v>
      </c>
      <c r="K7" s="572">
        <f>K5+K6</f>
        <v>77977</v>
      </c>
      <c r="M7" s="586" t="s">
        <v>55</v>
      </c>
      <c r="N7" s="572">
        <f>N5+N6</f>
        <v>90797</v>
      </c>
      <c r="P7" s="586" t="s">
        <v>55</v>
      </c>
      <c r="Q7" s="572">
        <f>Q5+Q6</f>
        <v>124818</v>
      </c>
      <c r="S7" s="586" t="s">
        <v>55</v>
      </c>
      <c r="T7" s="572">
        <f>T5+T6</f>
        <v>145108</v>
      </c>
      <c r="V7" s="586" t="s">
        <v>55</v>
      </c>
      <c r="W7" s="572">
        <f>W5+W6</f>
        <v>137084.25</v>
      </c>
      <c r="Y7" s="586" t="s">
        <v>55</v>
      </c>
      <c r="Z7" s="572">
        <f>Z5+Z6</f>
        <v>80177</v>
      </c>
      <c r="AB7" s="586" t="s">
        <v>55</v>
      </c>
      <c r="AC7" s="572">
        <f>AC5+AC6</f>
        <v>76476</v>
      </c>
      <c r="AE7" s="586" t="s">
        <v>55</v>
      </c>
      <c r="AF7" s="572">
        <f>AF5+AF6</f>
        <v>67045</v>
      </c>
      <c r="AH7" s="586" t="s">
        <v>55</v>
      </c>
      <c r="AI7" s="572">
        <f>AI5+AI6</f>
        <v>17316.62</v>
      </c>
      <c r="AK7" s="586" t="s">
        <v>55</v>
      </c>
      <c r="AL7" s="572">
        <f>AL5+AL6</f>
        <v>18885.79</v>
      </c>
      <c r="AN7" s="586" t="s">
        <v>55</v>
      </c>
      <c r="AO7" s="572">
        <f>AO5+AO6</f>
        <v>13415.89</v>
      </c>
      <c r="AQ7" s="586" t="s">
        <v>56</v>
      </c>
      <c r="AR7" s="572">
        <f>AR5+AR6</f>
        <v>13860.14</v>
      </c>
      <c r="AT7" s="586" t="s">
        <v>56</v>
      </c>
      <c r="AU7" s="572">
        <f>AU5+AU6</f>
        <v>18215.44</v>
      </c>
      <c r="AW7" s="586" t="s">
        <v>56</v>
      </c>
      <c r="AX7" s="572">
        <f>AX5+AX6</f>
        <v>13394.67</v>
      </c>
      <c r="AZ7" s="586" t="s">
        <v>56</v>
      </c>
      <c r="BA7" s="572">
        <f>BA5+BA6</f>
        <v>20875.08</v>
      </c>
      <c r="BC7" s="586" t="s">
        <v>56</v>
      </c>
      <c r="BD7" s="572">
        <f>BD5+BD6</f>
        <v>28703</v>
      </c>
      <c r="BF7" s="586" t="s">
        <v>56</v>
      </c>
      <c r="BG7" s="572">
        <f>BG5+BG6</f>
        <v>21012.31</v>
      </c>
      <c r="BI7" s="586" t="s">
        <v>56</v>
      </c>
      <c r="BJ7" s="572">
        <f>BJ5+BJ6</f>
        <v>21172</v>
      </c>
      <c r="BL7" s="586" t="s">
        <v>56</v>
      </c>
      <c r="BM7" s="572">
        <f>BM5+BM6</f>
        <v>8248</v>
      </c>
      <c r="BO7" s="586" t="s">
        <v>56</v>
      </c>
      <c r="BP7" s="572">
        <f>BP5+BP6</f>
        <v>10492</v>
      </c>
      <c r="BR7" s="586" t="s">
        <v>56</v>
      </c>
      <c r="BS7" s="572">
        <f>BS5+BS6</f>
        <v>9932</v>
      </c>
    </row>
    <row r="8" spans="1:71">
      <c r="A8" s="549" t="s">
        <v>57</v>
      </c>
      <c r="B8" s="550">
        <f>B5-B6-B7</f>
        <v>29160</v>
      </c>
      <c r="D8" s="551" t="s">
        <v>57</v>
      </c>
      <c r="E8" s="550">
        <f>E5-E6-E7</f>
        <v>39062</v>
      </c>
      <c r="G8" s="551" t="s">
        <v>57</v>
      </c>
      <c r="H8" s="550">
        <f>H5-H6-H7</f>
        <v>72566</v>
      </c>
      <c r="J8" s="554" t="s">
        <v>52</v>
      </c>
      <c r="K8" s="574">
        <v>4331</v>
      </c>
      <c r="M8" s="554" t="s">
        <v>52</v>
      </c>
      <c r="N8" s="574">
        <v>8191</v>
      </c>
      <c r="P8" s="554" t="s">
        <v>52</v>
      </c>
      <c r="Q8" s="574">
        <v>8191</v>
      </c>
      <c r="S8" s="554" t="s">
        <v>52</v>
      </c>
      <c r="T8" s="574">
        <v>16161</v>
      </c>
      <c r="V8" s="554" t="s">
        <v>52</v>
      </c>
      <c r="W8" s="574">
        <v>6421.73</v>
      </c>
      <c r="Y8" s="554" t="s">
        <v>52</v>
      </c>
      <c r="Z8" s="574">
        <v>9428</v>
      </c>
      <c r="AB8" s="554" t="s">
        <v>52</v>
      </c>
      <c r="AC8" s="574">
        <v>11128</v>
      </c>
      <c r="AE8" s="554" t="s">
        <v>52</v>
      </c>
      <c r="AF8" s="574">
        <v>3029</v>
      </c>
      <c r="AH8" s="554" t="s">
        <v>52</v>
      </c>
      <c r="AI8" s="574">
        <v>7752.71</v>
      </c>
      <c r="AK8" s="554" t="s">
        <v>52</v>
      </c>
      <c r="AL8" s="574">
        <v>8762.91</v>
      </c>
      <c r="AN8" s="554" t="s">
        <v>52</v>
      </c>
      <c r="AO8" s="574">
        <v>1757.88</v>
      </c>
      <c r="AQ8" s="554" t="s">
        <v>52</v>
      </c>
      <c r="AR8" s="574">
        <v>757.88</v>
      </c>
      <c r="AT8" s="554" t="s">
        <v>52</v>
      </c>
      <c r="AU8" s="574">
        <v>3787.88</v>
      </c>
      <c r="AW8" s="554" t="s">
        <v>52</v>
      </c>
      <c r="AX8" s="574">
        <v>6494.69</v>
      </c>
      <c r="AZ8" s="554" t="s">
        <v>52</v>
      </c>
      <c r="BA8" s="574">
        <v>12470.65</v>
      </c>
      <c r="BC8" s="554" t="s">
        <v>52</v>
      </c>
      <c r="BD8" s="574">
        <v>10390</v>
      </c>
      <c r="BF8" s="554" t="s">
        <v>52</v>
      </c>
      <c r="BG8" s="574">
        <v>10388</v>
      </c>
      <c r="BI8" s="554" t="s">
        <v>52</v>
      </c>
      <c r="BJ8" s="574">
        <v>10388</v>
      </c>
      <c r="BL8" s="554" t="s">
        <v>52</v>
      </c>
      <c r="BM8" s="574">
        <v>621</v>
      </c>
      <c r="BO8" s="554" t="s">
        <v>52</v>
      </c>
      <c r="BP8" s="574">
        <v>2801</v>
      </c>
      <c r="BR8" s="554" t="s">
        <v>52</v>
      </c>
      <c r="BS8" s="574">
        <v>2801</v>
      </c>
    </row>
    <row r="9" spans="1:71">
      <c r="A9" s="557" t="s">
        <v>58</v>
      </c>
      <c r="B9" s="558" t="s">
        <v>59</v>
      </c>
      <c r="D9" s="559" t="s">
        <v>58</v>
      </c>
      <c r="E9" s="558" t="s">
        <v>59</v>
      </c>
      <c r="G9" s="559" t="s">
        <v>58</v>
      </c>
      <c r="H9" s="558" t="s">
        <v>59</v>
      </c>
      <c r="J9" s="556" t="s">
        <v>54</v>
      </c>
      <c r="K9" s="573">
        <v>513</v>
      </c>
      <c r="M9" s="556" t="s">
        <v>54</v>
      </c>
      <c r="N9" s="573">
        <v>508</v>
      </c>
      <c r="P9" s="556" t="s">
        <v>54</v>
      </c>
      <c r="Q9" s="573">
        <v>550</v>
      </c>
      <c r="S9" s="556" t="s">
        <v>54</v>
      </c>
      <c r="T9" s="573">
        <v>812</v>
      </c>
      <c r="V9" s="556" t="s">
        <v>54</v>
      </c>
      <c r="W9" s="573">
        <v>850.27</v>
      </c>
      <c r="Y9" s="556" t="s">
        <v>54</v>
      </c>
      <c r="Z9" s="573">
        <v>925</v>
      </c>
      <c r="AB9" s="556" t="s">
        <v>54</v>
      </c>
      <c r="AC9" s="573">
        <v>877</v>
      </c>
      <c r="AE9" s="556" t="s">
        <v>54</v>
      </c>
      <c r="AF9" s="573">
        <v>821</v>
      </c>
      <c r="AH9" s="556" t="s">
        <v>54</v>
      </c>
      <c r="AI9" s="573">
        <v>931.55</v>
      </c>
      <c r="AK9" s="556" t="s">
        <v>54</v>
      </c>
      <c r="AL9" s="573">
        <v>978.61</v>
      </c>
      <c r="AN9" s="551" t="s">
        <v>60</v>
      </c>
      <c r="AO9" s="572">
        <f>AO7-AO8</f>
        <v>11658.01</v>
      </c>
      <c r="AQ9" s="551" t="s">
        <v>60</v>
      </c>
      <c r="AR9" s="572">
        <f>AR7-AR8</f>
        <v>13102.26</v>
      </c>
      <c r="AT9" s="551" t="s">
        <v>60</v>
      </c>
      <c r="AU9" s="572">
        <f>AU7-AU8</f>
        <v>14427.56</v>
      </c>
      <c r="AW9" s="551" t="s">
        <v>60</v>
      </c>
      <c r="AX9" s="572">
        <f>AX7-AX8</f>
        <v>6899.98</v>
      </c>
      <c r="AZ9" s="551" t="s">
        <v>60</v>
      </c>
      <c r="BA9" s="572">
        <f>BA7-BA8</f>
        <v>8404.43</v>
      </c>
      <c r="BC9" s="551" t="s">
        <v>60</v>
      </c>
      <c r="BD9" s="572">
        <f>BD7-BD8</f>
        <v>18313</v>
      </c>
      <c r="BF9" s="551" t="s">
        <v>60</v>
      </c>
      <c r="BG9" s="572">
        <f>BG7-BG8</f>
        <v>10624.31</v>
      </c>
      <c r="BI9" s="551" t="s">
        <v>60</v>
      </c>
      <c r="BJ9" s="572">
        <f>BJ7-BJ8</f>
        <v>10784</v>
      </c>
      <c r="BL9" s="551" t="s">
        <v>60</v>
      </c>
      <c r="BM9" s="572">
        <f>BM7-BM8</f>
        <v>7627</v>
      </c>
      <c r="BO9" s="551" t="s">
        <v>60</v>
      </c>
      <c r="BP9" s="572">
        <f>BP7-BP8</f>
        <v>7691</v>
      </c>
      <c r="BR9" s="551" t="s">
        <v>60</v>
      </c>
      <c r="BS9" s="572">
        <f>BS7-BS8</f>
        <v>7131</v>
      </c>
    </row>
    <row r="10" spans="1:72">
      <c r="A10" s="560"/>
      <c r="B10" s="561" t="s">
        <v>61</v>
      </c>
      <c r="D10" s="562"/>
      <c r="E10" s="561" t="s">
        <v>61</v>
      </c>
      <c r="G10" s="562"/>
      <c r="H10" s="561" t="s">
        <v>61</v>
      </c>
      <c r="J10" s="551" t="s">
        <v>60</v>
      </c>
      <c r="K10" s="572">
        <f>K7-K8-K9</f>
        <v>73133</v>
      </c>
      <c r="M10" s="551" t="s">
        <v>60</v>
      </c>
      <c r="N10" s="572">
        <f>N7-N8-N9</f>
        <v>82098</v>
      </c>
      <c r="P10" s="551" t="s">
        <v>60</v>
      </c>
      <c r="Q10" s="572">
        <f>Q7-Q8-Q9</f>
        <v>116077</v>
      </c>
      <c r="S10" s="551" t="s">
        <v>60</v>
      </c>
      <c r="T10" s="572">
        <f>T7-T8-T9</f>
        <v>128135</v>
      </c>
      <c r="V10" s="551" t="s">
        <v>60</v>
      </c>
      <c r="W10" s="572">
        <f>W7-W8-W9</f>
        <v>129812.25</v>
      </c>
      <c r="Y10" s="551" t="s">
        <v>60</v>
      </c>
      <c r="Z10" s="572">
        <f>Z7-Z8-Z9</f>
        <v>69824</v>
      </c>
      <c r="AB10" s="551" t="s">
        <v>60</v>
      </c>
      <c r="AC10" s="572">
        <f>AC7-AC8-AC9</f>
        <v>64471</v>
      </c>
      <c r="AE10" s="551" t="s">
        <v>60</v>
      </c>
      <c r="AF10" s="572">
        <f>AF7-AF8-AF9</f>
        <v>63195</v>
      </c>
      <c r="AH10" s="551" t="s">
        <v>60</v>
      </c>
      <c r="AI10" s="572">
        <f>AI7-AI8-AI9</f>
        <v>8632.36</v>
      </c>
      <c r="AK10" s="551" t="s">
        <v>60</v>
      </c>
      <c r="AL10" s="572">
        <f>AL7-AL8-AL9</f>
        <v>9144.27</v>
      </c>
      <c r="AN10" s="362" t="s">
        <v>62</v>
      </c>
      <c r="AO10" s="575">
        <v>1000</v>
      </c>
      <c r="AP10" s="362"/>
      <c r="AQ10" s="362" t="s">
        <v>62</v>
      </c>
      <c r="AR10" s="575">
        <v>1000</v>
      </c>
      <c r="AS10" s="362"/>
      <c r="AT10" s="362" t="s">
        <v>62</v>
      </c>
      <c r="AU10" s="575">
        <v>1000</v>
      </c>
      <c r="AV10" s="362"/>
      <c r="AW10" s="362" t="s">
        <v>62</v>
      </c>
      <c r="AX10" s="575">
        <v>1000</v>
      </c>
      <c r="AY10" s="362"/>
      <c r="AZ10" s="362" t="s">
        <v>63</v>
      </c>
      <c r="BA10" s="575">
        <v>1500</v>
      </c>
      <c r="BB10" s="362"/>
      <c r="BC10" s="362" t="s">
        <v>64</v>
      </c>
      <c r="BD10" s="575">
        <v>1093</v>
      </c>
      <c r="BE10" s="362"/>
      <c r="BF10" s="362" t="s">
        <v>64</v>
      </c>
      <c r="BG10" s="575">
        <v>1098</v>
      </c>
      <c r="BH10" s="362"/>
      <c r="BI10" s="362" t="s">
        <v>64</v>
      </c>
      <c r="BJ10" s="575">
        <v>6098</v>
      </c>
      <c r="BK10" s="362"/>
      <c r="BL10" s="362" t="s">
        <v>64</v>
      </c>
      <c r="BM10" s="575">
        <v>6126</v>
      </c>
      <c r="BN10" s="362"/>
      <c r="BO10" s="362" t="s">
        <v>64</v>
      </c>
      <c r="BP10" s="575">
        <v>6126</v>
      </c>
      <c r="BQ10" s="362"/>
      <c r="BR10" s="362" t="s">
        <v>64</v>
      </c>
      <c r="BS10" s="575">
        <v>6164</v>
      </c>
      <c r="BT10" s="362"/>
    </row>
    <row r="11" s="362" customFormat="1" spans="1:72">
      <c r="A11" s="563"/>
      <c r="B11" s="564" t="s">
        <v>65</v>
      </c>
      <c r="C11" s="539"/>
      <c r="D11" s="565"/>
      <c r="E11" s="564" t="s">
        <v>65</v>
      </c>
      <c r="F11" s="539"/>
      <c r="G11" s="565"/>
      <c r="H11" s="564" t="s">
        <v>65</v>
      </c>
      <c r="I11" s="539"/>
      <c r="J11" s="559" t="s">
        <v>58</v>
      </c>
      <c r="K11" s="576" t="s">
        <v>59</v>
      </c>
      <c r="L11" s="539"/>
      <c r="M11" s="559" t="s">
        <v>58</v>
      </c>
      <c r="N11" s="576" t="s">
        <v>59</v>
      </c>
      <c r="O11" s="539"/>
      <c r="P11" s="559" t="s">
        <v>58</v>
      </c>
      <c r="Q11" s="576" t="s">
        <v>59</v>
      </c>
      <c r="R11" s="539"/>
      <c r="S11" s="559" t="s">
        <v>58</v>
      </c>
      <c r="T11" s="576" t="s">
        <v>59</v>
      </c>
      <c r="U11" s="539"/>
      <c r="V11" s="559" t="s">
        <v>58</v>
      </c>
      <c r="W11" s="576" t="s">
        <v>59</v>
      </c>
      <c r="X11" s="539"/>
      <c r="Y11" s="559" t="s">
        <v>58</v>
      </c>
      <c r="Z11" s="576" t="s">
        <v>59</v>
      </c>
      <c r="AA11" s="539"/>
      <c r="AB11" s="559" t="s">
        <v>58</v>
      </c>
      <c r="AC11" s="576" t="s">
        <v>59</v>
      </c>
      <c r="AD11" s="539"/>
      <c r="AE11" s="559" t="s">
        <v>58</v>
      </c>
      <c r="AF11" s="576" t="s">
        <v>59</v>
      </c>
      <c r="AG11" s="539"/>
      <c r="AH11" s="559" t="s">
        <v>58</v>
      </c>
      <c r="AI11" s="576" t="s">
        <v>59</v>
      </c>
      <c r="AJ11" s="539"/>
      <c r="AK11" s="559" t="s">
        <v>58</v>
      </c>
      <c r="AL11" s="576" t="s">
        <v>59</v>
      </c>
      <c r="AN11" s="559" t="s">
        <v>58</v>
      </c>
      <c r="AO11" s="576" t="s">
        <v>59</v>
      </c>
      <c r="AP11" s="539"/>
      <c r="AQ11" s="559" t="s">
        <v>58</v>
      </c>
      <c r="AR11" s="576" t="s">
        <v>59</v>
      </c>
      <c r="AS11" s="539"/>
      <c r="AT11" s="559" t="s">
        <v>58</v>
      </c>
      <c r="AU11" s="576" t="s">
        <v>59</v>
      </c>
      <c r="AV11" s="539"/>
      <c r="AW11" s="362" t="s">
        <v>66</v>
      </c>
      <c r="AX11" s="362">
        <v>35000</v>
      </c>
      <c r="AY11" s="539"/>
      <c r="AZ11" s="362" t="s">
        <v>64</v>
      </c>
      <c r="BA11" s="575">
        <v>504</v>
      </c>
      <c r="BB11" s="539"/>
      <c r="BC11" s="362" t="s">
        <v>67</v>
      </c>
      <c r="BD11" s="575">
        <v>500</v>
      </c>
      <c r="BE11" s="539"/>
      <c r="BF11" s="362" t="s">
        <v>67</v>
      </c>
      <c r="BG11" s="575">
        <v>500</v>
      </c>
      <c r="BH11" s="539"/>
      <c r="BI11" s="362" t="s">
        <v>67</v>
      </c>
      <c r="BJ11" s="575">
        <v>500</v>
      </c>
      <c r="BK11" s="539"/>
      <c r="BL11" s="559" t="s">
        <v>58</v>
      </c>
      <c r="BM11" s="576" t="s">
        <v>59</v>
      </c>
      <c r="BN11" s="539"/>
      <c r="BO11" s="559" t="s">
        <v>58</v>
      </c>
      <c r="BP11" s="576" t="s">
        <v>59</v>
      </c>
      <c r="BQ11" s="539"/>
      <c r="BR11" s="559" t="s">
        <v>58</v>
      </c>
      <c r="BS11" s="576" t="s">
        <v>59</v>
      </c>
      <c r="BT11" s="539"/>
    </row>
    <row r="12" s="539" customFormat="1" spans="1:72">
      <c r="A12" s="419"/>
      <c r="B12"/>
      <c r="C12"/>
      <c r="D12"/>
      <c r="E12"/>
      <c r="F12"/>
      <c r="G12"/>
      <c r="H12"/>
      <c r="I12"/>
      <c r="J12" s="562"/>
      <c r="K12" s="577" t="s">
        <v>61</v>
      </c>
      <c r="L12"/>
      <c r="M12" s="562"/>
      <c r="N12" s="577" t="s">
        <v>61</v>
      </c>
      <c r="O12"/>
      <c r="P12" s="562"/>
      <c r="Q12" s="577" t="s">
        <v>61</v>
      </c>
      <c r="R12"/>
      <c r="S12" s="562"/>
      <c r="T12" s="577" t="s">
        <v>61</v>
      </c>
      <c r="U12"/>
      <c r="V12" s="562"/>
      <c r="W12" s="577" t="s">
        <v>61</v>
      </c>
      <c r="X12"/>
      <c r="Y12" s="562"/>
      <c r="Z12" s="577" t="s">
        <v>61</v>
      </c>
      <c r="AA12"/>
      <c r="AB12" s="562"/>
      <c r="AC12" s="577" t="s">
        <v>61</v>
      </c>
      <c r="AD12"/>
      <c r="AE12" s="562"/>
      <c r="AF12" s="577" t="s">
        <v>61</v>
      </c>
      <c r="AG12"/>
      <c r="AH12" s="562"/>
      <c r="AI12" s="577" t="s">
        <v>61</v>
      </c>
      <c r="AJ12"/>
      <c r="AK12" s="562"/>
      <c r="AL12" s="577" t="s">
        <v>61</v>
      </c>
      <c r="AN12" s="562"/>
      <c r="AO12" s="577" t="s">
        <v>61</v>
      </c>
      <c r="AP12"/>
      <c r="AQ12" s="562"/>
      <c r="AR12" s="577" t="s">
        <v>61</v>
      </c>
      <c r="AS12"/>
      <c r="AT12" s="562"/>
      <c r="AU12" s="577" t="s">
        <v>61</v>
      </c>
      <c r="AV12"/>
      <c r="AW12" s="559" t="s">
        <v>58</v>
      </c>
      <c r="AX12" s="576" t="s">
        <v>59</v>
      </c>
      <c r="AY12"/>
      <c r="AZ12" s="362" t="s">
        <v>67</v>
      </c>
      <c r="BA12" s="575">
        <v>500</v>
      </c>
      <c r="BB12"/>
      <c r="BC12" s="362" t="s">
        <v>66</v>
      </c>
      <c r="BD12" s="575">
        <v>1000</v>
      </c>
      <c r="BE12"/>
      <c r="BF12" s="362" t="s">
        <v>66</v>
      </c>
      <c r="BG12" s="575">
        <v>1000</v>
      </c>
      <c r="BH12"/>
      <c r="BI12" s="559" t="s">
        <v>58</v>
      </c>
      <c r="BJ12" s="576" t="s">
        <v>59</v>
      </c>
      <c r="BK12"/>
      <c r="BL12" s="562"/>
      <c r="BM12" s="577" t="s">
        <v>61</v>
      </c>
      <c r="BN12"/>
      <c r="BO12" s="562"/>
      <c r="BP12" s="577" t="s">
        <v>61</v>
      </c>
      <c r="BQ12"/>
      <c r="BR12" s="562"/>
      <c r="BS12" s="577" t="s">
        <v>61</v>
      </c>
      <c r="BT12"/>
    </row>
    <row r="13" spans="10:71">
      <c r="J13" s="579"/>
      <c r="K13" s="580" t="s">
        <v>65</v>
      </c>
      <c r="M13" s="579"/>
      <c r="N13" s="580" t="s">
        <v>65</v>
      </c>
      <c r="P13" s="579"/>
      <c r="Q13" s="580" t="s">
        <v>65</v>
      </c>
      <c r="S13" s="579"/>
      <c r="T13" s="580" t="s">
        <v>65</v>
      </c>
      <c r="V13" s="565"/>
      <c r="W13" s="578" t="s">
        <v>65</v>
      </c>
      <c r="Y13" s="565"/>
      <c r="Z13" s="578" t="s">
        <v>65</v>
      </c>
      <c r="AB13" s="565"/>
      <c r="AC13" s="578" t="s">
        <v>65</v>
      </c>
      <c r="AE13" s="565"/>
      <c r="AF13" s="578" t="s">
        <v>65</v>
      </c>
      <c r="AH13" s="565"/>
      <c r="AI13" s="578" t="s">
        <v>65</v>
      </c>
      <c r="AK13" s="565"/>
      <c r="AL13" s="578" t="s">
        <v>65</v>
      </c>
      <c r="AN13" s="565"/>
      <c r="AO13" s="578" t="s">
        <v>65</v>
      </c>
      <c r="AQ13" s="565"/>
      <c r="AR13" s="578" t="s">
        <v>65</v>
      </c>
      <c r="AT13" s="565"/>
      <c r="AU13" s="578" t="s">
        <v>65</v>
      </c>
      <c r="AW13" s="562"/>
      <c r="AX13" s="577" t="s">
        <v>61</v>
      </c>
      <c r="AZ13" s="362" t="s">
        <v>66</v>
      </c>
      <c r="BA13" s="575">
        <v>31000</v>
      </c>
      <c r="BC13" s="559" t="s">
        <v>58</v>
      </c>
      <c r="BD13" s="576" t="s">
        <v>59</v>
      </c>
      <c r="BF13" s="559" t="s">
        <v>58</v>
      </c>
      <c r="BG13" s="576" t="s">
        <v>59</v>
      </c>
      <c r="BI13" s="562"/>
      <c r="BJ13" s="577" t="s">
        <v>61</v>
      </c>
      <c r="BL13" s="565"/>
      <c r="BM13" s="578" t="s">
        <v>65</v>
      </c>
      <c r="BO13" s="565"/>
      <c r="BP13" s="578" t="s">
        <v>65</v>
      </c>
      <c r="BR13" s="565"/>
      <c r="BS13" s="578" t="s">
        <v>65</v>
      </c>
    </row>
    <row r="14" spans="1:72">
      <c r="A14" s="458"/>
      <c r="B14" s="29"/>
      <c r="C14" s="29"/>
      <c r="D14" s="29"/>
      <c r="E14" s="29"/>
      <c r="F14" s="29"/>
      <c r="G14" s="29"/>
      <c r="H14" s="29"/>
      <c r="I14" s="29"/>
      <c r="J14" s="29"/>
      <c r="K14" s="581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65"/>
      <c r="AX14" s="578" t="s">
        <v>65</v>
      </c>
      <c r="AY14" s="29"/>
      <c r="AZ14" s="559" t="s">
        <v>58</v>
      </c>
      <c r="BA14" s="576" t="s">
        <v>59</v>
      </c>
      <c r="BB14" s="29"/>
      <c r="BC14" s="562"/>
      <c r="BD14" s="577" t="s">
        <v>61</v>
      </c>
      <c r="BE14" s="29"/>
      <c r="BF14" s="562"/>
      <c r="BG14" s="577" t="s">
        <v>61</v>
      </c>
      <c r="BH14" s="29"/>
      <c r="BI14" s="565"/>
      <c r="BJ14" s="578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="29" customFormat="1" spans="1:70">
      <c r="A15" s="458"/>
      <c r="K15" s="581"/>
      <c r="Y15" s="36" t="s">
        <v>70</v>
      </c>
      <c r="AB15" s="36" t="s">
        <v>70</v>
      </c>
      <c r="AN15" s="359"/>
      <c r="AQ15" s="359"/>
      <c r="AT15" s="359"/>
      <c r="AZ15" s="562"/>
      <c r="BA15" s="577" t="s">
        <v>61</v>
      </c>
      <c r="BC15" s="565"/>
      <c r="BD15" s="578" t="s">
        <v>65</v>
      </c>
      <c r="BF15" s="565"/>
      <c r="BG15" s="578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="29" customFormat="1" spans="1:71">
      <c r="A16" s="419"/>
      <c r="B16"/>
      <c r="C16"/>
      <c r="D16"/>
      <c r="E16"/>
      <c r="F16"/>
      <c r="G16"/>
      <c r="H16"/>
      <c r="I16"/>
      <c r="J16"/>
      <c r="K16" s="540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83"/>
      <c r="Z16"/>
      <c r="AA16"/>
      <c r="AB16"/>
      <c r="AC16"/>
      <c r="AD16"/>
      <c r="AE16" s="359"/>
      <c r="AF16"/>
      <c r="AG16"/>
      <c r="AH16" s="359"/>
      <c r="AI16"/>
      <c r="AJ16"/>
      <c r="AK16" s="359"/>
      <c r="AL16"/>
      <c r="AO16"/>
      <c r="AP16"/>
      <c r="AQ16" s="359"/>
      <c r="AR16"/>
      <c r="AS16"/>
      <c r="AT16" s="359"/>
      <c r="AU16"/>
      <c r="AV16"/>
      <c r="AY16"/>
      <c r="AZ16" s="565"/>
      <c r="BA16" s="578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46:69">
      <c r="AT17" s="584"/>
      <c r="AW17" s="359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84" t="s">
        <v>73</v>
      </c>
      <c r="BN17" s="584" t="s">
        <v>74</v>
      </c>
      <c r="BQ17" s="584"/>
    </row>
    <row r="18" spans="24:70">
      <c r="X18" t="s">
        <v>75</v>
      </c>
      <c r="AK18" s="584">
        <v>14234.62</v>
      </c>
      <c r="AN18" s="584"/>
      <c r="AQ18" s="584"/>
      <c r="AT18" s="584"/>
      <c r="AW18" s="359"/>
      <c r="AZ18" s="358" t="s">
        <v>76</v>
      </c>
      <c r="BA18" s="29"/>
      <c r="BE18" s="358" t="s">
        <v>77</v>
      </c>
      <c r="BH18" s="358"/>
      <c r="BK18" s="358" t="s">
        <v>78</v>
      </c>
      <c r="BL18" s="584"/>
      <c r="BN18" s="358"/>
      <c r="BO18" s="584"/>
      <c r="BQ18" s="358"/>
      <c r="BR18" s="584"/>
    </row>
    <row r="19" spans="27:61">
      <c r="AA19" t="s">
        <v>79</v>
      </c>
      <c r="AD19" t="s">
        <v>80</v>
      </c>
      <c r="AK19" s="584">
        <v>10007.09</v>
      </c>
      <c r="AN19" s="584"/>
      <c r="AQ19" s="584"/>
      <c r="AT19" s="584"/>
      <c r="AW19" s="584"/>
      <c r="AZ19" s="359"/>
      <c r="BC19" s="359"/>
      <c r="BH19" s="584" t="s">
        <v>81</v>
      </c>
      <c r="BI19" s="584"/>
    </row>
    <row r="20" spans="34:70">
      <c r="AH20" s="584"/>
      <c r="AK20" s="584">
        <v>10000</v>
      </c>
      <c r="AN20" s="584"/>
      <c r="AQ20" s="584"/>
      <c r="AT20" s="584"/>
      <c r="AW20" s="584"/>
      <c r="AZ20" s="584"/>
      <c r="BC20" s="584"/>
      <c r="BF20" s="584"/>
      <c r="BL20" s="584"/>
      <c r="BO20" s="584"/>
      <c r="BR20" s="584"/>
    </row>
    <row r="21" spans="1:70">
      <c r="A21" s="362" t="s">
        <v>82</v>
      </c>
      <c r="B21" s="540">
        <f>B25+B31+B32+B24</f>
        <v>52017.02</v>
      </c>
      <c r="D21" s="362" t="s">
        <v>83</v>
      </c>
      <c r="E21" s="540">
        <f>E25+E31+E32+E24</f>
        <v>41058.22</v>
      </c>
      <c r="AH21" s="584"/>
      <c r="AK21" s="584">
        <v>60000</v>
      </c>
      <c r="AN21" s="584"/>
      <c r="AQ21" s="584"/>
      <c r="AT21" s="584"/>
      <c r="AW21" s="584"/>
      <c r="AZ21" s="584"/>
      <c r="BC21" s="584"/>
      <c r="BF21" s="584"/>
      <c r="BI21" s="584"/>
      <c r="BL21" s="584"/>
      <c r="BO21" s="584"/>
      <c r="BR21" s="584"/>
    </row>
    <row r="22" spans="1:70">
      <c r="A22" s="543" t="s">
        <v>84</v>
      </c>
      <c r="B22" s="566">
        <f>B23+B29</f>
        <v>29471</v>
      </c>
      <c r="C22" s="539"/>
      <c r="D22" s="543" t="s">
        <v>85</v>
      </c>
      <c r="E22" s="566">
        <f>E23+E29</f>
        <v>30871</v>
      </c>
      <c r="AH22" s="584"/>
      <c r="AK22" s="584">
        <v>51000</v>
      </c>
      <c r="AN22" s="584"/>
      <c r="AQ22" s="584"/>
      <c r="AT22" s="584"/>
      <c r="AW22" s="584"/>
      <c r="AZ22" s="584"/>
      <c r="BC22" s="584"/>
      <c r="BF22" s="584"/>
      <c r="BI22" s="584"/>
      <c r="BL22" s="584"/>
      <c r="BO22" s="584"/>
      <c r="BR22" s="584"/>
    </row>
    <row r="23" spans="1:70">
      <c r="A23" s="545" t="s">
        <v>47</v>
      </c>
      <c r="B23" s="567">
        <v>25000</v>
      </c>
      <c r="C23" s="539"/>
      <c r="D23" s="545" t="s">
        <v>47</v>
      </c>
      <c r="E23" s="567">
        <v>25000</v>
      </c>
      <c r="AH23" s="584"/>
      <c r="AK23" s="584"/>
      <c r="AN23" s="584"/>
      <c r="AQ23" s="584"/>
      <c r="AT23" s="584"/>
      <c r="AW23" s="584"/>
      <c r="AZ23" s="584"/>
      <c r="BC23" s="584"/>
      <c r="BF23" s="584"/>
      <c r="BI23" s="584"/>
      <c r="BL23" s="584"/>
      <c r="BO23" s="584"/>
      <c r="BR23" s="584"/>
    </row>
    <row r="24" spans="1:70">
      <c r="A24" s="568" t="s">
        <v>86</v>
      </c>
      <c r="B24" s="569">
        <v>3895</v>
      </c>
      <c r="D24" s="568" t="s">
        <v>86</v>
      </c>
      <c r="E24" s="569">
        <v>3896.22</v>
      </c>
      <c r="AB24" s="584"/>
      <c r="AH24" s="584"/>
      <c r="AK24" s="584"/>
      <c r="AN24" s="584"/>
      <c r="AQ24" s="584"/>
      <c r="AT24" s="584"/>
      <c r="AW24" s="584"/>
      <c r="AZ24" s="584"/>
      <c r="BC24" s="584"/>
      <c r="BF24" s="584"/>
      <c r="BI24" s="584"/>
      <c r="BL24" s="584"/>
      <c r="BO24" s="584"/>
      <c r="BR24" s="584"/>
    </row>
    <row r="25" ht="24.75" customHeight="1" spans="1:70">
      <c r="A25" s="548" t="s">
        <v>87</v>
      </c>
      <c r="B25" s="570">
        <v>35000</v>
      </c>
      <c r="D25" s="571" t="s">
        <v>88</v>
      </c>
      <c r="E25" s="570">
        <v>35000</v>
      </c>
      <c r="AB25" s="584"/>
      <c r="AH25" s="584"/>
      <c r="AK25" s="584"/>
      <c r="AN25" s="584"/>
      <c r="AQ25" s="584"/>
      <c r="AT25" s="584"/>
      <c r="AW25" s="584"/>
      <c r="AZ25" s="584"/>
      <c r="BC25" s="584"/>
      <c r="BF25" s="584"/>
      <c r="BI25" s="584"/>
      <c r="BL25" s="584"/>
      <c r="BO25" s="584"/>
      <c r="BR25" s="584"/>
    </row>
    <row r="26" spans="1:70">
      <c r="A26" s="585" t="s">
        <v>51</v>
      </c>
      <c r="B26" s="572">
        <v>30322.55</v>
      </c>
      <c r="C26" s="539"/>
      <c r="D26" s="585" t="s">
        <v>51</v>
      </c>
      <c r="E26" s="572">
        <v>20587</v>
      </c>
      <c r="AB26" s="584"/>
      <c r="AH26" s="584"/>
      <c r="AK26" s="584"/>
      <c r="AN26" s="584"/>
      <c r="AQ26" s="584"/>
      <c r="AT26" s="584"/>
      <c r="AW26" s="584"/>
      <c r="AZ26" s="584"/>
      <c r="BC26" s="584"/>
      <c r="BF26" s="584"/>
      <c r="BI26" s="584"/>
      <c r="BL26" s="584"/>
      <c r="BO26" s="584"/>
      <c r="BR26" s="584"/>
    </row>
    <row r="27" spans="1:70">
      <c r="A27" s="586" t="s">
        <v>53</v>
      </c>
      <c r="B27" s="573">
        <v>17</v>
      </c>
      <c r="D27" s="586" t="s">
        <v>53</v>
      </c>
      <c r="E27" s="573">
        <v>17</v>
      </c>
      <c r="AB27" s="584"/>
      <c r="AH27" s="584"/>
      <c r="AK27" s="584"/>
      <c r="AN27" s="584"/>
      <c r="AQ27" s="584"/>
      <c r="AT27" s="584"/>
      <c r="AW27" s="584"/>
      <c r="AZ27" s="584"/>
      <c r="BC27" s="584"/>
      <c r="BF27" s="584"/>
      <c r="BI27" s="584"/>
      <c r="BL27" s="584"/>
      <c r="BO27" s="584"/>
      <c r="BR27" s="584"/>
    </row>
    <row r="28" spans="1:70">
      <c r="A28" s="586" t="s">
        <v>56</v>
      </c>
      <c r="B28" s="572">
        <f>B26+B27</f>
        <v>30339.55</v>
      </c>
      <c r="D28" s="586" t="s">
        <v>56</v>
      </c>
      <c r="E28" s="572">
        <f>E26+E27</f>
        <v>20604</v>
      </c>
      <c r="AB28" s="584"/>
      <c r="AH28" s="584"/>
      <c r="AK28" s="584"/>
      <c r="AN28" s="584"/>
      <c r="AQ28" s="584"/>
      <c r="AT28" s="584"/>
      <c r="AW28" s="584"/>
      <c r="AZ28" s="584"/>
      <c r="BC28" s="584"/>
      <c r="BF28" s="584"/>
      <c r="BI28" s="584"/>
      <c r="BL28" s="584"/>
      <c r="BO28" s="584"/>
      <c r="BR28" s="584"/>
    </row>
    <row r="29" spans="1:70">
      <c r="A29" s="554" t="s">
        <v>52</v>
      </c>
      <c r="B29" s="574">
        <v>4471</v>
      </c>
      <c r="D29" s="554" t="s">
        <v>52</v>
      </c>
      <c r="E29" s="574">
        <v>5871</v>
      </c>
      <c r="AB29" s="584"/>
      <c r="AH29" s="584"/>
      <c r="AK29" s="584"/>
      <c r="AN29" s="584"/>
      <c r="AQ29" s="584"/>
      <c r="AT29" s="584"/>
      <c r="AW29" s="584"/>
      <c r="AZ29" s="584"/>
      <c r="BC29" s="584"/>
      <c r="BF29" s="584"/>
      <c r="BI29" s="584"/>
      <c r="BL29" s="584"/>
      <c r="BO29" s="584"/>
      <c r="BR29" s="584"/>
    </row>
    <row r="30" spans="1:70">
      <c r="A30" s="556" t="s">
        <v>89</v>
      </c>
      <c r="B30" s="573">
        <v>12846.53</v>
      </c>
      <c r="C30" s="362"/>
      <c r="D30" s="556" t="s">
        <v>89</v>
      </c>
      <c r="E30" s="573">
        <v>12671</v>
      </c>
      <c r="AB30" s="584"/>
      <c r="AH30" s="584"/>
      <c r="AK30" s="584"/>
      <c r="AN30" s="584"/>
      <c r="AQ30" s="584"/>
      <c r="AT30" s="584"/>
      <c r="AW30" s="584"/>
      <c r="AZ30" s="584"/>
      <c r="BC30" s="584"/>
      <c r="BF30" s="584"/>
      <c r="BI30" s="584"/>
      <c r="BL30" s="584"/>
      <c r="BO30" s="584"/>
      <c r="BR30" s="584"/>
    </row>
    <row r="31" spans="1:70">
      <c r="A31" s="551" t="s">
        <v>60</v>
      </c>
      <c r="B31" s="572">
        <f>B28-B29-B30</f>
        <v>13022.02</v>
      </c>
      <c r="C31" s="539"/>
      <c r="D31" s="551" t="s">
        <v>60</v>
      </c>
      <c r="E31" s="572">
        <f>E28-E29-E30</f>
        <v>2062</v>
      </c>
      <c r="AB31" s="584"/>
      <c r="AH31" s="584"/>
      <c r="AK31" s="584"/>
      <c r="AN31" s="584"/>
      <c r="AQ31" s="584"/>
      <c r="AT31" s="584"/>
      <c r="AW31" s="584"/>
      <c r="AZ31" s="584"/>
      <c r="BC31" s="584"/>
      <c r="BF31" s="584"/>
      <c r="BI31" s="584"/>
      <c r="BL31" s="584"/>
      <c r="BO31" s="584"/>
      <c r="BR31" s="584"/>
    </row>
    <row r="32" spans="1:61">
      <c r="A32" s="362" t="s">
        <v>64</v>
      </c>
      <c r="B32" s="575">
        <v>100</v>
      </c>
      <c r="D32" s="362" t="s">
        <v>64</v>
      </c>
      <c r="E32" s="575">
        <v>100</v>
      </c>
      <c r="AB32" s="584"/>
      <c r="AW32" s="584"/>
      <c r="AZ32" s="584"/>
      <c r="BC32" s="584"/>
      <c r="BF32" s="584"/>
      <c r="BI32" s="584"/>
    </row>
    <row r="33" spans="1:58">
      <c r="A33" s="559" t="s">
        <v>58</v>
      </c>
      <c r="B33" s="576" t="s">
        <v>59</v>
      </c>
      <c r="D33" s="559" t="s">
        <v>58</v>
      </c>
      <c r="E33" s="576" t="s">
        <v>59</v>
      </c>
      <c r="AZ33" s="584"/>
      <c r="BC33" s="584"/>
      <c r="BF33" s="584"/>
    </row>
    <row r="34" spans="1:52">
      <c r="A34" s="562"/>
      <c r="B34" s="577" t="s">
        <v>61</v>
      </c>
      <c r="C34" s="29"/>
      <c r="D34" s="562"/>
      <c r="E34" s="577" t="s">
        <v>61</v>
      </c>
      <c r="AZ34" s="584"/>
    </row>
    <row r="35" spans="1:5">
      <c r="A35" s="565"/>
      <c r="B35" s="578" t="s">
        <v>65</v>
      </c>
      <c r="C35" s="29"/>
      <c r="D35" s="565"/>
      <c r="E35" s="578" t="s">
        <v>65</v>
      </c>
    </row>
    <row r="36" spans="1:5">
      <c r="A36" s="36" t="s">
        <v>69</v>
      </c>
      <c r="B36" s="29"/>
      <c r="C36" s="29"/>
      <c r="D36" s="36" t="s">
        <v>69</v>
      </c>
      <c r="E36" s="29"/>
    </row>
    <row r="37" spans="1:5">
      <c r="A37" s="36" t="s">
        <v>71</v>
      </c>
      <c r="B37" s="29"/>
      <c r="D37" s="36" t="s">
        <v>71</v>
      </c>
      <c r="E37" s="29"/>
    </row>
    <row r="38" spans="1:4">
      <c r="A38" s="29"/>
      <c r="B38" s="29"/>
      <c r="D38" s="36" t="s">
        <v>90</v>
      </c>
    </row>
    <row r="39" spans="1:1">
      <c r="A39"/>
    </row>
    <row r="40" spans="1:1">
      <c r="A40"/>
    </row>
  </sheetData>
  <pageMargins left="0.75" right="0.75" top="1" bottom="1" header="0.5" footer="0.5"/>
  <pageSetup paperSize="1" orientation="portrait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"/>
  <sheetViews>
    <sheetView workbookViewId="0">
      <selection activeCell="I48" sqref="I48"/>
    </sheetView>
  </sheetViews>
  <sheetFormatPr defaultColWidth="9" defaultRowHeight="13.2" outlineLevelRow="3" outlineLevelCol="1"/>
  <cols>
    <col min="1" max="1" width="2" customWidth="1"/>
  </cols>
  <sheetData>
    <row r="2" spans="1:2">
      <c r="A2">
        <v>1</v>
      </c>
      <c r="B2" t="s">
        <v>3715</v>
      </c>
    </row>
    <row r="3" spans="1:2">
      <c r="A3">
        <v>2</v>
      </c>
      <c r="B3" t="s">
        <v>3716</v>
      </c>
    </row>
    <row r="4" spans="1:2">
      <c r="A4">
        <v>3</v>
      </c>
      <c r="B4" t="s">
        <v>3717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K80"/>
  <sheetViews>
    <sheetView zoomScale="90" zoomScaleNormal="90" topLeftCell="N1" workbookViewId="0">
      <selection activeCell="X54" sqref="X54"/>
    </sheetView>
  </sheetViews>
  <sheetFormatPr defaultColWidth="9" defaultRowHeight="13.2"/>
  <cols>
    <col min="1" max="1" width="1" customWidth="1"/>
    <col min="2" max="2" width="3.28703703703704" customWidth="1"/>
    <col min="3" max="3" width="14.1388888888889" customWidth="1"/>
    <col min="4" max="4" width="3.28703703703704" customWidth="1"/>
    <col min="5" max="5" width="3.28703703703704" style="31" customWidth="1"/>
    <col min="6" max="6" width="23.287037037037" customWidth="1"/>
    <col min="7" max="7" width="12" customWidth="1"/>
    <col min="8" max="8" width="15.712962962963" customWidth="1"/>
    <col min="10" max="10" width="15.287037037037" style="419" customWidth="1"/>
    <col min="11" max="11" width="11" style="31" customWidth="1"/>
    <col min="12" max="12" width="21.8518518518519" style="419" customWidth="1"/>
    <col min="13" max="13" width="12.5740740740741" style="31" customWidth="1"/>
    <col min="14" max="14" width="16" customWidth="1"/>
    <col min="16" max="16" width="20" style="419" customWidth="1"/>
    <col min="17" max="17" width="11" style="31" customWidth="1"/>
    <col min="18" max="18" width="21.8518518518519" style="419" customWidth="1"/>
    <col min="19" max="19" width="14.4259259259259" style="31" customWidth="1"/>
    <col min="20" max="20" width="11.287037037037" customWidth="1"/>
    <col min="22" max="22" width="16.4259259259259" customWidth="1"/>
    <col min="23" max="23" width="14" customWidth="1"/>
    <col min="24" max="24" width="21.287037037037" style="420" customWidth="1"/>
    <col min="25" max="25" width="11.287037037037" style="421" customWidth="1"/>
    <col min="26" max="26" width="18.287037037037" customWidth="1"/>
    <col min="28" max="28" width="10.5740740740741" style="67" customWidth="1"/>
    <col min="29" max="29" width="10.287037037037" style="67" customWidth="1"/>
    <col min="30" max="30" width="19.712962962963" style="15" customWidth="1"/>
    <col min="31" max="31" width="12.8518518518519" style="15" customWidth="1"/>
    <col min="32" max="32" width="25.8518518518519" customWidth="1"/>
    <col min="34" max="34" width="12" customWidth="1"/>
    <col min="35" max="35" width="6.71296296296296" customWidth="1"/>
    <col min="36" max="36" width="18.5740740740741" style="422" customWidth="1"/>
    <col min="37" max="37" width="9.28703703703704" style="422" customWidth="1"/>
    <col min="38" max="38" width="16.5740740740741" customWidth="1"/>
    <col min="39" max="39" width="12.1388888888889" style="423" customWidth="1"/>
    <col min="40" max="40" width="13.8518518518519" style="424" customWidth="1"/>
    <col min="41" max="41" width="10.4259259259259" style="424" customWidth="1"/>
    <col min="42" max="42" width="25.8518518518519" style="53" customWidth="1"/>
    <col min="43" max="43" width="11" style="53" customWidth="1"/>
    <col min="44" max="44" width="17" customWidth="1"/>
    <col min="45" max="45" width="12.1388888888889" style="423" customWidth="1"/>
    <col min="46" max="47" width="1.71296296296296" customWidth="1"/>
    <col min="48" max="48" width="21.287037037037" customWidth="1"/>
    <col min="49" max="49" width="8.57407407407407" customWidth="1"/>
    <col min="50" max="50" width="26.712962962963" customWidth="1"/>
    <col min="51" max="51" width="14.712962962963" style="425" customWidth="1"/>
    <col min="52" max="52" width="9.57407407407407" customWidth="1"/>
    <col min="53" max="53" width="1.57407407407407" style="29" customWidth="1"/>
    <col min="54" max="54" width="32.5740740740741" customWidth="1"/>
    <col min="55" max="55" width="14.5740740740741" style="425" customWidth="1"/>
    <col min="56" max="56" width="9.57407407407407" customWidth="1"/>
  </cols>
  <sheetData>
    <row r="1" spans="2:56">
      <c r="B1" s="1" t="s">
        <v>91</v>
      </c>
      <c r="C1" s="1"/>
      <c r="D1" s="587" t="s">
        <v>92</v>
      </c>
      <c r="E1" s="1"/>
      <c r="F1" s="587" t="s">
        <v>93</v>
      </c>
      <c r="G1" s="1"/>
      <c r="H1" s="13" t="s">
        <v>94</v>
      </c>
      <c r="I1" s="13"/>
      <c r="J1" s="588" t="s">
        <v>92</v>
      </c>
      <c r="K1" s="426"/>
      <c r="L1" s="589" t="s">
        <v>95</v>
      </c>
      <c r="M1" s="427"/>
      <c r="N1" s="13" t="s">
        <v>96</v>
      </c>
      <c r="O1" s="13"/>
      <c r="P1" s="588" t="s">
        <v>97</v>
      </c>
      <c r="Q1" s="426"/>
      <c r="R1" s="589" t="s">
        <v>98</v>
      </c>
      <c r="S1" s="427"/>
      <c r="T1" s="367" t="s">
        <v>99</v>
      </c>
      <c r="U1" s="367"/>
      <c r="V1" s="588" t="s">
        <v>92</v>
      </c>
      <c r="W1" s="426"/>
      <c r="X1" s="590" t="s">
        <v>100</v>
      </c>
      <c r="Y1" s="455"/>
      <c r="Z1" s="367" t="s">
        <v>101</v>
      </c>
      <c r="AA1" s="367"/>
      <c r="AB1" s="591" t="s">
        <v>92</v>
      </c>
      <c r="AC1" s="493"/>
      <c r="AD1" s="592" t="s">
        <v>100</v>
      </c>
      <c r="AE1" s="350"/>
      <c r="AF1" s="367" t="s">
        <v>102</v>
      </c>
      <c r="AG1" s="367"/>
      <c r="AH1" s="591" t="s">
        <v>92</v>
      </c>
      <c r="AI1" s="493"/>
      <c r="AJ1" s="590" t="s">
        <v>103</v>
      </c>
      <c r="AK1" s="455"/>
      <c r="AL1" s="367" t="s">
        <v>104</v>
      </c>
      <c r="AM1" s="367"/>
      <c r="AN1" s="593" t="s">
        <v>92</v>
      </c>
      <c r="AO1" s="46"/>
      <c r="AP1" s="594" t="s">
        <v>105</v>
      </c>
      <c r="AQ1" s="47"/>
      <c r="AR1" s="367" t="s">
        <v>106</v>
      </c>
      <c r="AS1" s="367"/>
      <c r="AV1" s="594" t="s">
        <v>107</v>
      </c>
      <c r="AW1" s="47"/>
      <c r="AX1" s="530" t="s">
        <v>108</v>
      </c>
      <c r="AY1" s="530"/>
      <c r="AZ1" s="530"/>
      <c r="BA1" s="367"/>
      <c r="BB1" s="531">
        <v>42942</v>
      </c>
      <c r="BC1" s="532"/>
      <c r="BD1" s="532"/>
    </row>
    <row r="2" ht="3.75" customHeight="1" spans="8:21">
      <c r="H2" s="9"/>
      <c r="I2" s="9"/>
      <c r="N2" s="9"/>
      <c r="O2" s="9"/>
      <c r="T2" s="29"/>
      <c r="U2" s="29"/>
    </row>
    <row r="3" spans="2:55">
      <c r="B3" t="s">
        <v>109</v>
      </c>
      <c r="C3">
        <f>10194+8000-11581.19</f>
        <v>6612.81</v>
      </c>
      <c r="D3" s="595" t="s">
        <v>110</v>
      </c>
      <c r="E3" s="31">
        <f>SUM(E16:E29)</f>
        <v>73924.57</v>
      </c>
      <c r="F3" t="s">
        <v>111</v>
      </c>
      <c r="G3">
        <f>SUM(C3:C17)-I3+SUM(E3:E11)</f>
        <v>80408.47004</v>
      </c>
      <c r="H3" s="9" t="s">
        <v>112</v>
      </c>
      <c r="I3" s="9">
        <f>SUM(I5:I12)</f>
        <v>17763</v>
      </c>
      <c r="J3" s="419" t="s">
        <v>113</v>
      </c>
      <c r="K3" s="31">
        <f>SUM(K6:K22)</f>
        <v>31152.00012</v>
      </c>
      <c r="L3" s="419" t="s">
        <v>114</v>
      </c>
      <c r="M3" s="31">
        <f>I3-O3+K3</f>
        <v>30244.00012</v>
      </c>
      <c r="N3" s="9" t="s">
        <v>115</v>
      </c>
      <c r="O3" s="9">
        <f>SUM(O5:O13)</f>
        <v>18671</v>
      </c>
      <c r="P3" s="419" t="s">
        <v>113</v>
      </c>
      <c r="Q3" s="31">
        <f>SUM(Q5:Q50)</f>
        <v>95870.24022</v>
      </c>
      <c r="R3" s="419" t="s">
        <v>116</v>
      </c>
      <c r="S3" s="31">
        <f>O3-U3+Q3</f>
        <v>104184.24931</v>
      </c>
      <c r="T3" s="29" t="s">
        <v>117</v>
      </c>
      <c r="U3" s="29">
        <f>SUM(U8:U20)</f>
        <v>10356.99091</v>
      </c>
      <c r="V3" s="419" t="s">
        <v>113</v>
      </c>
      <c r="W3">
        <f>SUM(W4:W35)</f>
        <v>175871.98</v>
      </c>
      <c r="X3" s="456" t="s">
        <v>116</v>
      </c>
      <c r="Y3" s="421">
        <f>U3-AA3+W3</f>
        <v>109463.96991</v>
      </c>
      <c r="Z3" s="29" t="s">
        <v>115</v>
      </c>
      <c r="AA3" s="29">
        <f>SUM(AA8:AA18)</f>
        <v>76765.001</v>
      </c>
      <c r="AB3" s="67" t="s">
        <v>113</v>
      </c>
      <c r="AC3" s="67">
        <f>SUM(AC5:AC40)</f>
        <v>174748.491</v>
      </c>
      <c r="AD3" s="456" t="s">
        <v>116</v>
      </c>
      <c r="AE3" s="422">
        <f>AC3+AA3-AG3</f>
        <v>223990.4921</v>
      </c>
      <c r="AF3" s="29" t="s">
        <v>115</v>
      </c>
      <c r="AG3" s="29">
        <f>SUM(AG8:AG16)</f>
        <v>27522.9999</v>
      </c>
      <c r="AH3" s="67" t="s">
        <v>113</v>
      </c>
      <c r="AI3" s="67">
        <f>SUM(AI5:AI40)</f>
        <v>25592</v>
      </c>
      <c r="AJ3" s="456" t="s">
        <v>116</v>
      </c>
      <c r="AK3" s="422">
        <f>AI3+AG3-AM3</f>
        <v>30952.99991</v>
      </c>
      <c r="AL3" s="29" t="s">
        <v>118</v>
      </c>
      <c r="AM3" s="514">
        <f>SUM(AM8:AM20)</f>
        <v>22161.99999</v>
      </c>
      <c r="AN3" s="424" t="s">
        <v>113</v>
      </c>
      <c r="AO3" s="307">
        <f>SUM(AO5:AO40)</f>
        <v>119737.7</v>
      </c>
      <c r="AP3" s="50" t="s">
        <v>116</v>
      </c>
      <c r="AQ3" s="51">
        <f>AO3+AM3-AS3</f>
        <v>102094.64899</v>
      </c>
      <c r="AR3" s="29" t="s">
        <v>119</v>
      </c>
      <c r="AS3" s="514">
        <f>SUM(AS6:AS28)</f>
        <v>39805.051</v>
      </c>
      <c r="AX3" s="29" t="s">
        <v>119</v>
      </c>
      <c r="AY3" s="425">
        <f>SUM(AY6:AY20)</f>
        <v>160501.326</v>
      </c>
      <c r="BB3" s="29" t="s">
        <v>115</v>
      </c>
      <c r="BC3" s="425">
        <f>SUM(BC6:BC23)</f>
        <v>118958.001</v>
      </c>
    </row>
    <row r="4" ht="12.75" customHeight="1" spans="2:55">
      <c r="B4" t="s">
        <v>120</v>
      </c>
      <c r="C4">
        <v>720</v>
      </c>
      <c r="D4" t="s">
        <v>121</v>
      </c>
      <c r="H4" s="9"/>
      <c r="I4" s="9"/>
      <c r="L4" s="419" t="s">
        <v>122</v>
      </c>
      <c r="M4" s="31">
        <f>SUM(M8:M35)</f>
        <v>29666.80033</v>
      </c>
      <c r="N4" s="9"/>
      <c r="O4" s="9"/>
      <c r="R4" s="419" t="s">
        <v>123</v>
      </c>
      <c r="S4" s="31">
        <f>S3-S5</f>
        <v>33.7270799999387</v>
      </c>
      <c r="T4" s="457" t="s">
        <v>124</v>
      </c>
      <c r="U4" s="457"/>
      <c r="X4" s="456" t="s">
        <v>123</v>
      </c>
      <c r="Y4" s="494">
        <f>Y3-Y6</f>
        <v>4.96690999995917</v>
      </c>
      <c r="Z4" s="457" t="s">
        <v>125</v>
      </c>
      <c r="AA4" s="457"/>
      <c r="AD4" s="422" t="s">
        <v>123</v>
      </c>
      <c r="AE4" s="422">
        <f>AE3-AE5</f>
        <v>-52.5268999998516</v>
      </c>
      <c r="AF4" s="457" t="s">
        <v>125</v>
      </c>
      <c r="AG4" s="457"/>
      <c r="AH4" s="67"/>
      <c r="AI4" s="67"/>
      <c r="AJ4" s="422" t="s">
        <v>123</v>
      </c>
      <c r="AK4" s="422">
        <f>AK3-AK5</f>
        <v>94.9889099999928</v>
      </c>
      <c r="AL4" s="457" t="s">
        <v>125</v>
      </c>
      <c r="AM4" s="457"/>
      <c r="AP4" s="53" t="s">
        <v>123</v>
      </c>
      <c r="AQ4" s="51">
        <f>AQ3-AQ5</f>
        <v>33.8419899999426</v>
      </c>
      <c r="AR4" s="457" t="s">
        <v>125</v>
      </c>
      <c r="AS4" s="457"/>
      <c r="AX4" s="457" t="s">
        <v>126</v>
      </c>
      <c r="AY4" s="457"/>
      <c r="BB4" s="457" t="s">
        <v>127</v>
      </c>
      <c r="BC4" s="457"/>
    </row>
    <row r="5" ht="39" customHeight="1" spans="2:63">
      <c r="B5" t="s">
        <v>128</v>
      </c>
      <c r="C5" s="31">
        <v>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96" t="s">
        <v>110</v>
      </c>
      <c r="N5" s="9" t="s">
        <v>109</v>
      </c>
      <c r="O5" s="9">
        <f>3965+2865+199</f>
        <v>7029</v>
      </c>
      <c r="P5" s="419" t="s">
        <v>130</v>
      </c>
      <c r="Q5" s="31">
        <v>25000</v>
      </c>
      <c r="R5" s="429" t="s">
        <v>131</v>
      </c>
      <c r="S5" s="31">
        <f>SUM(S15:S55)</f>
        <v>104150.52223</v>
      </c>
      <c r="T5" s="457"/>
      <c r="U5" s="457"/>
      <c r="V5" s="359" t="s">
        <v>132</v>
      </c>
      <c r="W5">
        <v>2050</v>
      </c>
      <c r="X5" s="429"/>
      <c r="Z5" s="457"/>
      <c r="AA5" s="457"/>
      <c r="AB5" s="67" t="s">
        <v>133</v>
      </c>
      <c r="AC5" s="67">
        <v>2550</v>
      </c>
      <c r="AD5" s="422" t="s">
        <v>134</v>
      </c>
      <c r="AE5" s="495">
        <f>SUM(AE11:AE55)</f>
        <v>224043.019</v>
      </c>
      <c r="AF5" s="457"/>
      <c r="AG5" s="457"/>
      <c r="AH5" s="67"/>
      <c r="AI5" s="67"/>
      <c r="AJ5" s="422" t="s">
        <v>134</v>
      </c>
      <c r="AK5" s="495">
        <f>SUM(AK11:AK59)</f>
        <v>30858.011</v>
      </c>
      <c r="AL5" s="457"/>
      <c r="AM5" s="457"/>
      <c r="AN5" s="424" t="s">
        <v>135</v>
      </c>
      <c r="AO5" s="424">
        <v>800</v>
      </c>
      <c r="AP5" s="53" t="s">
        <v>134</v>
      </c>
      <c r="AQ5" s="51">
        <f>SUM(AQ11:AQ82)</f>
        <v>102060.807</v>
      </c>
      <c r="AR5" s="457"/>
      <c r="AS5" s="457"/>
      <c r="AX5" s="457"/>
      <c r="AY5" s="457"/>
      <c r="BB5" s="457"/>
      <c r="BC5" s="457"/>
      <c r="BD5" s="533" t="s">
        <v>136</v>
      </c>
      <c r="BE5" s="533"/>
      <c r="BF5" s="533"/>
      <c r="BG5" s="533"/>
      <c r="BH5" s="533"/>
      <c r="BI5" s="533"/>
      <c r="BJ5" s="533"/>
      <c r="BK5" s="533"/>
    </row>
    <row r="6" ht="26.4" spans="2:56">
      <c r="B6" t="s">
        <v>137</v>
      </c>
      <c r="C6" s="31">
        <v>400.00001</v>
      </c>
      <c r="D6" s="595" t="s">
        <v>138</v>
      </c>
      <c r="E6" s="31">
        <v>0</v>
      </c>
      <c r="H6" s="9" t="s">
        <v>120</v>
      </c>
      <c r="I6" s="9">
        <f>2117+5403</f>
        <v>7520</v>
      </c>
      <c r="J6" s="419" t="s">
        <v>139</v>
      </c>
      <c r="K6" s="31">
        <f>140+118</f>
        <v>258</v>
      </c>
      <c r="L6" s="419" t="s">
        <v>140</v>
      </c>
      <c r="N6" s="9" t="s">
        <v>120</v>
      </c>
      <c r="O6" s="9">
        <f>907+9625</f>
        <v>10532</v>
      </c>
      <c r="P6" s="596" t="s">
        <v>141</v>
      </c>
      <c r="Q6" s="31">
        <v>0</v>
      </c>
      <c r="R6" s="458" t="s">
        <v>142</v>
      </c>
      <c r="S6" s="31">
        <f>SUM(S15:S40)</f>
        <v>90121.52</v>
      </c>
      <c r="T6" s="459"/>
      <c r="U6" s="459"/>
      <c r="V6" s="431" t="s">
        <v>143</v>
      </c>
      <c r="W6" s="460"/>
      <c r="X6" s="461" t="s">
        <v>144</v>
      </c>
      <c r="Y6" s="421">
        <f>SUM(Y12:Y60)</f>
        <v>109459.003</v>
      </c>
      <c r="AB6" s="67" t="s">
        <v>145</v>
      </c>
      <c r="AC6" s="67">
        <v>3000</v>
      </c>
      <c r="AD6" s="15" t="s">
        <v>146</v>
      </c>
      <c r="AH6" s="67" t="s">
        <v>145</v>
      </c>
      <c r="AI6" s="67">
        <v>0</v>
      </c>
      <c r="AN6" s="424" t="s">
        <v>145</v>
      </c>
      <c r="AO6" s="424">
        <f>600.01+900.01</f>
        <v>1500.02</v>
      </c>
      <c r="AP6" s="15" t="s">
        <v>147</v>
      </c>
      <c r="AQ6" s="51"/>
      <c r="AR6" t="s">
        <v>148</v>
      </c>
      <c r="AS6" s="423">
        <v>10600.32</v>
      </c>
      <c r="AX6" t="s">
        <v>148</v>
      </c>
      <c r="AY6" s="425">
        <v>10600.32</v>
      </c>
      <c r="BB6" t="s">
        <v>148</v>
      </c>
      <c r="BC6" s="425">
        <v>10600.001</v>
      </c>
      <c r="BD6" t="s">
        <v>149</v>
      </c>
    </row>
    <row r="7" ht="39.6" spans="2:56">
      <c r="B7" t="s">
        <v>150</v>
      </c>
      <c r="C7" s="31">
        <v>-500.00001</v>
      </c>
      <c r="D7" s="595" t="s">
        <v>151</v>
      </c>
      <c r="E7" s="31">
        <v>3000.00001</v>
      </c>
      <c r="F7" s="595" t="s">
        <v>152</v>
      </c>
      <c r="G7">
        <v>11551.18</v>
      </c>
      <c r="H7" s="9" t="s">
        <v>128</v>
      </c>
      <c r="I7" s="428">
        <v>811</v>
      </c>
      <c r="J7" s="419" t="s">
        <v>153</v>
      </c>
      <c r="K7" s="31">
        <v>51</v>
      </c>
      <c r="L7" s="429" t="s">
        <v>154</v>
      </c>
      <c r="M7" s="31">
        <f>M4-SUM(M8:M14)</f>
        <v>5118.80032</v>
      </c>
      <c r="N7" s="9" t="s">
        <v>128</v>
      </c>
      <c r="O7" s="428">
        <v>700</v>
      </c>
      <c r="P7" s="419" t="s">
        <v>155</v>
      </c>
      <c r="Q7" s="31">
        <v>80.00001</v>
      </c>
      <c r="R7" s="429" t="s">
        <v>154</v>
      </c>
      <c r="S7" s="31">
        <f>S5-S6</f>
        <v>14029.00223</v>
      </c>
      <c r="V7" s="435" t="s">
        <v>156</v>
      </c>
      <c r="W7" s="9">
        <v>12330.33</v>
      </c>
      <c r="X7" s="429" t="s">
        <v>154</v>
      </c>
      <c r="Y7" s="421">
        <f>SUM(Y21:Y60)</f>
        <v>27022.002</v>
      </c>
      <c r="AD7" s="429" t="s">
        <v>154</v>
      </c>
      <c r="AE7" s="496">
        <f>AE5-AE10-AE8</f>
        <v>30105.0169999998</v>
      </c>
      <c r="AH7" s="67"/>
      <c r="AI7" s="67"/>
      <c r="AJ7" s="429" t="s">
        <v>157</v>
      </c>
      <c r="AK7" s="496">
        <f>AK5-AK10-AK8</f>
        <v>9389.011</v>
      </c>
      <c r="AP7" s="429" t="s">
        <v>157</v>
      </c>
      <c r="AQ7" s="51">
        <f>AQ5-AQ10-AQ8</f>
        <v>27654.8060000001</v>
      </c>
      <c r="AR7" s="29" t="s">
        <v>158</v>
      </c>
      <c r="AS7" s="514">
        <f>1249+3166+705</f>
        <v>5120</v>
      </c>
      <c r="AX7" s="29" t="s">
        <v>158</v>
      </c>
      <c r="AY7" s="425">
        <v>2000.001</v>
      </c>
      <c r="BB7" s="29" t="s">
        <v>158</v>
      </c>
      <c r="BC7" s="425">
        <v>3400</v>
      </c>
      <c r="BD7" t="s">
        <v>159</v>
      </c>
    </row>
    <row r="8" ht="26.4" spans="4:55">
      <c r="D8" s="595" t="s">
        <v>160</v>
      </c>
      <c r="E8" s="31">
        <v>1e-5</v>
      </c>
      <c r="F8" s="595" t="s">
        <v>161</v>
      </c>
      <c r="G8">
        <f>2750*7+0.00001</f>
        <v>19250.00001</v>
      </c>
      <c r="H8" s="9" t="s">
        <v>137</v>
      </c>
      <c r="I8" s="428">
        <v>573</v>
      </c>
      <c r="L8" s="596" t="s">
        <v>152</v>
      </c>
      <c r="M8" s="31">
        <v>80.00001</v>
      </c>
      <c r="N8" s="9" t="s">
        <v>137</v>
      </c>
      <c r="O8" s="428">
        <v>620</v>
      </c>
      <c r="P8" s="419" t="s">
        <v>162</v>
      </c>
      <c r="Q8" s="31">
        <v>80.00001</v>
      </c>
      <c r="R8" s="462" t="s">
        <v>163</v>
      </c>
      <c r="S8" s="31">
        <f>SUM(S39:S40)</f>
        <v>22624.43</v>
      </c>
      <c r="T8" s="29" t="s">
        <v>109</v>
      </c>
      <c r="U8" s="29">
        <v>3100.001</v>
      </c>
      <c r="V8" s="435" t="s">
        <v>164</v>
      </c>
      <c r="W8" s="9">
        <v>12330.33</v>
      </c>
      <c r="X8" s="463" t="s">
        <v>165</v>
      </c>
      <c r="Z8" s="29" t="s">
        <v>166</v>
      </c>
      <c r="AA8" s="29">
        <v>3500.001</v>
      </c>
      <c r="AB8" s="497" t="s">
        <v>167</v>
      </c>
      <c r="AC8" s="498"/>
      <c r="AD8" s="499" t="s">
        <v>168</v>
      </c>
      <c r="AE8" s="499">
        <f>SUM(AE20:AE21)</f>
        <v>16721</v>
      </c>
      <c r="AF8" s="29" t="s">
        <v>158</v>
      </c>
      <c r="AG8" s="29">
        <f>3173+6258</f>
        <v>9431</v>
      </c>
      <c r="AH8" s="497" t="s">
        <v>169</v>
      </c>
      <c r="AI8" s="498"/>
      <c r="AJ8" s="499" t="s">
        <v>170</v>
      </c>
      <c r="AK8" s="422">
        <f>AK19</f>
        <v>1164</v>
      </c>
      <c r="AL8" s="29" t="s">
        <v>158</v>
      </c>
      <c r="AM8" s="514">
        <f>2482+4194</f>
        <v>6676</v>
      </c>
      <c r="AN8" s="597" t="s">
        <v>171</v>
      </c>
      <c r="AP8" s="525" t="s">
        <v>172</v>
      </c>
      <c r="AQ8" s="51">
        <f>AQ19</f>
        <v>2506</v>
      </c>
      <c r="AR8" s="407" t="s">
        <v>173</v>
      </c>
      <c r="AS8" s="519"/>
      <c r="AX8" t="s">
        <v>174</v>
      </c>
      <c r="AY8" s="425">
        <v>22000.001</v>
      </c>
      <c r="BB8" t="s">
        <v>174</v>
      </c>
      <c r="BC8" s="425">
        <v>9000</v>
      </c>
    </row>
    <row r="9" ht="26.4" spans="4:45">
      <c r="D9" s="595" t="s">
        <v>175</v>
      </c>
      <c r="E9" s="31">
        <v>1e-5</v>
      </c>
      <c r="F9" s="595" t="s">
        <v>176</v>
      </c>
      <c r="H9" s="9" t="s">
        <v>150</v>
      </c>
      <c r="I9" s="428"/>
      <c r="L9" s="596" t="s">
        <v>177</v>
      </c>
      <c r="M9" s="31">
        <f>2734*2</f>
        <v>5468</v>
      </c>
      <c r="N9" s="9" t="s">
        <v>178</v>
      </c>
      <c r="O9" s="428"/>
      <c r="P9" s="596" t="s">
        <v>179</v>
      </c>
      <c r="Q9" s="31">
        <v>100.0001</v>
      </c>
      <c r="R9" s="419" t="s">
        <v>180</v>
      </c>
      <c r="S9" s="464">
        <f>SUM(S15:S17)</f>
        <v>33600</v>
      </c>
      <c r="T9" s="29" t="s">
        <v>120</v>
      </c>
      <c r="U9" s="29">
        <f>1622+5333</f>
        <v>6955</v>
      </c>
      <c r="V9" s="435" t="s">
        <v>181</v>
      </c>
      <c r="W9" s="9">
        <v>14873.93</v>
      </c>
      <c r="X9" s="456" t="s">
        <v>182</v>
      </c>
      <c r="Y9" s="421">
        <f>SUM(Y12:Y17)</f>
        <v>75135.001</v>
      </c>
      <c r="Z9" s="438" t="s">
        <v>183</v>
      </c>
      <c r="AA9" s="29">
        <f>68000+4000+770-0*30000</f>
        <v>72770</v>
      </c>
      <c r="AB9" s="500" t="s">
        <v>184</v>
      </c>
      <c r="AC9" s="501">
        <v>12618</v>
      </c>
      <c r="AD9" s="422"/>
      <c r="AE9" s="422"/>
      <c r="AF9" s="438" t="s">
        <v>173</v>
      </c>
      <c r="AG9" s="29">
        <f>1517+11990+1465</f>
        <v>14972</v>
      </c>
      <c r="AH9" s="500" t="s">
        <v>185</v>
      </c>
      <c r="AI9" s="501">
        <v>12230</v>
      </c>
      <c r="AL9" s="438" t="s">
        <v>173</v>
      </c>
      <c r="AM9" s="514"/>
      <c r="AN9" s="515" t="s">
        <v>186</v>
      </c>
      <c r="AO9" s="515">
        <v>6667</v>
      </c>
      <c r="AR9" s="407" t="s">
        <v>187</v>
      </c>
      <c r="AS9" s="519">
        <f>1752</f>
        <v>1752</v>
      </c>
    </row>
    <row r="10" spans="2:45">
      <c r="B10" t="s">
        <v>188</v>
      </c>
      <c r="F10" s="595" t="s">
        <v>189</v>
      </c>
      <c r="G10" s="375">
        <v>10000</v>
      </c>
      <c r="H10" s="9" t="s">
        <v>190</v>
      </c>
      <c r="I10" s="428">
        <v>-414</v>
      </c>
      <c r="L10" s="596" t="s">
        <v>176</v>
      </c>
      <c r="N10" s="9" t="s">
        <v>190</v>
      </c>
      <c r="O10" s="428">
        <v>-260</v>
      </c>
      <c r="R10" s="419" t="s">
        <v>191</v>
      </c>
      <c r="S10" s="465">
        <f>SUM(S18:S38)</f>
        <v>33897.09</v>
      </c>
      <c r="T10" s="29" t="s">
        <v>128</v>
      </c>
      <c r="U10" s="466">
        <v>1031</v>
      </c>
      <c r="V10" s="435" t="s">
        <v>185</v>
      </c>
      <c r="W10" s="9">
        <v>31314.41</v>
      </c>
      <c r="X10" s="467" t="s">
        <v>192</v>
      </c>
      <c r="Y10" s="502">
        <f>Y19+Y20</f>
        <v>7302</v>
      </c>
      <c r="Z10" s="29" t="s">
        <v>128</v>
      </c>
      <c r="AA10" s="466">
        <v>687</v>
      </c>
      <c r="AB10" s="500" t="s">
        <v>193</v>
      </c>
      <c r="AC10" s="501">
        <v>12330.33</v>
      </c>
      <c r="AD10" s="503" t="s">
        <v>194</v>
      </c>
      <c r="AE10" s="503">
        <f>SUM(AE11:AE18)</f>
        <v>177217.002</v>
      </c>
      <c r="AF10" s="29" t="s">
        <v>128</v>
      </c>
      <c r="AG10" s="466">
        <v>1967</v>
      </c>
      <c r="AH10" s="500" t="s">
        <v>195</v>
      </c>
      <c r="AI10" s="501">
        <v>12330</v>
      </c>
      <c r="AJ10" s="503" t="s">
        <v>194</v>
      </c>
      <c r="AK10" s="503">
        <f>SUM(AK11:AK17)</f>
        <v>20305</v>
      </c>
      <c r="AL10" s="438" t="s">
        <v>187</v>
      </c>
      <c r="AM10" s="514">
        <f>1290</f>
        <v>1290</v>
      </c>
      <c r="AN10" s="516" t="s">
        <v>181</v>
      </c>
      <c r="AO10" s="515">
        <v>12330.33</v>
      </c>
      <c r="AP10" s="526" t="s">
        <v>194</v>
      </c>
      <c r="AQ10" s="526">
        <f>SUM(AQ11:AQ17)</f>
        <v>71900.001</v>
      </c>
      <c r="AR10" s="407" t="s">
        <v>196</v>
      </c>
      <c r="AS10" s="519">
        <v>5623</v>
      </c>
    </row>
    <row r="11" ht="26.4" spans="2:45">
      <c r="B11" t="s">
        <v>197</v>
      </c>
      <c r="F11" t="s">
        <v>198</v>
      </c>
      <c r="G11">
        <v>2400</v>
      </c>
      <c r="H11" s="9" t="s">
        <v>199</v>
      </c>
      <c r="I11" s="428">
        <v>-16</v>
      </c>
      <c r="J11" s="596" t="s">
        <v>200</v>
      </c>
      <c r="K11" s="31">
        <f>1266+1275</f>
        <v>2541</v>
      </c>
      <c r="L11" s="419" t="s">
        <v>201</v>
      </c>
      <c r="M11" s="31">
        <v>1600</v>
      </c>
      <c r="N11" s="385" t="s">
        <v>202</v>
      </c>
      <c r="O11" s="430">
        <v>50</v>
      </c>
      <c r="P11" s="431" t="s">
        <v>203</v>
      </c>
      <c r="Q11" s="460"/>
      <c r="R11" s="468" t="s">
        <v>204</v>
      </c>
      <c r="S11" s="31">
        <f>SUM(S39:S55)</f>
        <v>36653.43223</v>
      </c>
      <c r="T11" s="376" t="s">
        <v>137</v>
      </c>
      <c r="U11" s="460">
        <v>347</v>
      </c>
      <c r="V11" s="469" t="s">
        <v>205</v>
      </c>
      <c r="W11" s="9">
        <v>12480</v>
      </c>
      <c r="Z11" s="29" t="s">
        <v>137</v>
      </c>
      <c r="AA11" s="466">
        <v>4235</v>
      </c>
      <c r="AB11" s="500" t="s">
        <v>206</v>
      </c>
      <c r="AC11" s="501">
        <v>12330.33</v>
      </c>
      <c r="AD11" s="598" t="s">
        <v>207</v>
      </c>
      <c r="AE11" s="503">
        <f>50000+40388</f>
        <v>90388</v>
      </c>
      <c r="AF11" s="29" t="s">
        <v>137</v>
      </c>
      <c r="AG11" s="466">
        <v>1370</v>
      </c>
      <c r="AH11" s="500"/>
      <c r="AI11" s="501"/>
      <c r="AJ11" s="598" t="s">
        <v>208</v>
      </c>
      <c r="AK11" s="503">
        <v>0</v>
      </c>
      <c r="AL11" s="438" t="s">
        <v>209</v>
      </c>
      <c r="AM11" s="514">
        <v>11034</v>
      </c>
      <c r="AN11" s="516" t="s">
        <v>164</v>
      </c>
      <c r="AO11" s="515">
        <v>12460.33</v>
      </c>
      <c r="AP11" s="526" t="s">
        <v>210</v>
      </c>
      <c r="AQ11" s="526">
        <v>10000</v>
      </c>
      <c r="AR11" s="407" t="s">
        <v>211</v>
      </c>
      <c r="AS11" s="519">
        <v>1056</v>
      </c>
    </row>
    <row r="12" ht="39.6" spans="2:45">
      <c r="B12" t="s">
        <v>212</v>
      </c>
      <c r="F12" s="595" t="s">
        <v>213</v>
      </c>
      <c r="G12">
        <v>3600</v>
      </c>
      <c r="H12" s="9" t="s">
        <v>214</v>
      </c>
      <c r="I12" s="428">
        <v>69</v>
      </c>
      <c r="J12" s="596" t="s">
        <v>215</v>
      </c>
      <c r="K12" s="31">
        <v>1200.0001</v>
      </c>
      <c r="L12" s="419" t="s">
        <v>216</v>
      </c>
      <c r="M12" s="31">
        <v>10000</v>
      </c>
      <c r="N12" s="432"/>
      <c r="O12" s="433"/>
      <c r="P12" s="434" t="s">
        <v>206</v>
      </c>
      <c r="Q12" s="470">
        <v>12332</v>
      </c>
      <c r="R12" s="419" t="s">
        <v>217</v>
      </c>
      <c r="S12" s="471">
        <f>S11/SUM(Q12:Q15)</f>
        <v>0.743115567066742</v>
      </c>
      <c r="T12" s="378" t="s">
        <v>218</v>
      </c>
      <c r="U12" s="470"/>
      <c r="V12" s="437" t="s">
        <v>219</v>
      </c>
      <c r="W12" s="472">
        <v>440</v>
      </c>
      <c r="X12" s="599" t="s">
        <v>220</v>
      </c>
      <c r="Y12" s="504">
        <f>W5+5000</f>
        <v>7050</v>
      </c>
      <c r="Z12" s="505" t="s">
        <v>218</v>
      </c>
      <c r="AA12" s="428"/>
      <c r="AB12" s="500" t="s">
        <v>221</v>
      </c>
      <c r="AC12" s="501">
        <v>12330.33</v>
      </c>
      <c r="AD12" s="598" t="s">
        <v>222</v>
      </c>
      <c r="AE12" s="503">
        <v>2000.001</v>
      </c>
      <c r="AF12" s="505" t="s">
        <v>218</v>
      </c>
      <c r="AG12" s="428"/>
      <c r="AH12" s="517" t="s">
        <v>223</v>
      </c>
      <c r="AI12" s="501">
        <v>180</v>
      </c>
      <c r="AJ12" s="598" t="s">
        <v>224</v>
      </c>
      <c r="AK12" s="503">
        <v>10000</v>
      </c>
      <c r="AL12" s="438" t="s">
        <v>211</v>
      </c>
      <c r="AM12" s="514">
        <v>1465</v>
      </c>
      <c r="AN12" s="516" t="s">
        <v>156</v>
      </c>
      <c r="AO12" s="515">
        <v>12240.33</v>
      </c>
      <c r="AP12" s="526"/>
      <c r="AQ12" s="526"/>
      <c r="AR12" s="360" t="s">
        <v>225</v>
      </c>
      <c r="AS12" s="519">
        <v>1000</v>
      </c>
    </row>
    <row r="13" ht="26.4" spans="2:55">
      <c r="B13" t="s">
        <v>226</v>
      </c>
      <c r="F13" s="595" t="s">
        <v>227</v>
      </c>
      <c r="G13">
        <v>1300</v>
      </c>
      <c r="H13" s="9"/>
      <c r="I13" s="9"/>
      <c r="J13" s="419" t="s">
        <v>228</v>
      </c>
      <c r="K13" s="31">
        <v>403</v>
      </c>
      <c r="L13" s="596" t="s">
        <v>229</v>
      </c>
      <c r="M13" s="31">
        <f>1300*4+800*2</f>
        <v>6800</v>
      </c>
      <c r="N13" s="432"/>
      <c r="O13" s="433"/>
      <c r="P13" s="435" t="s">
        <v>221</v>
      </c>
      <c r="Q13" s="428">
        <v>12332</v>
      </c>
      <c r="T13" s="9" t="s">
        <v>230</v>
      </c>
      <c r="U13" s="428">
        <v>76</v>
      </c>
      <c r="X13" s="600" t="s">
        <v>231</v>
      </c>
      <c r="Y13" s="506">
        <v>11200.001</v>
      </c>
      <c r="Z13" s="505" t="s">
        <v>190</v>
      </c>
      <c r="AA13" s="428">
        <v>-611</v>
      </c>
      <c r="AB13" s="507" t="s">
        <v>232</v>
      </c>
      <c r="AC13" s="501">
        <v>12900</v>
      </c>
      <c r="AD13" s="598" t="s">
        <v>233</v>
      </c>
      <c r="AE13" s="503">
        <v>10100</v>
      </c>
      <c r="AF13" s="505" t="s">
        <v>190</v>
      </c>
      <c r="AG13" s="428">
        <v>-203</v>
      </c>
      <c r="AH13" s="507"/>
      <c r="AI13" s="501"/>
      <c r="AJ13" s="598" t="s">
        <v>234</v>
      </c>
      <c r="AK13" s="503">
        <v>0</v>
      </c>
      <c r="AL13" s="438" t="s">
        <v>235</v>
      </c>
      <c r="AM13" s="514" t="s">
        <v>236</v>
      </c>
      <c r="AN13" s="518" t="s">
        <v>184</v>
      </c>
      <c r="AO13" s="515">
        <v>14750.69</v>
      </c>
      <c r="AP13" s="526" t="s">
        <v>237</v>
      </c>
      <c r="AQ13" s="526">
        <v>1500.001</v>
      </c>
      <c r="AR13" s="407" t="s">
        <v>238</v>
      </c>
      <c r="AS13" s="519" t="s">
        <v>236</v>
      </c>
      <c r="AX13" s="29" t="s">
        <v>128</v>
      </c>
      <c r="AY13" s="425">
        <v>1000.001</v>
      </c>
      <c r="BB13" s="29" t="s">
        <v>128</v>
      </c>
      <c r="BC13" s="425">
        <v>993</v>
      </c>
    </row>
    <row r="14" ht="26.4" spans="6:55">
      <c r="F14" s="595" t="s">
        <v>239</v>
      </c>
      <c r="G14">
        <v>2000.00001</v>
      </c>
      <c r="H14" s="9"/>
      <c r="I14" s="9"/>
      <c r="J14" s="596" t="s">
        <v>141</v>
      </c>
      <c r="K14" s="31">
        <v>300</v>
      </c>
      <c r="L14" s="596" t="s">
        <v>240</v>
      </c>
      <c r="M14" s="31">
        <f>200+400</f>
        <v>600</v>
      </c>
      <c r="N14" s="29"/>
      <c r="O14" s="29"/>
      <c r="P14" s="435" t="s">
        <v>232</v>
      </c>
      <c r="Q14" s="428">
        <v>12330</v>
      </c>
      <c r="T14" s="9" t="s">
        <v>202</v>
      </c>
      <c r="U14" s="428">
        <v>58</v>
      </c>
      <c r="X14" s="600" t="s">
        <v>240</v>
      </c>
      <c r="Y14" s="506">
        <f>300+500+500</f>
        <v>1300</v>
      </c>
      <c r="Z14" s="505" t="s">
        <v>199</v>
      </c>
      <c r="AA14" s="428">
        <v>-3751</v>
      </c>
      <c r="AB14" s="507" t="s">
        <v>241</v>
      </c>
      <c r="AC14" s="501">
        <v>12608</v>
      </c>
      <c r="AD14" s="598" t="s">
        <v>242</v>
      </c>
      <c r="AE14" s="503">
        <v>0</v>
      </c>
      <c r="AF14" s="505" t="s">
        <v>199</v>
      </c>
      <c r="AG14" s="428">
        <v>-307</v>
      </c>
      <c r="AH14" s="507"/>
      <c r="AI14" s="501"/>
      <c r="AJ14" s="598" t="s">
        <v>242</v>
      </c>
      <c r="AK14" s="503">
        <v>0</v>
      </c>
      <c r="AL14" s="29" t="s">
        <v>128</v>
      </c>
      <c r="AM14" s="514">
        <v>1970</v>
      </c>
      <c r="AN14" s="518" t="s">
        <v>223</v>
      </c>
      <c r="AO14" s="515" t="s">
        <v>243</v>
      </c>
      <c r="AP14" s="601" t="s">
        <v>244</v>
      </c>
      <c r="AQ14" s="526"/>
      <c r="AR14" s="29" t="s">
        <v>128</v>
      </c>
      <c r="AS14" s="514">
        <v>1010</v>
      </c>
      <c r="AX14" s="29" t="s">
        <v>137</v>
      </c>
      <c r="AY14" s="425">
        <v>1501</v>
      </c>
      <c r="BB14" s="29" t="s">
        <v>137</v>
      </c>
      <c r="BC14" s="425">
        <v>865</v>
      </c>
    </row>
    <row r="15" spans="4:55">
      <c r="D15" t="s">
        <v>245</v>
      </c>
      <c r="F15" s="595" t="s">
        <v>246</v>
      </c>
      <c r="G15">
        <v>1900</v>
      </c>
      <c r="H15" s="9" t="s">
        <v>188</v>
      </c>
      <c r="I15" s="9"/>
      <c r="J15" s="596" t="s">
        <v>160</v>
      </c>
      <c r="K15" s="31">
        <v>1500</v>
      </c>
      <c r="L15" s="596" t="s">
        <v>247</v>
      </c>
      <c r="M15" s="31">
        <v>160</v>
      </c>
      <c r="N15" s="36" t="s">
        <v>188</v>
      </c>
      <c r="O15" s="29"/>
      <c r="P15" s="436" t="s">
        <v>241</v>
      </c>
      <c r="Q15" s="430">
        <v>12330</v>
      </c>
      <c r="R15" s="458" t="s">
        <v>248</v>
      </c>
      <c r="S15" s="475">
        <f>3900+25000</f>
        <v>28900</v>
      </c>
      <c r="T15" s="9" t="s">
        <v>249</v>
      </c>
      <c r="U15" s="476">
        <v>-1200.01</v>
      </c>
      <c r="V15" s="602" t="s">
        <v>250</v>
      </c>
      <c r="W15">
        <v>2000</v>
      </c>
      <c r="X15" s="603" t="s">
        <v>251</v>
      </c>
      <c r="Y15" s="506">
        <v>15000</v>
      </c>
      <c r="Z15" s="505" t="s">
        <v>249</v>
      </c>
      <c r="AA15" s="428">
        <v>-249</v>
      </c>
      <c r="AB15" s="507" t="s">
        <v>252</v>
      </c>
      <c r="AC15" s="501">
        <v>12130</v>
      </c>
      <c r="AD15" s="598" t="s">
        <v>253</v>
      </c>
      <c r="AE15" s="503">
        <f>1300*3</f>
        <v>3900</v>
      </c>
      <c r="AF15" s="505" t="s">
        <v>254</v>
      </c>
      <c r="AG15" s="428">
        <v>303</v>
      </c>
      <c r="AH15" s="507"/>
      <c r="AI15" s="501"/>
      <c r="AJ15" s="598" t="s">
        <v>253</v>
      </c>
      <c r="AK15" s="503">
        <v>0</v>
      </c>
      <c r="AL15" s="29" t="s">
        <v>137</v>
      </c>
      <c r="AM15" s="514">
        <v>1450</v>
      </c>
      <c r="AP15" s="526"/>
      <c r="AQ15" s="526">
        <v>20100</v>
      </c>
      <c r="AR15" s="29" t="s">
        <v>137</v>
      </c>
      <c r="AS15" s="514">
        <v>14470.19</v>
      </c>
      <c r="AX15" t="s">
        <v>255</v>
      </c>
      <c r="AY15" s="425">
        <v>21000.001</v>
      </c>
      <c r="BB15" t="s">
        <v>256</v>
      </c>
      <c r="BC15" s="425">
        <f>9100+2100</f>
        <v>11200</v>
      </c>
    </row>
    <row r="16" spans="4:55">
      <c r="D16" t="s">
        <v>257</v>
      </c>
      <c r="E16" s="31">
        <v>9662.8</v>
      </c>
      <c r="F16" s="595" t="s">
        <v>258</v>
      </c>
      <c r="G16">
        <v>4000</v>
      </c>
      <c r="H16" s="9" t="s">
        <v>197</v>
      </c>
      <c r="I16" s="9"/>
      <c r="J16" s="596" t="s">
        <v>259</v>
      </c>
      <c r="K16" s="31">
        <v>105</v>
      </c>
      <c r="L16" s="596" t="s">
        <v>260</v>
      </c>
      <c r="M16" s="31">
        <v>380.0001</v>
      </c>
      <c r="N16" s="29" t="s">
        <v>197</v>
      </c>
      <c r="O16" s="29"/>
      <c r="P16" s="437"/>
      <c r="Q16" s="479"/>
      <c r="R16" s="604" t="s">
        <v>231</v>
      </c>
      <c r="S16" s="475">
        <f>3200</f>
        <v>3200</v>
      </c>
      <c r="T16" s="360" t="s">
        <v>261</v>
      </c>
      <c r="U16" s="9">
        <v>1e-5</v>
      </c>
      <c r="V16" s="595" t="s">
        <v>262</v>
      </c>
      <c r="W16">
        <f>1200+800</f>
        <v>2000</v>
      </c>
      <c r="X16" s="603" t="s">
        <v>263</v>
      </c>
      <c r="Y16" s="506">
        <v>40185</v>
      </c>
      <c r="Z16" s="508" t="s">
        <v>264</v>
      </c>
      <c r="AA16" s="9">
        <v>204</v>
      </c>
      <c r="AD16" s="598" t="s">
        <v>265</v>
      </c>
      <c r="AE16" s="503">
        <v>1000.001</v>
      </c>
      <c r="AF16" s="508" t="s">
        <v>266</v>
      </c>
      <c r="AG16" s="428">
        <v>-10.0001</v>
      </c>
      <c r="AH16" s="67"/>
      <c r="AI16" s="67"/>
      <c r="AJ16" s="598" t="s">
        <v>265</v>
      </c>
      <c r="AK16" s="503">
        <v>1000</v>
      </c>
      <c r="AL16" s="505" t="s">
        <v>218</v>
      </c>
      <c r="AM16" s="519"/>
      <c r="AN16" s="424" t="s">
        <v>267</v>
      </c>
      <c r="AO16" s="307">
        <v>11200</v>
      </c>
      <c r="AP16" s="526"/>
      <c r="AQ16" s="526">
        <v>40100</v>
      </c>
      <c r="AR16" s="9" t="s">
        <v>218</v>
      </c>
      <c r="AS16" s="519"/>
      <c r="AX16" t="s">
        <v>268</v>
      </c>
      <c r="AY16" s="425">
        <f>88800+33600.001</f>
        <v>122400.001</v>
      </c>
      <c r="BB16" t="s">
        <v>269</v>
      </c>
      <c r="BC16" s="425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19" t="s">
        <v>155</v>
      </c>
      <c r="K17" s="31">
        <v>80.00001</v>
      </c>
      <c r="L17" s="596" t="s">
        <v>271</v>
      </c>
      <c r="M17" s="31">
        <f>288.9*2</f>
        <v>577.8</v>
      </c>
      <c r="N17" s="29" t="s">
        <v>212</v>
      </c>
      <c r="O17" s="29"/>
      <c r="P17" s="419" t="s">
        <v>219</v>
      </c>
      <c r="R17" s="604" t="s">
        <v>240</v>
      </c>
      <c r="S17" s="475">
        <f>1500</f>
        <v>1500</v>
      </c>
      <c r="T17" s="360" t="s">
        <v>272</v>
      </c>
      <c r="U17" s="9">
        <v>-10.0001</v>
      </c>
      <c r="V17" s="595" t="s">
        <v>273</v>
      </c>
      <c r="W17">
        <v>289</v>
      </c>
      <c r="X17" s="603" t="s">
        <v>222</v>
      </c>
      <c r="Y17" s="509">
        <v>400</v>
      </c>
      <c r="Z17" s="508" t="s">
        <v>274</v>
      </c>
      <c r="AA17" s="9">
        <v>0.0001</v>
      </c>
      <c r="AD17" s="598" t="s">
        <v>275</v>
      </c>
      <c r="AE17" s="503">
        <v>2400</v>
      </c>
      <c r="AF17" t="s">
        <v>276</v>
      </c>
      <c r="AG17" s="29"/>
      <c r="AH17" s="67"/>
      <c r="AI17" s="67"/>
      <c r="AJ17" s="598" t="s">
        <v>277</v>
      </c>
      <c r="AK17" s="503">
        <f>602+702+8001</f>
        <v>9305</v>
      </c>
      <c r="AL17" s="505" t="s">
        <v>190</v>
      </c>
      <c r="AM17" s="519">
        <v>-1370</v>
      </c>
      <c r="AN17" s="424" t="s">
        <v>278</v>
      </c>
      <c r="AO17" s="424">
        <v>800</v>
      </c>
      <c r="AP17" s="526" t="s">
        <v>279</v>
      </c>
      <c r="AQ17" s="526">
        <v>200</v>
      </c>
      <c r="AR17" s="9" t="s">
        <v>190</v>
      </c>
      <c r="AS17" s="519">
        <v>-544.78</v>
      </c>
      <c r="AX17" t="s">
        <v>280</v>
      </c>
      <c r="AY17" s="425">
        <v>-40000</v>
      </c>
      <c r="BB17" t="s">
        <v>281</v>
      </c>
      <c r="BC17" s="425">
        <f>97700+21400</f>
        <v>119100</v>
      </c>
    </row>
    <row r="18" spans="4:55">
      <c r="D18" t="s">
        <v>282</v>
      </c>
      <c r="E18" s="31">
        <v>12440.32</v>
      </c>
      <c r="F18" s="595" t="s">
        <v>283</v>
      </c>
      <c r="G18">
        <v>1550.00001</v>
      </c>
      <c r="H18" s="9" t="s">
        <v>226</v>
      </c>
      <c r="I18" s="9"/>
      <c r="J18" s="419" t="s">
        <v>162</v>
      </c>
      <c r="K18" s="31">
        <v>50.00001</v>
      </c>
      <c r="L18" s="596" t="s">
        <v>284</v>
      </c>
      <c r="M18" s="31">
        <v>441</v>
      </c>
      <c r="N18" s="438" t="s">
        <v>226</v>
      </c>
      <c r="O18" s="29" t="s">
        <v>285</v>
      </c>
      <c r="P18" s="419" t="s">
        <v>286</v>
      </c>
      <c r="Q18" s="480">
        <f>56+33+139+40+133+48+34</f>
        <v>483</v>
      </c>
      <c r="R18" s="419" t="s">
        <v>287</v>
      </c>
      <c r="S18" s="465">
        <v>3000</v>
      </c>
      <c r="T18" s="9"/>
      <c r="U18" s="9"/>
      <c r="X18" s="481"/>
      <c r="Y18" s="510"/>
      <c r="Z18" s="505" t="s">
        <v>288</v>
      </c>
      <c r="AA18" s="9">
        <v>-20.0001</v>
      </c>
      <c r="AB18" s="67" t="s">
        <v>289</v>
      </c>
      <c r="AC18" s="67">
        <f>17000+28000</f>
        <v>45000</v>
      </c>
      <c r="AD18" s="598" t="s">
        <v>277</v>
      </c>
      <c r="AE18" s="503">
        <v>67429</v>
      </c>
      <c r="AF18" t="s">
        <v>290</v>
      </c>
      <c r="AG18" s="29"/>
      <c r="AH18" s="67" t="s">
        <v>289</v>
      </c>
      <c r="AI18" s="67">
        <v>0</v>
      </c>
      <c r="AL18" s="505" t="s">
        <v>199</v>
      </c>
      <c r="AM18" s="519">
        <v>-120</v>
      </c>
      <c r="AN18" s="424" t="s">
        <v>291</v>
      </c>
      <c r="AO18" s="424">
        <v>800</v>
      </c>
      <c r="AR18" s="9" t="s">
        <v>199</v>
      </c>
      <c r="AS18" s="519">
        <v>-255.15</v>
      </c>
      <c r="AX18" t="s">
        <v>292</v>
      </c>
      <c r="AY18" s="425">
        <v>10000.001</v>
      </c>
      <c r="BB18" t="s">
        <v>292</v>
      </c>
      <c r="BC18" s="425">
        <f>2200+1600</f>
        <v>3800</v>
      </c>
    </row>
    <row r="19" spans="4:55">
      <c r="D19" t="s">
        <v>293</v>
      </c>
      <c r="E19" s="31">
        <v>9956.79</v>
      </c>
      <c r="F19" s="595" t="s">
        <v>294</v>
      </c>
      <c r="G19">
        <v>500.00001</v>
      </c>
      <c r="H19" s="9"/>
      <c r="I19" s="9"/>
      <c r="L19" s="596" t="s">
        <v>295</v>
      </c>
      <c r="M19" s="31">
        <v>180</v>
      </c>
      <c r="N19" s="36" t="s">
        <v>296</v>
      </c>
      <c r="O19" s="29"/>
      <c r="P19" s="419" t="s">
        <v>297</v>
      </c>
      <c r="Q19" s="480">
        <f>105*2</f>
        <v>210</v>
      </c>
      <c r="R19" s="419" t="s">
        <v>298</v>
      </c>
      <c r="S19" s="465">
        <v>10100</v>
      </c>
      <c r="U19" s="29"/>
      <c r="X19" s="605" t="s">
        <v>299</v>
      </c>
      <c r="Y19" s="502">
        <f>567*6</f>
        <v>3402</v>
      </c>
      <c r="AA19" s="29"/>
      <c r="AD19" s="422"/>
      <c r="AE19" s="422"/>
      <c r="AF19" t="s">
        <v>300</v>
      </c>
      <c r="AH19" s="67"/>
      <c r="AI19" s="67"/>
      <c r="AJ19" s="606" t="s">
        <v>161</v>
      </c>
      <c r="AK19" s="58">
        <f>582*2</f>
        <v>1164</v>
      </c>
      <c r="AL19" s="505" t="s">
        <v>254</v>
      </c>
      <c r="AM19" s="519">
        <v>-223</v>
      </c>
      <c r="AP19" s="607" t="s">
        <v>161</v>
      </c>
      <c r="AQ19" s="71">
        <f>626.5*4</f>
        <v>2506</v>
      </c>
      <c r="AR19" s="9" t="s">
        <v>249</v>
      </c>
      <c r="AS19" s="519">
        <v>-84.53</v>
      </c>
      <c r="AV19" s="607" t="s">
        <v>161</v>
      </c>
      <c r="AX19" t="s">
        <v>301</v>
      </c>
      <c r="AY19" s="425">
        <v>0</v>
      </c>
      <c r="BB19" t="s">
        <v>301</v>
      </c>
      <c r="BC19" s="425">
        <v>0</v>
      </c>
    </row>
    <row r="20" spans="4:55">
      <c r="D20" t="s">
        <v>302</v>
      </c>
      <c r="E20" s="31">
        <v>9648.62</v>
      </c>
      <c r="F20" s="595" t="s">
        <v>303</v>
      </c>
      <c r="G20">
        <v>300.00001</v>
      </c>
      <c r="J20" s="419" t="s">
        <v>245</v>
      </c>
      <c r="N20" s="29"/>
      <c r="O20" s="29"/>
      <c r="P20" s="419" t="s">
        <v>304</v>
      </c>
      <c r="Q20" s="480">
        <f>63+98+141</f>
        <v>302</v>
      </c>
      <c r="R20" s="419" t="s">
        <v>305</v>
      </c>
      <c r="S20" s="465"/>
      <c r="U20" s="36"/>
      <c r="X20" s="608" t="s">
        <v>306</v>
      </c>
      <c r="Y20" s="502">
        <v>3900</v>
      </c>
      <c r="Z20" s="29" t="s">
        <v>188</v>
      </c>
      <c r="AA20" s="29"/>
      <c r="AB20" s="67" t="s">
        <v>307</v>
      </c>
      <c r="AC20" s="67">
        <v>2203.5</v>
      </c>
      <c r="AD20" s="609" t="s">
        <v>308</v>
      </c>
      <c r="AE20" s="499">
        <v>12745</v>
      </c>
      <c r="AH20" s="521"/>
      <c r="AI20" s="67"/>
      <c r="AL20" s="508" t="s">
        <v>266</v>
      </c>
      <c r="AM20" s="519">
        <v>-10.00001</v>
      </c>
      <c r="AN20" s="424" t="s">
        <v>309</v>
      </c>
      <c r="AP20" s="58"/>
      <c r="AQ20" s="58"/>
      <c r="AR20" s="360" t="s">
        <v>266</v>
      </c>
      <c r="AS20" s="519">
        <v>0.001</v>
      </c>
      <c r="AV20" t="s">
        <v>310</v>
      </c>
      <c r="AW20">
        <v>900.001</v>
      </c>
      <c r="AX20" t="s">
        <v>311</v>
      </c>
      <c r="AY20" s="425">
        <v>10000</v>
      </c>
      <c r="BB20" t="s">
        <v>280</v>
      </c>
      <c r="BC20" s="425">
        <v>-40000</v>
      </c>
    </row>
    <row r="21" spans="4:45">
      <c r="D21" t="s">
        <v>312</v>
      </c>
      <c r="E21" s="31">
        <v>3330.04</v>
      </c>
      <c r="F21" s="595" t="s">
        <v>247</v>
      </c>
      <c r="G21">
        <v>1000.00001</v>
      </c>
      <c r="J21" s="419" t="s">
        <v>184</v>
      </c>
      <c r="K21" s="31">
        <v>12332</v>
      </c>
      <c r="L21" s="596" t="s">
        <v>313</v>
      </c>
      <c r="M21" s="31">
        <v>107</v>
      </c>
      <c r="P21" s="419" t="s">
        <v>314</v>
      </c>
      <c r="Q21" s="480">
        <f>10</f>
        <v>10</v>
      </c>
      <c r="R21" s="435" t="s">
        <v>315</v>
      </c>
      <c r="S21" s="483">
        <v>800</v>
      </c>
      <c r="U21" s="29"/>
      <c r="V21" s="610" t="s">
        <v>316</v>
      </c>
      <c r="W21" s="428"/>
      <c r="X21" s="611" t="s">
        <v>317</v>
      </c>
      <c r="Y21" s="421">
        <v>7500</v>
      </c>
      <c r="Z21" s="29" t="s">
        <v>197</v>
      </c>
      <c r="AA21" s="29"/>
      <c r="AB21" s="67" t="s">
        <v>318</v>
      </c>
      <c r="AC21" s="67">
        <v>300.001</v>
      </c>
      <c r="AD21" s="609" t="s">
        <v>319</v>
      </c>
      <c r="AE21" s="499">
        <f>568*7</f>
        <v>3976</v>
      </c>
      <c r="AH21" s="67"/>
      <c r="AI21" s="67"/>
      <c r="AL21" t="s">
        <v>276</v>
      </c>
      <c r="AM21" s="514"/>
      <c r="AN21" s="424" t="s">
        <v>320</v>
      </c>
      <c r="AP21" s="58" t="s">
        <v>321</v>
      </c>
      <c r="AQ21" s="58"/>
      <c r="AR21" s="360" t="s">
        <v>322</v>
      </c>
      <c r="AS21" s="519">
        <v>58</v>
      </c>
    </row>
    <row r="22" spans="4:50">
      <c r="D22" t="s">
        <v>323</v>
      </c>
      <c r="E22" s="31">
        <v>7115</v>
      </c>
      <c r="F22" s="595" t="s">
        <v>260</v>
      </c>
      <c r="G22">
        <v>500.00001</v>
      </c>
      <c r="J22" s="419" t="s">
        <v>193</v>
      </c>
      <c r="K22" s="31">
        <v>12332</v>
      </c>
      <c r="P22" s="419" t="s">
        <v>324</v>
      </c>
      <c r="Q22" s="480">
        <f>48+28</f>
        <v>76</v>
      </c>
      <c r="R22" s="435" t="s">
        <v>325</v>
      </c>
      <c r="S22" s="483">
        <v>1500</v>
      </c>
      <c r="T22" s="29" t="s">
        <v>188</v>
      </c>
      <c r="U22" s="29"/>
      <c r="V22" s="435" t="s">
        <v>326</v>
      </c>
      <c r="W22" s="428">
        <f>1.37*500</f>
        <v>685</v>
      </c>
      <c r="X22" s="611" t="s">
        <v>327</v>
      </c>
      <c r="Y22" s="421">
        <f>220+250+80</f>
        <v>550</v>
      </c>
      <c r="Z22" s="29" t="s">
        <v>212</v>
      </c>
      <c r="AD22" s="612" t="s">
        <v>328</v>
      </c>
      <c r="AE22" s="422"/>
      <c r="AH22" s="67"/>
      <c r="AI22" s="67"/>
      <c r="AJ22" s="613" t="s">
        <v>328</v>
      </c>
      <c r="AK22" s="58"/>
      <c r="AL22" t="s">
        <v>290</v>
      </c>
      <c r="AM22" s="514"/>
      <c r="AN22" s="522">
        <v>42543</v>
      </c>
      <c r="AO22" s="424">
        <v>1400</v>
      </c>
      <c r="AP22" s="58" t="s">
        <v>329</v>
      </c>
      <c r="AQ22" s="58">
        <v>78</v>
      </c>
      <c r="AX22" t="s">
        <v>330</v>
      </c>
    </row>
    <row r="23" spans="4:54">
      <c r="D23" t="s">
        <v>331</v>
      </c>
      <c r="E23" s="31">
        <v>12332</v>
      </c>
      <c r="F23" s="595" t="s">
        <v>271</v>
      </c>
      <c r="G23">
        <v>600.00001</v>
      </c>
      <c r="L23" s="419" t="s">
        <v>332</v>
      </c>
      <c r="M23" s="31">
        <v>235</v>
      </c>
      <c r="N23" s="439" t="s">
        <v>333</v>
      </c>
      <c r="O23" s="439"/>
      <c r="Q23" s="480"/>
      <c r="R23" s="435" t="s">
        <v>334</v>
      </c>
      <c r="S23" s="483">
        <v>2051</v>
      </c>
      <c r="T23" s="29" t="s">
        <v>197</v>
      </c>
      <c r="V23" s="484" t="s">
        <v>335</v>
      </c>
      <c r="W23" s="485"/>
      <c r="X23" s="611" t="s">
        <v>336</v>
      </c>
      <c r="Y23" s="421">
        <v>4000.001</v>
      </c>
      <c r="Z23" s="36" t="s">
        <v>337</v>
      </c>
      <c r="AD23" s="422" t="s">
        <v>338</v>
      </c>
      <c r="AE23" s="422">
        <v>1100.001</v>
      </c>
      <c r="AF23" s="29" t="s">
        <v>188</v>
      </c>
      <c r="AH23" s="67"/>
      <c r="AI23" s="67"/>
      <c r="AJ23" s="58" t="s">
        <v>338</v>
      </c>
      <c r="AK23" s="58">
        <v>0</v>
      </c>
      <c r="AL23" t="s">
        <v>300</v>
      </c>
      <c r="AN23" s="522">
        <v>42537</v>
      </c>
      <c r="AO23" s="424">
        <v>161</v>
      </c>
      <c r="AP23" s="58" t="s">
        <v>338</v>
      </c>
      <c r="AQ23" s="58">
        <v>0</v>
      </c>
      <c r="AR23" t="s">
        <v>330</v>
      </c>
      <c r="AS23" s="514"/>
      <c r="AX23" t="s">
        <v>300</v>
      </c>
      <c r="BB23" t="s">
        <v>330</v>
      </c>
    </row>
    <row r="24" spans="6:54">
      <c r="F24" s="595" t="s">
        <v>284</v>
      </c>
      <c r="G24">
        <v>2000.00001</v>
      </c>
      <c r="L24" s="596" t="s">
        <v>339</v>
      </c>
      <c r="M24" s="31">
        <v>98</v>
      </c>
      <c r="N24" s="439" t="s">
        <v>340</v>
      </c>
      <c r="O24" s="440">
        <v>20000.01</v>
      </c>
      <c r="Q24" s="480"/>
      <c r="R24" s="435" t="s">
        <v>341</v>
      </c>
      <c r="S24" s="483">
        <v>1350</v>
      </c>
      <c r="T24" s="29" t="s">
        <v>212</v>
      </c>
      <c r="V24" s="486"/>
      <c r="W24" s="487"/>
      <c r="X24" s="611" t="s">
        <v>342</v>
      </c>
      <c r="Y24" s="421">
        <f>224*4</f>
        <v>896</v>
      </c>
      <c r="Z24" s="36" t="s">
        <v>343</v>
      </c>
      <c r="AD24" s="422" t="s">
        <v>344</v>
      </c>
      <c r="AE24" s="422">
        <v>400.001</v>
      </c>
      <c r="AF24" s="29" t="s">
        <v>197</v>
      </c>
      <c r="AH24" s="67"/>
      <c r="AI24" s="67"/>
      <c r="AJ24" s="58" t="s">
        <v>344</v>
      </c>
      <c r="AK24" s="58">
        <v>0</v>
      </c>
      <c r="AN24" s="522" t="s">
        <v>345</v>
      </c>
      <c r="AO24" s="307">
        <v>43028</v>
      </c>
      <c r="AP24" s="58" t="s">
        <v>346</v>
      </c>
      <c r="AQ24" s="58">
        <v>0</v>
      </c>
      <c r="AR24" t="s">
        <v>290</v>
      </c>
      <c r="AS24" s="514"/>
      <c r="AX24" t="s">
        <v>347</v>
      </c>
      <c r="BB24" t="s">
        <v>300</v>
      </c>
    </row>
    <row r="25" spans="6:49">
      <c r="F25" s="595" t="s">
        <v>348</v>
      </c>
      <c r="G25">
        <v>500.00001</v>
      </c>
      <c r="L25" s="419" t="s">
        <v>349</v>
      </c>
      <c r="M25" s="31">
        <v>90.00001</v>
      </c>
      <c r="N25" s="439" t="s">
        <v>350</v>
      </c>
      <c r="O25" s="439">
        <v>2000.001</v>
      </c>
      <c r="R25" s="435" t="s">
        <v>351</v>
      </c>
      <c r="S25" s="483">
        <v>1736</v>
      </c>
      <c r="T25" s="438" t="s">
        <v>226</v>
      </c>
      <c r="V25" s="458" t="s">
        <v>352</v>
      </c>
      <c r="W25" s="466">
        <v>44820</v>
      </c>
      <c r="X25" s="611" t="s">
        <v>353</v>
      </c>
      <c r="Y25" s="421">
        <v>1476</v>
      </c>
      <c r="Z25" s="438" t="s">
        <v>226</v>
      </c>
      <c r="AB25" s="67" t="s">
        <v>354</v>
      </c>
      <c r="AC25" s="67">
        <f>700*6</f>
        <v>4200</v>
      </c>
      <c r="AD25" s="422" t="s">
        <v>355</v>
      </c>
      <c r="AE25" s="422">
        <v>300.001</v>
      </c>
      <c r="AF25" s="36" t="s">
        <v>337</v>
      </c>
      <c r="AH25" s="67" t="s">
        <v>356</v>
      </c>
      <c r="AI25" s="67">
        <v>852</v>
      </c>
      <c r="AJ25" s="58" t="s">
        <v>357</v>
      </c>
      <c r="AK25" s="58">
        <v>0</v>
      </c>
      <c r="AP25" s="58" t="s">
        <v>355</v>
      </c>
      <c r="AQ25" s="58">
        <v>1476</v>
      </c>
      <c r="AR25" t="s">
        <v>300</v>
      </c>
      <c r="AV25" s="58" t="s">
        <v>355</v>
      </c>
      <c r="AW25">
        <v>288.75</v>
      </c>
    </row>
    <row r="26" ht="12.75" customHeight="1" spans="6:43">
      <c r="F26" s="595" t="s">
        <v>358</v>
      </c>
      <c r="G26">
        <v>400</v>
      </c>
      <c r="N26" s="439" t="s">
        <v>359</v>
      </c>
      <c r="O26" s="439">
        <v>7000.001</v>
      </c>
      <c r="P26" s="610" t="s">
        <v>316</v>
      </c>
      <c r="Q26" s="476"/>
      <c r="R26" s="435" t="s">
        <v>360</v>
      </c>
      <c r="S26" s="483"/>
      <c r="T26" s="36" t="s">
        <v>296</v>
      </c>
      <c r="V26" s="359" t="s">
        <v>361</v>
      </c>
      <c r="W26">
        <v>3000</v>
      </c>
      <c r="X26" s="611" t="s">
        <v>362</v>
      </c>
      <c r="Y26" s="421">
        <v>300.001</v>
      </c>
      <c r="Z26" s="36" t="s">
        <v>363</v>
      </c>
      <c r="AB26" s="67" t="s">
        <v>320</v>
      </c>
      <c r="AC26" s="67">
        <f>SUM(AB27:AB31)</f>
        <v>30248</v>
      </c>
      <c r="AD26" s="422" t="s">
        <v>364</v>
      </c>
      <c r="AE26" s="422">
        <v>500.001</v>
      </c>
      <c r="AF26" s="36" t="s">
        <v>343</v>
      </c>
      <c r="AH26" s="67" t="s">
        <v>320</v>
      </c>
      <c r="AI26" s="67">
        <v>0</v>
      </c>
      <c r="AJ26" s="58" t="s">
        <v>364</v>
      </c>
      <c r="AK26" s="58">
        <v>0</v>
      </c>
      <c r="AN26" s="424" t="s">
        <v>365</v>
      </c>
      <c r="AO26" s="424">
        <v>200</v>
      </c>
      <c r="AP26" s="58" t="s">
        <v>364</v>
      </c>
      <c r="AQ26" s="58">
        <v>251</v>
      </c>
    </row>
    <row r="27" spans="6:54">
      <c r="F27" s="595" t="s">
        <v>366</v>
      </c>
      <c r="G27">
        <v>1000.00001</v>
      </c>
      <c r="N27" s="439" t="s">
        <v>367</v>
      </c>
      <c r="O27" s="439">
        <v>26000.01</v>
      </c>
      <c r="P27" s="435" t="s">
        <v>368</v>
      </c>
      <c r="Q27" s="476">
        <f>500*1.287</f>
        <v>643.5</v>
      </c>
      <c r="R27" s="7">
        <v>41971</v>
      </c>
      <c r="S27" s="483">
        <v>5000</v>
      </c>
      <c r="V27" s="610" t="s">
        <v>369</v>
      </c>
      <c r="W27" s="9">
        <v>37114.98</v>
      </c>
      <c r="AB27" s="67">
        <v>5070</v>
      </c>
      <c r="AD27" s="422" t="s">
        <v>370</v>
      </c>
      <c r="AE27" s="422">
        <v>0</v>
      </c>
      <c r="AF27" s="438" t="s">
        <v>226</v>
      </c>
      <c r="AJ27" s="58" t="s">
        <v>370</v>
      </c>
      <c r="AK27" s="58">
        <v>0</v>
      </c>
      <c r="AL27" s="29" t="s">
        <v>188</v>
      </c>
      <c r="AN27" s="424" t="s">
        <v>371</v>
      </c>
      <c r="AO27" s="424">
        <v>800</v>
      </c>
      <c r="AP27" s="58" t="s">
        <v>370</v>
      </c>
      <c r="AQ27" s="58">
        <v>300.001</v>
      </c>
      <c r="AX27" s="595" t="s">
        <v>372</v>
      </c>
      <c r="BB27" s="614" t="s">
        <v>372</v>
      </c>
    </row>
    <row r="28" ht="12.75" customHeight="1" spans="6:54">
      <c r="F28" s="595" t="s">
        <v>373</v>
      </c>
      <c r="G28">
        <v>470</v>
      </c>
      <c r="N28" s="439" t="s">
        <v>374</v>
      </c>
      <c r="O28" s="439">
        <v>9000.01</v>
      </c>
      <c r="P28" s="435" t="s">
        <v>375</v>
      </c>
      <c r="Q28" s="476">
        <f>500*1.293</f>
        <v>646.5</v>
      </c>
      <c r="R28" s="7">
        <v>41975</v>
      </c>
      <c r="S28" s="483">
        <v>4000</v>
      </c>
      <c r="V28" s="435" t="s">
        <v>376</v>
      </c>
      <c r="W28" s="9"/>
      <c r="X28" s="611" t="s">
        <v>377</v>
      </c>
      <c r="Y28" s="421">
        <v>220.001</v>
      </c>
      <c r="AB28" s="67">
        <v>10150</v>
      </c>
      <c r="AD28" s="422"/>
      <c r="AE28" s="422"/>
      <c r="AF28" s="36" t="s">
        <v>363</v>
      </c>
      <c r="AJ28" s="58"/>
      <c r="AK28" s="58"/>
      <c r="AL28" s="29" t="s">
        <v>197</v>
      </c>
      <c r="AN28" s="523" t="s">
        <v>378</v>
      </c>
      <c r="AO28" s="424">
        <v>600</v>
      </c>
      <c r="AP28" s="58"/>
      <c r="AQ28" s="58"/>
      <c r="AX28" t="s">
        <v>379</v>
      </c>
      <c r="BB28" s="534" t="s">
        <v>380</v>
      </c>
    </row>
    <row r="29" spans="6:54">
      <c r="F29" s="595" t="s">
        <v>381</v>
      </c>
      <c r="G29">
        <v>355</v>
      </c>
      <c r="L29" s="596" t="s">
        <v>382</v>
      </c>
      <c r="M29" s="31">
        <v>210</v>
      </c>
      <c r="N29" s="439" t="s">
        <v>383</v>
      </c>
      <c r="O29" s="439">
        <v>5000.001</v>
      </c>
      <c r="P29" s="435" t="s">
        <v>384</v>
      </c>
      <c r="Q29" s="476">
        <f>500*1.299</f>
        <v>649.5</v>
      </c>
      <c r="R29" s="7">
        <v>42002</v>
      </c>
      <c r="S29" s="483">
        <v>1000</v>
      </c>
      <c r="V29" s="382">
        <v>17483.65</v>
      </c>
      <c r="W29" s="9"/>
      <c r="X29" s="611" t="s">
        <v>385</v>
      </c>
      <c r="Y29" s="421">
        <v>200</v>
      </c>
      <c r="AB29" s="67">
        <v>1015</v>
      </c>
      <c r="AD29" s="612" t="s">
        <v>386</v>
      </c>
      <c r="AE29" s="422">
        <f>SUM(AD30:AD32)</f>
        <v>3421</v>
      </c>
      <c r="AF29" s="36" t="s">
        <v>387</v>
      </c>
      <c r="AJ29" s="613" t="s">
        <v>386</v>
      </c>
      <c r="AK29" s="58">
        <f>AJ30+AJ31</f>
        <v>1599</v>
      </c>
      <c r="AL29" s="36" t="s">
        <v>337</v>
      </c>
      <c r="AP29" s="615" t="s">
        <v>388</v>
      </c>
      <c r="AQ29" s="58">
        <v>200.001</v>
      </c>
      <c r="AR29" s="595" t="s">
        <v>372</v>
      </c>
      <c r="AX29" t="s">
        <v>389</v>
      </c>
      <c r="BB29" s="534" t="s">
        <v>390</v>
      </c>
    </row>
    <row r="30" spans="6:54">
      <c r="F30" s="595" t="s">
        <v>391</v>
      </c>
      <c r="G30">
        <v>0</v>
      </c>
      <c r="L30" s="596" t="s">
        <v>392</v>
      </c>
      <c r="M30" s="31">
        <v>200</v>
      </c>
      <c r="N30" s="439"/>
      <c r="O30" s="439"/>
      <c r="P30" s="435" t="s">
        <v>393</v>
      </c>
      <c r="Q30" s="476">
        <f>500*1.304</f>
        <v>652</v>
      </c>
      <c r="R30" s="7">
        <v>42037</v>
      </c>
      <c r="S30" s="483">
        <v>1000.01</v>
      </c>
      <c r="V30" s="382">
        <v>12627.53</v>
      </c>
      <c r="W30" s="9"/>
      <c r="X30" s="611" t="s">
        <v>394</v>
      </c>
      <c r="Y30" s="421">
        <v>300.001</v>
      </c>
      <c r="AB30" s="67">
        <v>1013</v>
      </c>
      <c r="AD30" s="422">
        <v>779</v>
      </c>
      <c r="AE30" s="422"/>
      <c r="AJ30" s="58">
        <v>779</v>
      </c>
      <c r="AL30" s="36" t="s">
        <v>343</v>
      </c>
      <c r="AP30" s="613" t="s">
        <v>395</v>
      </c>
      <c r="AQ30" s="58">
        <f>250+300+100</f>
        <v>650</v>
      </c>
      <c r="AR30" s="29" t="s">
        <v>197</v>
      </c>
      <c r="AX30" t="s">
        <v>396</v>
      </c>
      <c r="BB30" s="534" t="s">
        <v>397</v>
      </c>
    </row>
    <row r="31" spans="6:54">
      <c r="F31" s="595" t="s">
        <v>398</v>
      </c>
      <c r="G31">
        <v>1824</v>
      </c>
      <c r="L31" s="419" t="s">
        <v>399</v>
      </c>
      <c r="M31" s="31">
        <v>190.0001</v>
      </c>
      <c r="N31" s="439"/>
      <c r="O31" s="439"/>
      <c r="P31" s="435" t="s">
        <v>400</v>
      </c>
      <c r="Q31" s="476">
        <f>500*1.323</f>
        <v>661.5</v>
      </c>
      <c r="R31" s="7">
        <v>42041</v>
      </c>
      <c r="S31" s="483">
        <v>100.03</v>
      </c>
      <c r="V31" s="382">
        <v>3013.39</v>
      </c>
      <c r="W31" s="9"/>
      <c r="X31" s="611" t="s">
        <v>401</v>
      </c>
      <c r="Y31" s="421">
        <v>216</v>
      </c>
      <c r="AB31" s="67">
        <v>13000</v>
      </c>
      <c r="AD31" s="422">
        <v>779</v>
      </c>
      <c r="AE31" s="422"/>
      <c r="AJ31" s="58">
        <v>820</v>
      </c>
      <c r="AL31" s="438" t="s">
        <v>226</v>
      </c>
      <c r="AP31" s="615" t="s">
        <v>402</v>
      </c>
      <c r="AQ31" s="58">
        <v>200.001</v>
      </c>
      <c r="AR31" s="36" t="s">
        <v>337</v>
      </c>
      <c r="AV31" s="615" t="s">
        <v>403</v>
      </c>
      <c r="AW31">
        <f>65+456</f>
        <v>521</v>
      </c>
      <c r="AX31" t="s">
        <v>404</v>
      </c>
      <c r="BB31" s="535" t="s">
        <v>379</v>
      </c>
    </row>
    <row r="32" spans="12:54">
      <c r="L32" s="419" t="s">
        <v>405</v>
      </c>
      <c r="M32" s="31">
        <v>150.0001</v>
      </c>
      <c r="N32" s="439"/>
      <c r="O32" s="439"/>
      <c r="P32" s="435" t="s">
        <v>406</v>
      </c>
      <c r="Q32" s="428">
        <v>670.0001</v>
      </c>
      <c r="R32" s="7">
        <v>42044</v>
      </c>
      <c r="S32" s="483">
        <v>1000.01</v>
      </c>
      <c r="V32" s="9" t="s">
        <v>407</v>
      </c>
      <c r="W32" s="9"/>
      <c r="X32" s="456" t="s">
        <v>408</v>
      </c>
      <c r="Y32" s="421">
        <v>187</v>
      </c>
      <c r="AD32" s="422">
        <v>1863</v>
      </c>
      <c r="AE32" s="422"/>
      <c r="AL32" s="36" t="s">
        <v>363</v>
      </c>
      <c r="AP32" s="615" t="s">
        <v>271</v>
      </c>
      <c r="AQ32" s="58">
        <v>700.001</v>
      </c>
      <c r="AR32" s="36" t="s">
        <v>343</v>
      </c>
      <c r="BB32" s="535" t="s">
        <v>409</v>
      </c>
    </row>
    <row r="33" spans="12:56">
      <c r="L33" s="419" t="s">
        <v>410</v>
      </c>
      <c r="M33" s="31">
        <v>100.00001</v>
      </c>
      <c r="N33" s="439"/>
      <c r="O33" s="439"/>
      <c r="P33" s="435" t="s">
        <v>411</v>
      </c>
      <c r="Q33" s="428">
        <v>671.5</v>
      </c>
      <c r="R33" s="7">
        <v>42044</v>
      </c>
      <c r="S33" s="483">
        <v>100.02</v>
      </c>
      <c r="V33" s="9"/>
      <c r="W33" s="9"/>
      <c r="X33" s="611" t="s">
        <v>412</v>
      </c>
      <c r="Y33" s="421">
        <v>1410</v>
      </c>
      <c r="AD33" s="612" t="s">
        <v>342</v>
      </c>
      <c r="AE33" s="422">
        <v>1550</v>
      </c>
      <c r="AJ33" s="615" t="s">
        <v>413</v>
      </c>
      <c r="AK33" s="58">
        <f>310*2</f>
        <v>620</v>
      </c>
      <c r="AL33" s="36" t="s">
        <v>387</v>
      </c>
      <c r="AP33" s="613" t="s">
        <v>414</v>
      </c>
      <c r="AQ33" s="58">
        <v>1300.001</v>
      </c>
      <c r="AR33" s="438" t="s">
        <v>226</v>
      </c>
      <c r="AX33" s="9" t="s">
        <v>415</v>
      </c>
      <c r="AY33" s="536"/>
      <c r="AZ33" s="537"/>
      <c r="BA33" s="538"/>
      <c r="BB33" s="362" t="s">
        <v>416</v>
      </c>
      <c r="BD33" s="9"/>
    </row>
    <row r="34" spans="14:56">
      <c r="N34" s="439"/>
      <c r="O34" s="439"/>
      <c r="P34" s="435" t="s">
        <v>417</v>
      </c>
      <c r="Q34" s="428">
        <v>2000.02</v>
      </c>
      <c r="R34" s="7">
        <v>42044</v>
      </c>
      <c r="S34" s="483">
        <v>200.02</v>
      </c>
      <c r="AD34" s="612" t="s">
        <v>418</v>
      </c>
      <c r="AE34" s="422">
        <v>800.001</v>
      </c>
      <c r="AJ34" s="615" t="s">
        <v>388</v>
      </c>
      <c r="AK34" s="58">
        <v>100.001</v>
      </c>
      <c r="AP34" s="615" t="s">
        <v>413</v>
      </c>
      <c r="AQ34" s="58">
        <v>1500.001</v>
      </c>
      <c r="AR34" s="36" t="s">
        <v>363</v>
      </c>
      <c r="AV34" s="615" t="s">
        <v>419</v>
      </c>
      <c r="AW34">
        <v>40</v>
      </c>
      <c r="AX34" s="9" t="s">
        <v>420</v>
      </c>
      <c r="AY34" s="536">
        <f>12000+14000</f>
        <v>26000</v>
      </c>
      <c r="AZ34" s="537"/>
      <c r="BA34" s="538"/>
      <c r="BD34" s="9"/>
    </row>
    <row r="35" spans="12:56">
      <c r="L35" s="419" t="s">
        <v>421</v>
      </c>
      <c r="M35" s="31">
        <v>2000</v>
      </c>
      <c r="N35" s="439"/>
      <c r="O35" s="440"/>
      <c r="R35" s="7">
        <v>42047</v>
      </c>
      <c r="S35" s="483">
        <v>460</v>
      </c>
      <c r="V35" s="419" t="s">
        <v>422</v>
      </c>
      <c r="W35">
        <f>SUM(V37:V42)</f>
        <v>144</v>
      </c>
      <c r="X35" s="616" t="s">
        <v>423</v>
      </c>
      <c r="Y35" s="511"/>
      <c r="AD35" s="612" t="s">
        <v>405</v>
      </c>
      <c r="AE35" s="422">
        <v>600.001</v>
      </c>
      <c r="AJ35" s="615" t="s">
        <v>402</v>
      </c>
      <c r="AK35" s="58">
        <v>150.001</v>
      </c>
      <c r="AP35" s="613" t="s">
        <v>424</v>
      </c>
      <c r="AQ35" s="58">
        <v>300.001</v>
      </c>
      <c r="AR35" s="36" t="s">
        <v>387</v>
      </c>
      <c r="AX35" s="9" t="s">
        <v>425</v>
      </c>
      <c r="AY35" s="536">
        <v>0</v>
      </c>
      <c r="AZ35" s="537"/>
      <c r="BA35" s="538"/>
      <c r="BB35" s="505" t="s">
        <v>415</v>
      </c>
      <c r="BC35" s="536"/>
      <c r="BD35" s="9"/>
    </row>
    <row r="36" spans="14:56">
      <c r="N36" s="441"/>
      <c r="O36" s="441"/>
      <c r="R36" s="435" t="s">
        <v>426</v>
      </c>
      <c r="S36" s="483"/>
      <c r="V36" s="419"/>
      <c r="X36" s="488"/>
      <c r="Y36" s="511"/>
      <c r="AD36" s="612" t="s">
        <v>427</v>
      </c>
      <c r="AE36" s="422">
        <v>550.001</v>
      </c>
      <c r="AJ36" s="615" t="s">
        <v>271</v>
      </c>
      <c r="AK36" s="58">
        <f>642+145</f>
        <v>787</v>
      </c>
      <c r="AX36" s="9" t="s">
        <v>428</v>
      </c>
      <c r="AZ36" s="537">
        <v>-2800000</v>
      </c>
      <c r="BA36" s="538"/>
      <c r="BB36" s="505" t="s">
        <v>420</v>
      </c>
      <c r="BC36" s="536">
        <f>12000+14000+16600</f>
        <v>42600</v>
      </c>
      <c r="BD36" s="9">
        <v>-2800000</v>
      </c>
    </row>
    <row r="37" ht="13.8" spans="16:56">
      <c r="P37" s="419" t="s">
        <v>429</v>
      </c>
      <c r="R37" s="435"/>
      <c r="S37" s="483"/>
      <c r="V37" s="364">
        <v>0</v>
      </c>
      <c r="W37" s="489">
        <v>42248</v>
      </c>
      <c r="X37" s="488" t="s">
        <v>430</v>
      </c>
      <c r="Y37" s="512">
        <v>400</v>
      </c>
      <c r="AD37" s="612" t="s">
        <v>431</v>
      </c>
      <c r="AE37" s="422">
        <f>300.001</f>
        <v>300.001</v>
      </c>
      <c r="AJ37" s="615" t="s">
        <v>432</v>
      </c>
      <c r="AK37" s="58">
        <v>0</v>
      </c>
      <c r="AP37" s="617" t="s">
        <v>418</v>
      </c>
      <c r="AQ37" s="62">
        <v>800.001</v>
      </c>
      <c r="AX37" s="9" t="s">
        <v>433</v>
      </c>
      <c r="AY37" s="536"/>
      <c r="AZ37" s="537">
        <v>352000</v>
      </c>
      <c r="BA37" s="538"/>
      <c r="BB37" s="505" t="s">
        <v>425</v>
      </c>
      <c r="BC37" s="536">
        <v>0</v>
      </c>
      <c r="BD37" s="9">
        <v>705000</v>
      </c>
    </row>
    <row r="38" ht="13.95" spans="16:56">
      <c r="P38" s="442">
        <v>42023</v>
      </c>
      <c r="Q38" s="362">
        <v>1002.34</v>
      </c>
      <c r="R38" s="7">
        <v>42003</v>
      </c>
      <c r="S38" s="483">
        <v>500</v>
      </c>
      <c r="V38">
        <v>30</v>
      </c>
      <c r="W38" s="489">
        <v>42217</v>
      </c>
      <c r="X38" s="488" t="s">
        <v>434</v>
      </c>
      <c r="Y38" s="512">
        <v>150</v>
      </c>
      <c r="AD38" s="618" t="s">
        <v>388</v>
      </c>
      <c r="AE38" s="422">
        <v>400.001</v>
      </c>
      <c r="AJ38" s="612" t="s">
        <v>342</v>
      </c>
      <c r="AK38" s="422">
        <f>225+10+270+10</f>
        <v>515</v>
      </c>
      <c r="AP38" s="617" t="s">
        <v>427</v>
      </c>
      <c r="AQ38" s="62">
        <v>500.001</v>
      </c>
      <c r="AX38" s="9" t="s">
        <v>435</v>
      </c>
      <c r="AY38" s="536">
        <f>(AZ36+AZ37)/36</f>
        <v>-68000</v>
      </c>
      <c r="AZ38" s="537"/>
      <c r="BA38" s="538"/>
      <c r="BB38" s="505" t="s">
        <v>436</v>
      </c>
      <c r="BD38" s="9"/>
    </row>
    <row r="39" spans="11:56">
      <c r="K39" s="443" t="s">
        <v>437</v>
      </c>
      <c r="L39" s="444"/>
      <c r="M39" s="445"/>
      <c r="N39" s="446"/>
      <c r="P39" s="442">
        <v>42020</v>
      </c>
      <c r="Q39" s="362">
        <v>300.24</v>
      </c>
      <c r="R39" s="596" t="s">
        <v>152</v>
      </c>
      <c r="S39" s="31">
        <v>11692.43</v>
      </c>
      <c r="V39">
        <v>11</v>
      </c>
      <c r="W39" s="489">
        <v>42186</v>
      </c>
      <c r="X39" s="488" t="s">
        <v>438</v>
      </c>
      <c r="Y39" s="512">
        <v>94</v>
      </c>
      <c r="AD39" s="618" t="s">
        <v>402</v>
      </c>
      <c r="AE39" s="422">
        <v>700.001</v>
      </c>
      <c r="AJ39" s="612" t="s">
        <v>418</v>
      </c>
      <c r="AK39" s="422">
        <f>140+160</f>
        <v>300</v>
      </c>
      <c r="AP39" s="617" t="s">
        <v>431</v>
      </c>
      <c r="AQ39" s="62">
        <v>200.001</v>
      </c>
      <c r="AX39" s="9"/>
      <c r="AY39" s="536"/>
      <c r="AZ39" s="537"/>
      <c r="BA39" s="538"/>
      <c r="BB39" s="505" t="s">
        <v>439</v>
      </c>
      <c r="BC39" s="536"/>
      <c r="BD39" s="9"/>
    </row>
    <row r="40" spans="11:56">
      <c r="K40" s="447" t="s">
        <v>440</v>
      </c>
      <c r="L40" s="448"/>
      <c r="M40" s="449"/>
      <c r="N40" s="450"/>
      <c r="P40" s="442">
        <v>42018</v>
      </c>
      <c r="Q40" s="362">
        <v>399.23</v>
      </c>
      <c r="R40" s="596" t="s">
        <v>299</v>
      </c>
      <c r="S40" s="31">
        <f>2733*4</f>
        <v>10932</v>
      </c>
      <c r="V40">
        <v>25</v>
      </c>
      <c r="W40" s="489">
        <v>42156</v>
      </c>
      <c r="X40" s="488" t="s">
        <v>441</v>
      </c>
      <c r="Y40" s="512">
        <v>139.99</v>
      </c>
      <c r="AD40" s="618" t="s">
        <v>271</v>
      </c>
      <c r="AE40" s="422">
        <v>600.001</v>
      </c>
      <c r="AJ40" s="612" t="s">
        <v>405</v>
      </c>
      <c r="AK40" s="422">
        <v>150</v>
      </c>
      <c r="AP40" s="617" t="s">
        <v>442</v>
      </c>
      <c r="AQ40" s="62">
        <v>400.001</v>
      </c>
      <c r="AX40" s="9"/>
      <c r="AY40" s="536"/>
      <c r="AZ40" s="537"/>
      <c r="BA40" s="538"/>
      <c r="BB40" s="505" t="s">
        <v>435</v>
      </c>
      <c r="BC40" s="536">
        <f>(BD36+BD37)/37</f>
        <v>-56621.6216216216</v>
      </c>
      <c r="BD40" s="9"/>
    </row>
    <row r="41" spans="11:55">
      <c r="K41" s="447" t="s">
        <v>443</v>
      </c>
      <c r="L41" s="448"/>
      <c r="M41" s="449"/>
      <c r="N41" s="450"/>
      <c r="P41" s="442">
        <v>42033</v>
      </c>
      <c r="Q41" s="362">
        <v>1000</v>
      </c>
      <c r="V41">
        <v>30</v>
      </c>
      <c r="W41" s="489">
        <v>42125</v>
      </c>
      <c r="X41" s="619" t="s">
        <v>444</v>
      </c>
      <c r="Y41" s="513"/>
      <c r="AD41" s="618" t="s">
        <v>413</v>
      </c>
      <c r="AE41" s="422">
        <v>1000.001</v>
      </c>
      <c r="AJ41" s="612" t="s">
        <v>427</v>
      </c>
      <c r="AK41" s="422">
        <f>200.001</f>
        <v>200.001</v>
      </c>
      <c r="BB41" s="505"/>
      <c r="BC41" s="536"/>
    </row>
    <row r="42" spans="11:55">
      <c r="K42" s="447"/>
      <c r="L42" s="448"/>
      <c r="M42" s="449"/>
      <c r="N42" s="450"/>
      <c r="P42" s="442">
        <v>42040</v>
      </c>
      <c r="Q42" s="362">
        <v>303.15</v>
      </c>
      <c r="R42" s="596" t="s">
        <v>388</v>
      </c>
      <c r="S42" s="31">
        <f>50*4*4</f>
        <v>800</v>
      </c>
      <c r="V42">
        <v>48</v>
      </c>
      <c r="W42" s="489">
        <v>42095</v>
      </c>
      <c r="X42" s="491" t="s">
        <v>252</v>
      </c>
      <c r="Y42" s="513">
        <v>50</v>
      </c>
      <c r="AD42" s="618" t="s">
        <v>445</v>
      </c>
      <c r="AE42" s="422">
        <v>406</v>
      </c>
      <c r="AJ42" s="612" t="s">
        <v>431</v>
      </c>
      <c r="AK42" s="422">
        <v>100.001</v>
      </c>
      <c r="AP42" s="620" t="s">
        <v>446</v>
      </c>
      <c r="AQ42" s="53">
        <v>2531</v>
      </c>
      <c r="BB42" s="505"/>
      <c r="BC42" s="536"/>
    </row>
    <row r="43" spans="11:43">
      <c r="K43" s="447" t="s">
        <v>447</v>
      </c>
      <c r="L43" s="448"/>
      <c r="M43" s="449"/>
      <c r="N43" s="450"/>
      <c r="P43" s="442">
        <v>42065</v>
      </c>
      <c r="Q43" s="362">
        <v>3000</v>
      </c>
      <c r="R43" s="596" t="s">
        <v>402</v>
      </c>
      <c r="S43" s="31">
        <f>35*16</f>
        <v>560</v>
      </c>
      <c r="X43" s="491" t="s">
        <v>185</v>
      </c>
      <c r="Y43" s="513">
        <v>50</v>
      </c>
      <c r="AD43" s="612" t="s">
        <v>448</v>
      </c>
      <c r="AE43" s="422">
        <v>100.001</v>
      </c>
      <c r="AJ43" s="612" t="s">
        <v>448</v>
      </c>
      <c r="AK43" s="422">
        <v>200.001</v>
      </c>
      <c r="AP43" s="53" t="s">
        <v>449</v>
      </c>
      <c r="AQ43" s="53">
        <v>0</v>
      </c>
    </row>
    <row r="44" ht="26.4" spans="11:43">
      <c r="K44" s="447"/>
      <c r="L44" s="448"/>
      <c r="M44" s="449"/>
      <c r="N44" s="450"/>
      <c r="P44" s="442">
        <v>42062</v>
      </c>
      <c r="Q44" s="362">
        <v>600</v>
      </c>
      <c r="R44" s="596" t="s">
        <v>450</v>
      </c>
      <c r="S44" s="31">
        <f>500.00001</f>
        <v>500.00001</v>
      </c>
      <c r="X44" s="492" t="s">
        <v>195</v>
      </c>
      <c r="Y44" s="513">
        <v>140</v>
      </c>
      <c r="AD44" s="621" t="s">
        <v>451</v>
      </c>
      <c r="AE44" s="422">
        <v>1400.001</v>
      </c>
      <c r="AJ44" s="622" t="s">
        <v>452</v>
      </c>
      <c r="AK44" s="422">
        <v>200.001</v>
      </c>
      <c r="AP44" s="620" t="s">
        <v>453</v>
      </c>
      <c r="AQ44" s="53">
        <v>1233</v>
      </c>
    </row>
    <row r="45" spans="11:43">
      <c r="K45" s="447"/>
      <c r="L45" s="448"/>
      <c r="M45" s="449"/>
      <c r="N45" s="450"/>
      <c r="R45" s="596" t="s">
        <v>454</v>
      </c>
      <c r="S45" s="31">
        <v>600.001</v>
      </c>
      <c r="X45" s="492" t="s">
        <v>181</v>
      </c>
      <c r="Y45" s="513">
        <v>100</v>
      </c>
      <c r="AD45" s="618" t="s">
        <v>455</v>
      </c>
      <c r="AE45" s="422">
        <v>3200.001</v>
      </c>
      <c r="AJ45" s="618" t="s">
        <v>455</v>
      </c>
      <c r="AK45" s="422">
        <v>1000.001</v>
      </c>
      <c r="AP45" s="53" t="s">
        <v>456</v>
      </c>
      <c r="AQ45" s="53">
        <v>230</v>
      </c>
    </row>
    <row r="46" spans="11:43">
      <c r="K46" s="447"/>
      <c r="L46" s="448"/>
      <c r="M46" s="449"/>
      <c r="N46" s="450"/>
      <c r="R46" s="419" t="s">
        <v>399</v>
      </c>
      <c r="S46" s="31">
        <v>500</v>
      </c>
      <c r="X46" s="492" t="s">
        <v>164</v>
      </c>
      <c r="Y46" s="513">
        <v>100</v>
      </c>
      <c r="AD46" s="612" t="s">
        <v>457</v>
      </c>
      <c r="AE46" s="422">
        <v>400.001</v>
      </c>
      <c r="AJ46" s="612" t="s">
        <v>457</v>
      </c>
      <c r="AK46" s="422">
        <v>300.001</v>
      </c>
      <c r="AP46" s="53" t="s">
        <v>458</v>
      </c>
      <c r="AQ46" s="53">
        <v>200.001</v>
      </c>
    </row>
    <row r="47" ht="27.15" spans="11:49">
      <c r="K47" s="451"/>
      <c r="L47" s="452"/>
      <c r="M47" s="453"/>
      <c r="N47" s="454"/>
      <c r="P47" s="419" t="s">
        <v>459</v>
      </c>
      <c r="R47" s="419" t="s">
        <v>405</v>
      </c>
      <c r="S47" s="31">
        <v>300.00001</v>
      </c>
      <c r="X47" s="492" t="s">
        <v>156</v>
      </c>
      <c r="Y47" s="513">
        <v>140</v>
      </c>
      <c r="AD47" s="612" t="s">
        <v>460</v>
      </c>
      <c r="AE47" s="422">
        <v>0</v>
      </c>
      <c r="AJ47" s="612" t="s">
        <v>461</v>
      </c>
      <c r="AK47" s="422">
        <f>57+103+181</f>
        <v>341</v>
      </c>
      <c r="AP47" s="623" t="s">
        <v>462</v>
      </c>
      <c r="AQ47" s="53">
        <v>200.001</v>
      </c>
      <c r="AV47" s="620" t="s">
        <v>463</v>
      </c>
      <c r="AW47">
        <f>(250+180)+193</f>
        <v>623</v>
      </c>
    </row>
    <row r="48" spans="16:49">
      <c r="P48" s="442">
        <v>41981</v>
      </c>
      <c r="Q48" s="31">
        <v>5005.76</v>
      </c>
      <c r="R48" s="419" t="s">
        <v>410</v>
      </c>
      <c r="S48" s="31">
        <v>200.0001</v>
      </c>
      <c r="X48" s="619" t="s">
        <v>427</v>
      </c>
      <c r="Y48" s="511">
        <f>92*4+50.001</f>
        <v>418.001</v>
      </c>
      <c r="AD48" s="618" t="s">
        <v>464</v>
      </c>
      <c r="AE48" s="422">
        <v>88</v>
      </c>
      <c r="AJ48" s="612" t="s">
        <v>465</v>
      </c>
      <c r="AK48" s="422">
        <v>159</v>
      </c>
      <c r="AP48" s="620" t="s">
        <v>466</v>
      </c>
      <c r="AQ48" s="53">
        <f>68.74+142.65+48+42.02</f>
        <v>301.41</v>
      </c>
      <c r="AV48" t="s">
        <v>467</v>
      </c>
      <c r="AW48">
        <f>65*2</f>
        <v>130</v>
      </c>
    </row>
    <row r="49" spans="16:49">
      <c r="P49" s="419" t="s">
        <v>468</v>
      </c>
      <c r="R49" s="419" t="s">
        <v>469</v>
      </c>
      <c r="S49" s="31">
        <v>1030</v>
      </c>
      <c r="AD49" s="618" t="s">
        <v>470</v>
      </c>
      <c r="AE49" s="422">
        <v>120</v>
      </c>
      <c r="AJ49" s="612" t="s">
        <v>471</v>
      </c>
      <c r="AK49" s="422">
        <v>100.001</v>
      </c>
      <c r="AV49" s="595" t="s">
        <v>472</v>
      </c>
      <c r="AW49">
        <v>1480</v>
      </c>
    </row>
    <row r="50" spans="16:49">
      <c r="P50" s="442">
        <v>42024</v>
      </c>
      <c r="Q50" s="31">
        <v>2000</v>
      </c>
      <c r="R50" s="419" t="s">
        <v>473</v>
      </c>
      <c r="S50" s="31">
        <v>1877</v>
      </c>
      <c r="X50" s="618" t="s">
        <v>388</v>
      </c>
      <c r="Y50" s="513">
        <v>600.001</v>
      </c>
      <c r="AD50" s="612" t="s">
        <v>474</v>
      </c>
      <c r="AE50" s="422">
        <v>1170</v>
      </c>
      <c r="AJ50" s="612" t="s">
        <v>475</v>
      </c>
      <c r="AK50" s="422">
        <v>252</v>
      </c>
      <c r="AP50" s="624" t="s">
        <v>419</v>
      </c>
      <c r="AQ50" s="15">
        <v>60</v>
      </c>
      <c r="AV50" s="595" t="s">
        <v>476</v>
      </c>
      <c r="AW50">
        <v>254</v>
      </c>
    </row>
    <row r="51" spans="18:49">
      <c r="R51" s="419" t="s">
        <v>477</v>
      </c>
      <c r="S51" s="31">
        <v>500</v>
      </c>
      <c r="X51" s="618" t="s">
        <v>402</v>
      </c>
      <c r="Y51" s="421">
        <v>800.001</v>
      </c>
      <c r="AD51" s="612" t="s">
        <v>478</v>
      </c>
      <c r="AE51" s="422">
        <v>3000.001</v>
      </c>
      <c r="AJ51" s="612" t="s">
        <v>479</v>
      </c>
      <c r="AK51" s="422">
        <v>120.001</v>
      </c>
      <c r="AP51" s="624" t="s">
        <v>480</v>
      </c>
      <c r="AQ51" s="15">
        <v>600.001</v>
      </c>
      <c r="AV51" s="595" t="s">
        <v>481</v>
      </c>
      <c r="AW51">
        <v>90.0001</v>
      </c>
    </row>
    <row r="52" spans="18:49">
      <c r="R52" s="419" t="s">
        <v>408</v>
      </c>
      <c r="S52" s="31">
        <v>662</v>
      </c>
      <c r="X52" s="618" t="s">
        <v>482</v>
      </c>
      <c r="Y52" s="513">
        <v>400.001</v>
      </c>
      <c r="AD52" s="422"/>
      <c r="AE52" s="422"/>
      <c r="AJ52" s="612" t="s">
        <v>483</v>
      </c>
      <c r="AK52" s="422">
        <v>406</v>
      </c>
      <c r="AP52" s="614" t="s">
        <v>484</v>
      </c>
      <c r="AQ52" s="15">
        <v>3893</v>
      </c>
      <c r="AV52" s="595" t="s">
        <v>485</v>
      </c>
      <c r="AW52">
        <v>334.37</v>
      </c>
    </row>
    <row r="53" spans="18:49">
      <c r="R53" s="419" t="s">
        <v>486</v>
      </c>
      <c r="S53" s="31">
        <v>1000.0001</v>
      </c>
      <c r="AD53" s="612" t="s">
        <v>487</v>
      </c>
      <c r="AE53" s="422">
        <v>8000</v>
      </c>
      <c r="AJ53" s="612" t="s">
        <v>488</v>
      </c>
      <c r="AK53" s="422">
        <v>90.001</v>
      </c>
      <c r="AP53" s="614" t="s">
        <v>342</v>
      </c>
      <c r="AQ53" s="15">
        <f>682*3+225*2</f>
        <v>2496</v>
      </c>
      <c r="AV53" s="595" t="s">
        <v>489</v>
      </c>
      <c r="AW53">
        <v>1000</v>
      </c>
    </row>
    <row r="54" spans="18:31">
      <c r="R54" s="419" t="s">
        <v>490</v>
      </c>
      <c r="S54" s="31">
        <v>2000.001</v>
      </c>
      <c r="X54" s="420" t="s">
        <v>491</v>
      </c>
      <c r="Y54" s="421">
        <v>500.001</v>
      </c>
      <c r="AD54" s="422"/>
      <c r="AE54" s="422"/>
    </row>
    <row r="55" spans="18:43">
      <c r="R55" s="419" t="s">
        <v>487</v>
      </c>
      <c r="S55" s="31">
        <v>3500.00001</v>
      </c>
      <c r="X55" s="611" t="s">
        <v>492</v>
      </c>
      <c r="Y55" s="421">
        <v>165</v>
      </c>
      <c r="AJ55" s="612" t="s">
        <v>493</v>
      </c>
      <c r="AK55" s="422">
        <v>1700</v>
      </c>
      <c r="AP55" s="620" t="s">
        <v>448</v>
      </c>
      <c r="AQ55" s="53">
        <v>300.001</v>
      </c>
    </row>
    <row r="56" spans="24:43">
      <c r="X56" s="611" t="s">
        <v>494</v>
      </c>
      <c r="Y56" s="421">
        <v>620.001</v>
      </c>
      <c r="AJ56" s="422" t="s">
        <v>495</v>
      </c>
      <c r="AP56" s="620" t="s">
        <v>496</v>
      </c>
      <c r="AQ56" s="53">
        <v>250</v>
      </c>
    </row>
    <row r="57" spans="24:43">
      <c r="X57" s="611" t="s">
        <v>497</v>
      </c>
      <c r="Y57" s="421">
        <f>W35/5%+320.001</f>
        <v>3200.001</v>
      </c>
      <c r="AP57" s="620" t="s">
        <v>498</v>
      </c>
      <c r="AQ57" s="53">
        <f>78+38</f>
        <v>116</v>
      </c>
    </row>
    <row r="58" spans="24:49">
      <c r="X58" s="619" t="s">
        <v>499</v>
      </c>
      <c r="Y58" s="513">
        <v>1700.001</v>
      </c>
      <c r="AP58" s="620" t="s">
        <v>500</v>
      </c>
      <c r="AQ58" s="53">
        <v>350.001</v>
      </c>
      <c r="AV58" s="595" t="s">
        <v>501</v>
      </c>
      <c r="AW58">
        <v>473</v>
      </c>
    </row>
    <row r="59" spans="42:49">
      <c r="AP59" s="620" t="s">
        <v>502</v>
      </c>
      <c r="AQ59" s="53">
        <v>45.2</v>
      </c>
      <c r="AV59" s="595" t="s">
        <v>503</v>
      </c>
      <c r="AW59">
        <v>693</v>
      </c>
    </row>
    <row r="60" spans="48:49">
      <c r="AV60" s="595" t="s">
        <v>504</v>
      </c>
      <c r="AW60">
        <v>450.001</v>
      </c>
    </row>
    <row r="61" spans="42:49">
      <c r="AP61" s="625" t="s">
        <v>455</v>
      </c>
      <c r="AQ61" s="53">
        <v>2000</v>
      </c>
      <c r="AV61" s="595" t="s">
        <v>505</v>
      </c>
      <c r="AW61">
        <v>811</v>
      </c>
    </row>
    <row r="62" spans="42:49">
      <c r="AP62" s="620" t="s">
        <v>493</v>
      </c>
      <c r="AQ62" s="53">
        <v>2600</v>
      </c>
      <c r="AV62" s="595" t="s">
        <v>506</v>
      </c>
      <c r="AW62">
        <v>1305</v>
      </c>
    </row>
    <row r="64" spans="42:43">
      <c r="AP64" s="626" t="s">
        <v>507</v>
      </c>
      <c r="AQ64" s="53" t="s">
        <v>508</v>
      </c>
    </row>
    <row r="65" spans="43:43">
      <c r="AQ65" s="53">
        <v>170</v>
      </c>
    </row>
    <row r="66" spans="43:49">
      <c r="AQ66" s="53">
        <v>160</v>
      </c>
      <c r="AV66" s="595" t="s">
        <v>509</v>
      </c>
      <c r="AW66">
        <v>498</v>
      </c>
    </row>
    <row r="67" spans="43:49">
      <c r="AQ67" s="53">
        <v>45</v>
      </c>
      <c r="AV67" s="620" t="s">
        <v>510</v>
      </c>
      <c r="AW67">
        <v>488</v>
      </c>
    </row>
    <row r="68" spans="43:43">
      <c r="AQ68" s="53">
        <v>65</v>
      </c>
    </row>
    <row r="69" spans="43:49">
      <c r="AQ69" s="53">
        <v>342.38</v>
      </c>
      <c r="AV69" s="620" t="s">
        <v>511</v>
      </c>
      <c r="AW69">
        <f>60.7-29</f>
        <v>31.7</v>
      </c>
    </row>
    <row r="70" spans="43:43">
      <c r="AQ70" s="53">
        <v>103</v>
      </c>
    </row>
    <row r="71" spans="43:43">
      <c r="AQ71" s="53">
        <v>18.1</v>
      </c>
    </row>
    <row r="72" spans="43:43">
      <c r="AQ72" s="53">
        <v>34.2</v>
      </c>
    </row>
    <row r="73" spans="43:43">
      <c r="AQ73" s="53">
        <v>46</v>
      </c>
    </row>
    <row r="74" spans="43:43">
      <c r="AQ74" s="53">
        <v>74.8</v>
      </c>
    </row>
    <row r="75" spans="43:43">
      <c r="AQ75" s="53">
        <v>16</v>
      </c>
    </row>
    <row r="76" spans="43:43">
      <c r="AQ76" s="53">
        <v>37</v>
      </c>
    </row>
    <row r="77" spans="43:43">
      <c r="AQ77" s="53">
        <v>82.2</v>
      </c>
    </row>
    <row r="78" spans="43:43">
      <c r="AQ78" s="53">
        <v>114.5</v>
      </c>
    </row>
    <row r="79" spans="43:43">
      <c r="AQ79" s="53">
        <v>28</v>
      </c>
    </row>
    <row r="80" spans="43:43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U41"/>
  <sheetViews>
    <sheetView workbookViewId="0">
      <selection activeCell="U35" sqref="U35"/>
    </sheetView>
  </sheetViews>
  <sheetFormatPr defaultColWidth="9" defaultRowHeight="13.2"/>
  <cols>
    <col min="1" max="1" width="1" customWidth="1"/>
    <col min="2" max="2" width="2.42592592592593" style="396" customWidth="1"/>
    <col min="3" max="3" width="2.42592592592593" style="397" customWidth="1"/>
    <col min="4" max="8" width="2.42592592592593" customWidth="1"/>
    <col min="9" max="9" width="3" customWidth="1"/>
    <col min="10" max="10" width="25.1388888888889" style="396" customWidth="1"/>
    <col min="11" max="11" width="11.5740740740741" style="397" customWidth="1"/>
    <col min="12" max="13" width="11.712962962963" customWidth="1"/>
    <col min="14" max="14" width="11.5740740740741" customWidth="1"/>
    <col min="15" max="15" width="9.85185185185185" customWidth="1"/>
    <col min="16" max="16" width="6.85185185185185" customWidth="1"/>
    <col min="17" max="17" width="3" customWidth="1"/>
    <col min="18" max="18" width="11.712962962963" style="398" customWidth="1"/>
    <col min="19" max="19" width="11" style="399" customWidth="1"/>
    <col min="20" max="20" width="10.4259259259259" style="399" customWidth="1"/>
    <col min="21" max="21" width="40.712962962963" customWidth="1"/>
  </cols>
  <sheetData>
    <row r="1" ht="20.4" spans="3:11">
      <c r="C1" s="400"/>
      <c r="K1" s="400"/>
    </row>
    <row r="2" spans="2:16">
      <c r="B2" s="401" t="s">
        <v>512</v>
      </c>
      <c r="C2" s="402" t="s">
        <v>513</v>
      </c>
      <c r="D2" s="403" t="s">
        <v>514</v>
      </c>
      <c r="E2" s="401" t="s">
        <v>515</v>
      </c>
      <c r="F2" s="404" t="s">
        <v>516</v>
      </c>
      <c r="G2" s="405" t="s">
        <v>517</v>
      </c>
      <c r="H2" s="405" t="s">
        <v>518</v>
      </c>
      <c r="J2" s="401" t="s">
        <v>512</v>
      </c>
      <c r="K2" s="402" t="s">
        <v>513</v>
      </c>
      <c r="L2" s="403" t="s">
        <v>514</v>
      </c>
      <c r="M2" s="401" t="s">
        <v>515</v>
      </c>
      <c r="N2" s="404" t="s">
        <v>516</v>
      </c>
      <c r="O2" s="405" t="s">
        <v>517</v>
      </c>
      <c r="P2" s="405" t="s">
        <v>518</v>
      </c>
    </row>
    <row r="3" spans="2:16">
      <c r="B3" s="9"/>
      <c r="C3" s="406"/>
      <c r="D3" s="9"/>
      <c r="E3" s="382"/>
      <c r="F3" s="382"/>
      <c r="G3" s="382"/>
      <c r="H3" s="382"/>
      <c r="J3" s="9" t="s">
        <v>519</v>
      </c>
      <c r="K3" s="406"/>
      <c r="L3" s="9">
        <v>0</v>
      </c>
      <c r="M3" s="382">
        <f>M1-N1</f>
        <v>0</v>
      </c>
      <c r="N3" s="9">
        <v>77700.001</v>
      </c>
      <c r="O3" s="9">
        <f>2000+400</f>
        <v>2400</v>
      </c>
      <c r="P3" s="9">
        <f>N3/O3</f>
        <v>32.3750004166667</v>
      </c>
    </row>
    <row r="4" spans="2:16">
      <c r="B4" s="9" t="s">
        <v>520</v>
      </c>
      <c r="C4" s="406">
        <v>44926</v>
      </c>
      <c r="D4" s="9"/>
      <c r="E4" s="382">
        <v>645812.68</v>
      </c>
      <c r="F4" s="382"/>
      <c r="G4" s="382"/>
      <c r="H4" s="382"/>
      <c r="J4" s="9" t="s">
        <v>521</v>
      </c>
      <c r="K4" s="406">
        <v>42464</v>
      </c>
      <c r="L4" s="9">
        <v>0</v>
      </c>
      <c r="M4" s="382">
        <v>247062</v>
      </c>
      <c r="N4" s="382">
        <v>169330.5</v>
      </c>
      <c r="O4" s="382">
        <v>5000</v>
      </c>
      <c r="P4" s="382">
        <f>N4/O4</f>
        <v>33.8661</v>
      </c>
    </row>
    <row r="5" spans="2:16">
      <c r="B5" s="9" t="s">
        <v>522</v>
      </c>
      <c r="C5" s="406">
        <v>44561</v>
      </c>
      <c r="D5" s="9" t="s">
        <v>523</v>
      </c>
      <c r="E5" s="382">
        <v>505987.68</v>
      </c>
      <c r="F5" s="9" t="s">
        <v>523</v>
      </c>
      <c r="G5" s="382"/>
      <c r="H5" s="382"/>
      <c r="J5" s="9"/>
      <c r="K5" s="406"/>
      <c r="L5" s="9"/>
      <c r="M5" s="412" t="s">
        <v>524</v>
      </c>
      <c r="N5" s="412"/>
      <c r="O5" s="382"/>
      <c r="P5" s="382"/>
    </row>
    <row r="6" spans="2:16">
      <c r="B6" s="9" t="s">
        <v>525</v>
      </c>
      <c r="C6" s="406">
        <v>44498</v>
      </c>
      <c r="D6" s="9">
        <v>0</v>
      </c>
      <c r="E6" s="382">
        <f t="shared" ref="E6:E23" si="0">E7-D6+F6</f>
        <v>505987.68</v>
      </c>
      <c r="F6" s="382">
        <v>20000</v>
      </c>
      <c r="G6" s="382"/>
      <c r="H6" s="382"/>
      <c r="J6" s="9" t="s">
        <v>526</v>
      </c>
      <c r="K6" s="406">
        <v>42487</v>
      </c>
      <c r="L6" s="5">
        <v>20000</v>
      </c>
      <c r="M6" s="382">
        <f t="shared" ref="M6:M17" si="1">M7-L6+N6</f>
        <v>1163566.96</v>
      </c>
      <c r="N6" s="9">
        <v>0</v>
      </c>
      <c r="O6" s="9"/>
      <c r="P6" s="9"/>
    </row>
    <row r="7" spans="2:16">
      <c r="B7" s="9" t="s">
        <v>525</v>
      </c>
      <c r="C7" s="406">
        <v>44468</v>
      </c>
      <c r="D7" s="9">
        <v>0</v>
      </c>
      <c r="E7" s="382">
        <f t="shared" si="0"/>
        <v>485987.68</v>
      </c>
      <c r="F7" s="382">
        <v>20000</v>
      </c>
      <c r="G7" s="382"/>
      <c r="H7" s="382"/>
      <c r="J7" s="9" t="s">
        <v>527</v>
      </c>
      <c r="K7" s="406">
        <v>42487</v>
      </c>
      <c r="L7" s="5">
        <v>20000</v>
      </c>
      <c r="M7" s="382">
        <f t="shared" si="1"/>
        <v>1183566.96</v>
      </c>
      <c r="N7" s="9">
        <v>0</v>
      </c>
      <c r="O7" s="9"/>
      <c r="P7" s="9"/>
    </row>
    <row r="8" spans="2:16">
      <c r="B8" s="9" t="s">
        <v>528</v>
      </c>
      <c r="C8" s="406">
        <v>44387</v>
      </c>
      <c r="D8" s="9">
        <v>0</v>
      </c>
      <c r="E8" s="382">
        <f t="shared" si="0"/>
        <v>465987.68</v>
      </c>
      <c r="F8" s="382">
        <v>25000</v>
      </c>
      <c r="G8" s="382"/>
      <c r="H8" s="382"/>
      <c r="J8" s="9" t="s">
        <v>529</v>
      </c>
      <c r="K8" s="406">
        <v>42488</v>
      </c>
      <c r="L8" s="9">
        <v>0</v>
      </c>
      <c r="M8" s="382">
        <f t="shared" si="1"/>
        <v>1203566.96</v>
      </c>
      <c r="N8" s="382">
        <v>172327.5</v>
      </c>
      <c r="O8" s="382">
        <v>5000</v>
      </c>
      <c r="P8" s="382">
        <f>N8/O8</f>
        <v>34.4655</v>
      </c>
    </row>
    <row r="9" spans="2:16">
      <c r="B9" s="9" t="s">
        <v>528</v>
      </c>
      <c r="C9" s="406">
        <v>44357</v>
      </c>
      <c r="D9" s="9">
        <v>0</v>
      </c>
      <c r="E9" s="382">
        <f t="shared" si="0"/>
        <v>440987.68</v>
      </c>
      <c r="F9" s="382">
        <v>25000</v>
      </c>
      <c r="G9" s="382"/>
      <c r="H9" s="382"/>
      <c r="J9" s="9" t="s">
        <v>530</v>
      </c>
      <c r="K9" s="406">
        <v>42502</v>
      </c>
      <c r="L9" s="382">
        <v>194075.02</v>
      </c>
      <c r="M9" s="382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406">
        <v>44326</v>
      </c>
      <c r="D10" s="9">
        <v>0</v>
      </c>
      <c r="E10" s="382">
        <f t="shared" si="0"/>
        <v>415987.68</v>
      </c>
      <c r="F10" s="382">
        <v>25000</v>
      </c>
      <c r="G10" s="382"/>
      <c r="H10" s="382"/>
      <c r="J10" s="9" t="s">
        <v>530</v>
      </c>
      <c r="K10" s="406">
        <v>42502</v>
      </c>
      <c r="L10" s="5">
        <v>20000</v>
      </c>
      <c r="M10" s="382">
        <f t="shared" si="1"/>
        <v>1225314.48</v>
      </c>
      <c r="N10" s="9">
        <v>0</v>
      </c>
      <c r="O10" s="9"/>
      <c r="P10" s="9"/>
      <c r="R10" s="415" t="s">
        <v>513</v>
      </c>
      <c r="S10" s="416" t="s">
        <v>531</v>
      </c>
      <c r="T10" s="416" t="s">
        <v>532</v>
      </c>
      <c r="U10" s="9"/>
    </row>
    <row r="11" spans="2:21">
      <c r="B11" s="9" t="s">
        <v>528</v>
      </c>
      <c r="C11" s="406">
        <v>44298</v>
      </c>
      <c r="D11" s="9">
        <v>0</v>
      </c>
      <c r="E11" s="382">
        <f t="shared" si="0"/>
        <v>390987.68</v>
      </c>
      <c r="F11" s="382">
        <v>25000</v>
      </c>
      <c r="G11" s="382"/>
      <c r="H11" s="382"/>
      <c r="J11" s="9" t="s">
        <v>530</v>
      </c>
      <c r="K11" s="406">
        <v>42534</v>
      </c>
      <c r="L11" s="5">
        <v>20000</v>
      </c>
      <c r="M11" s="382">
        <f t="shared" si="1"/>
        <v>1245314.48</v>
      </c>
      <c r="N11" s="9">
        <v>0</v>
      </c>
      <c r="O11" s="9"/>
      <c r="P11" s="9"/>
      <c r="R11" s="417"/>
      <c r="S11" s="418"/>
      <c r="T11" s="418">
        <v>6515157</v>
      </c>
      <c r="U11" s="22" t="s">
        <v>533</v>
      </c>
    </row>
    <row r="12" spans="2:21">
      <c r="B12" s="9" t="s">
        <v>528</v>
      </c>
      <c r="C12" s="406">
        <v>44265</v>
      </c>
      <c r="D12" s="9">
        <v>0</v>
      </c>
      <c r="E12" s="382">
        <f t="shared" si="0"/>
        <v>365987.68</v>
      </c>
      <c r="F12" s="382">
        <v>25000</v>
      </c>
      <c r="G12" s="382"/>
      <c r="H12" s="382"/>
      <c r="J12" s="9" t="s">
        <v>530</v>
      </c>
      <c r="K12" s="406">
        <v>42563</v>
      </c>
      <c r="L12" s="5">
        <v>20000</v>
      </c>
      <c r="M12" s="382">
        <f t="shared" si="1"/>
        <v>1265314.48</v>
      </c>
      <c r="N12" s="9">
        <v>0</v>
      </c>
      <c r="O12" s="9"/>
      <c r="P12" s="9"/>
      <c r="R12" s="417"/>
      <c r="S12" s="418">
        <v>-495000</v>
      </c>
      <c r="T12" s="418">
        <f>T11+S12</f>
        <v>6020157</v>
      </c>
      <c r="U12" s="22" t="s">
        <v>534</v>
      </c>
    </row>
    <row r="13" spans="2:21">
      <c r="B13" s="9" t="s">
        <v>528</v>
      </c>
      <c r="C13" s="406">
        <v>44180</v>
      </c>
      <c r="D13" s="9">
        <v>0</v>
      </c>
      <c r="E13" s="382">
        <f t="shared" si="0"/>
        <v>340987.68</v>
      </c>
      <c r="F13" s="382">
        <v>19445</v>
      </c>
      <c r="G13" s="382"/>
      <c r="H13" s="382"/>
      <c r="J13" s="9" t="s">
        <v>530</v>
      </c>
      <c r="K13" s="406">
        <v>42594</v>
      </c>
      <c r="L13" s="5">
        <v>20000</v>
      </c>
      <c r="M13" s="382">
        <f t="shared" si="1"/>
        <v>1285314.48</v>
      </c>
      <c r="N13" s="9">
        <v>0</v>
      </c>
      <c r="O13" s="9"/>
      <c r="P13" s="9"/>
      <c r="R13" s="417">
        <v>42295</v>
      </c>
      <c r="S13" s="418">
        <v>-1650000</v>
      </c>
      <c r="T13" s="418">
        <f>T12+S13</f>
        <v>4370157</v>
      </c>
      <c r="U13" s="22" t="s">
        <v>535</v>
      </c>
    </row>
    <row r="14" spans="2:21">
      <c r="B14" s="9" t="s">
        <v>528</v>
      </c>
      <c r="C14" s="406">
        <v>44175</v>
      </c>
      <c r="D14" s="9">
        <v>0</v>
      </c>
      <c r="E14" s="382">
        <f t="shared" si="0"/>
        <v>321542.68</v>
      </c>
      <c r="F14" s="382">
        <v>25000</v>
      </c>
      <c r="G14" s="382"/>
      <c r="H14" s="382"/>
      <c r="J14" s="9" t="s">
        <v>530</v>
      </c>
      <c r="K14" s="406">
        <v>42626</v>
      </c>
      <c r="L14" s="5">
        <v>20000</v>
      </c>
      <c r="M14" s="382">
        <f t="shared" si="1"/>
        <v>1305314.48</v>
      </c>
      <c r="N14" s="9">
        <v>0</v>
      </c>
      <c r="O14" s="9"/>
      <c r="P14" s="9"/>
      <c r="R14" s="417">
        <v>42372</v>
      </c>
      <c r="S14" s="418">
        <v>-1332804</v>
      </c>
      <c r="T14" s="418">
        <f>T13+S14</f>
        <v>3037353</v>
      </c>
      <c r="U14" s="22" t="s">
        <v>536</v>
      </c>
    </row>
    <row r="15" spans="2:21">
      <c r="B15" s="9" t="s">
        <v>528</v>
      </c>
      <c r="C15" s="406">
        <v>44145</v>
      </c>
      <c r="D15" s="9">
        <v>0</v>
      </c>
      <c r="E15" s="382">
        <f t="shared" si="0"/>
        <v>296542.68</v>
      </c>
      <c r="F15" s="382">
        <v>25000</v>
      </c>
      <c r="G15" s="382"/>
      <c r="H15" s="382"/>
      <c r="J15" s="9" t="s">
        <v>537</v>
      </c>
      <c r="K15" s="406">
        <v>42627</v>
      </c>
      <c r="L15" s="5">
        <v>0</v>
      </c>
      <c r="M15" s="382">
        <f t="shared" si="1"/>
        <v>1325314.48</v>
      </c>
      <c r="N15" s="382">
        <v>347000</v>
      </c>
      <c r="O15" s="382">
        <v>10000</v>
      </c>
      <c r="P15" s="382">
        <f>N15/O15</f>
        <v>34.7</v>
      </c>
      <c r="R15" s="417"/>
      <c r="S15" s="418"/>
      <c r="T15" s="418"/>
      <c r="U15" s="9"/>
    </row>
    <row r="16" spans="2:21">
      <c r="B16" s="9" t="s">
        <v>528</v>
      </c>
      <c r="C16" s="406">
        <v>44116</v>
      </c>
      <c r="D16" s="9">
        <v>0</v>
      </c>
      <c r="E16" s="382">
        <f t="shared" si="0"/>
        <v>271542.68</v>
      </c>
      <c r="F16" s="382">
        <v>25000</v>
      </c>
      <c r="G16" s="382"/>
      <c r="H16" s="382"/>
      <c r="J16" s="9" t="s">
        <v>538</v>
      </c>
      <c r="K16" s="406" t="s">
        <v>539</v>
      </c>
      <c r="L16" s="5">
        <f>20000*(12-7)</f>
        <v>100000</v>
      </c>
      <c r="M16" s="382">
        <f t="shared" si="1"/>
        <v>978314.48</v>
      </c>
      <c r="N16" s="382"/>
      <c r="O16" s="382"/>
      <c r="P16" s="382"/>
      <c r="R16" s="417">
        <f>K6</f>
        <v>42487</v>
      </c>
      <c r="S16" s="418">
        <f>-SUM(D26:D36)</f>
        <v>-434075.02</v>
      </c>
      <c r="U16" s="22" t="s">
        <v>540</v>
      </c>
    </row>
    <row r="17" spans="2:21">
      <c r="B17" s="9" t="s">
        <v>528</v>
      </c>
      <c r="C17" s="406">
        <v>44085</v>
      </c>
      <c r="D17" s="9">
        <v>0</v>
      </c>
      <c r="E17" s="382">
        <f t="shared" si="0"/>
        <v>246542.68</v>
      </c>
      <c r="F17" s="382">
        <v>25000</v>
      </c>
      <c r="G17" s="382"/>
      <c r="H17" s="382"/>
      <c r="J17" s="9" t="s">
        <v>541</v>
      </c>
      <c r="K17" s="406" t="s">
        <v>542</v>
      </c>
      <c r="L17" s="5">
        <v>0</v>
      </c>
      <c r="M17" s="382">
        <f t="shared" si="1"/>
        <v>1078314.48</v>
      </c>
      <c r="N17" s="382">
        <v>373000</v>
      </c>
      <c r="O17" s="382">
        <v>10000</v>
      </c>
      <c r="P17" s="382">
        <f>N17/O17</f>
        <v>37.3</v>
      </c>
      <c r="R17" s="415" t="s">
        <v>543</v>
      </c>
      <c r="S17" s="418"/>
      <c r="T17" s="418">
        <f>T14+S16</f>
        <v>2603277.98</v>
      </c>
      <c r="U17" s="22" t="s">
        <v>544</v>
      </c>
    </row>
    <row r="18" spans="2:21">
      <c r="B18" s="9" t="s">
        <v>545</v>
      </c>
      <c r="C18" s="406">
        <v>43987</v>
      </c>
      <c r="D18" s="9">
        <v>0</v>
      </c>
      <c r="E18" s="382">
        <f t="shared" si="0"/>
        <v>221542.68</v>
      </c>
      <c r="F18" s="382">
        <v>182721</v>
      </c>
      <c r="G18" s="382"/>
      <c r="H18" s="382"/>
      <c r="J18" s="9" t="s">
        <v>546</v>
      </c>
      <c r="K18" s="406">
        <v>43100</v>
      </c>
      <c r="L18" s="22" t="s">
        <v>523</v>
      </c>
      <c r="M18" s="382">
        <v>705314.48</v>
      </c>
      <c r="N18" s="9" t="s">
        <v>523</v>
      </c>
      <c r="O18" s="382"/>
      <c r="P18" s="382"/>
      <c r="R18" s="417"/>
      <c r="S18" s="418"/>
      <c r="T18" s="418"/>
      <c r="U18" s="9"/>
    </row>
    <row r="19" spans="2:21">
      <c r="B19" s="9" t="s">
        <v>547</v>
      </c>
      <c r="C19" s="406">
        <v>43794</v>
      </c>
      <c r="D19" s="9">
        <v>0</v>
      </c>
      <c r="E19" s="382">
        <f t="shared" si="0"/>
        <v>38821.6799999999</v>
      </c>
      <c r="F19" s="382">
        <v>28000</v>
      </c>
      <c r="G19" s="382"/>
      <c r="H19" s="382"/>
      <c r="J19" s="9" t="s">
        <v>548</v>
      </c>
      <c r="K19" s="406">
        <v>43228</v>
      </c>
      <c r="L19" s="5">
        <v>0</v>
      </c>
      <c r="M19" s="382">
        <f t="shared" ref="M19:M36" si="2">M20-L19+N19</f>
        <v>306660.88</v>
      </c>
      <c r="N19" s="382">
        <v>385407.2</v>
      </c>
      <c r="O19" s="382">
        <v>10000</v>
      </c>
      <c r="P19" s="382">
        <f>N19/O19</f>
        <v>38.54072</v>
      </c>
      <c r="R19" s="417"/>
      <c r="S19" s="418">
        <v>216722</v>
      </c>
      <c r="T19" s="418">
        <f>T17+S19</f>
        <v>2819999.98</v>
      </c>
      <c r="U19" s="22" t="s">
        <v>549</v>
      </c>
    </row>
    <row r="20" spans="2:21">
      <c r="B20" s="9" t="s">
        <v>550</v>
      </c>
      <c r="C20" s="406">
        <v>43711</v>
      </c>
      <c r="D20" s="5">
        <v>1080000</v>
      </c>
      <c r="E20" s="382">
        <f t="shared" si="0"/>
        <v>10821.6799999999</v>
      </c>
      <c r="F20" s="9">
        <v>0</v>
      </c>
      <c r="G20" s="382"/>
      <c r="H20" s="382"/>
      <c r="J20" s="407"/>
      <c r="K20" s="406">
        <v>43553</v>
      </c>
      <c r="L20" s="408"/>
      <c r="M20" s="382">
        <f t="shared" si="2"/>
        <v>-78746.3200000001</v>
      </c>
      <c r="N20" s="81">
        <v>100</v>
      </c>
      <c r="O20" s="382"/>
      <c r="P20" s="382"/>
      <c r="R20" s="417"/>
      <c r="S20" s="418"/>
      <c r="T20" s="418"/>
      <c r="U20" s="9"/>
    </row>
    <row r="21" spans="2:21">
      <c r="B21" s="407"/>
      <c r="C21" s="406">
        <v>43710</v>
      </c>
      <c r="D21" s="23">
        <v>1740000</v>
      </c>
      <c r="E21" s="382">
        <f t="shared" si="0"/>
        <v>1090821.68</v>
      </c>
      <c r="F21" s="81">
        <v>1740000</v>
      </c>
      <c r="G21" s="382">
        <v>46524</v>
      </c>
      <c r="H21" s="382">
        <f>F21/G21</f>
        <v>37.4000515862781</v>
      </c>
      <c r="J21" s="407" t="s">
        <v>551</v>
      </c>
      <c r="K21" s="406">
        <v>43710</v>
      </c>
      <c r="L21" s="23">
        <v>1740000</v>
      </c>
      <c r="M21" s="382">
        <f t="shared" si="2"/>
        <v>-78846.3200000001</v>
      </c>
      <c r="N21" s="81">
        <v>1740000</v>
      </c>
      <c r="O21" s="382">
        <v>46524</v>
      </c>
      <c r="P21" s="382">
        <f>N21/O21</f>
        <v>37.4000515862781</v>
      </c>
      <c r="R21" s="417">
        <v>43710</v>
      </c>
      <c r="S21" s="418">
        <f>-D21</f>
        <v>-1740000</v>
      </c>
      <c r="T21" s="418">
        <f>T19+S21</f>
        <v>1079999.98</v>
      </c>
      <c r="U21" s="22" t="s">
        <v>552</v>
      </c>
    </row>
    <row r="22" spans="2:21">
      <c r="B22" s="407"/>
      <c r="C22" s="406">
        <v>43553</v>
      </c>
      <c r="D22" s="408"/>
      <c r="E22" s="382">
        <f t="shared" si="0"/>
        <v>1090821.68</v>
      </c>
      <c r="F22" s="81">
        <v>100</v>
      </c>
      <c r="G22" s="382"/>
      <c r="H22" s="382"/>
      <c r="J22" s="9" t="s">
        <v>550</v>
      </c>
      <c r="K22" s="406">
        <v>43711</v>
      </c>
      <c r="L22" s="5">
        <v>1080000</v>
      </c>
      <c r="M22" s="382">
        <f t="shared" si="2"/>
        <v>-78846.3200000001</v>
      </c>
      <c r="N22" s="9">
        <v>0</v>
      </c>
      <c r="O22" s="382"/>
      <c r="P22" s="382"/>
      <c r="R22" s="417">
        <v>43711</v>
      </c>
      <c r="S22" s="418">
        <f>-D20</f>
        <v>-1080000</v>
      </c>
      <c r="T22" s="418">
        <f>T21+S22</f>
        <v>-0.0200000000186265</v>
      </c>
      <c r="U22" s="22" t="s">
        <v>553</v>
      </c>
    </row>
    <row r="23" spans="2:21">
      <c r="B23" s="9" t="s">
        <v>548</v>
      </c>
      <c r="C23" s="406">
        <v>43228</v>
      </c>
      <c r="D23" s="5">
        <v>0</v>
      </c>
      <c r="E23" s="382">
        <f t="shared" si="0"/>
        <v>1090721.68</v>
      </c>
      <c r="F23" s="382">
        <v>385407.2</v>
      </c>
      <c r="G23" s="382">
        <v>10000</v>
      </c>
      <c r="H23" s="382">
        <f>F23/G23</f>
        <v>38.54072</v>
      </c>
      <c r="J23" s="9" t="s">
        <v>547</v>
      </c>
      <c r="K23" s="406">
        <v>43794</v>
      </c>
      <c r="L23" s="9">
        <v>0</v>
      </c>
      <c r="M23" s="382">
        <f t="shared" si="2"/>
        <v>1001153.68</v>
      </c>
      <c r="N23" s="382">
        <v>28000</v>
      </c>
      <c r="O23" s="382"/>
      <c r="P23" s="382"/>
      <c r="R23" s="417"/>
      <c r="S23" s="418"/>
      <c r="T23" s="418"/>
      <c r="U23" s="9"/>
    </row>
    <row r="24" spans="2:21">
      <c r="B24" s="9" t="s">
        <v>546</v>
      </c>
      <c r="C24" s="406">
        <v>43100</v>
      </c>
      <c r="D24" s="9" t="s">
        <v>523</v>
      </c>
      <c r="E24" s="382">
        <v>705314.48</v>
      </c>
      <c r="F24" s="9" t="s">
        <v>523</v>
      </c>
      <c r="G24" s="382"/>
      <c r="H24" s="382"/>
      <c r="J24" s="9" t="s">
        <v>545</v>
      </c>
      <c r="K24" s="406">
        <v>43987</v>
      </c>
      <c r="L24" s="9">
        <v>0</v>
      </c>
      <c r="M24" s="382">
        <f t="shared" si="2"/>
        <v>973153.68</v>
      </c>
      <c r="N24" s="382">
        <v>182721</v>
      </c>
      <c r="O24" s="382"/>
      <c r="P24" s="382"/>
      <c r="R24" s="417"/>
      <c r="S24" s="418"/>
      <c r="T24" s="418"/>
      <c r="U24" s="9"/>
    </row>
    <row r="25" spans="2:16">
      <c r="B25" s="9" t="s">
        <v>541</v>
      </c>
      <c r="C25" s="406" t="s">
        <v>542</v>
      </c>
      <c r="D25" s="5">
        <v>0</v>
      </c>
      <c r="E25" s="382">
        <f t="shared" ref="E25:E36" si="3">E26-D25+F25</f>
        <v>705314.48</v>
      </c>
      <c r="F25" s="382">
        <v>373000</v>
      </c>
      <c r="G25" s="382">
        <v>10000</v>
      </c>
      <c r="H25" s="382">
        <f>F25/G25</f>
        <v>37.3</v>
      </c>
      <c r="J25" s="9" t="s">
        <v>528</v>
      </c>
      <c r="K25" s="406">
        <v>44085</v>
      </c>
      <c r="L25" s="9">
        <v>0</v>
      </c>
      <c r="M25" s="382">
        <f t="shared" si="2"/>
        <v>790432.68</v>
      </c>
      <c r="N25" s="382">
        <v>25000</v>
      </c>
      <c r="O25" s="382"/>
      <c r="P25" s="382"/>
    </row>
    <row r="26" spans="2:16">
      <c r="B26" s="9" t="s">
        <v>538</v>
      </c>
      <c r="C26" s="406" t="s">
        <v>539</v>
      </c>
      <c r="D26" s="5">
        <f>20000*(12-7)</f>
        <v>100000</v>
      </c>
      <c r="E26" s="382">
        <f t="shared" si="3"/>
        <v>332314.48</v>
      </c>
      <c r="F26" s="382"/>
      <c r="G26" s="382"/>
      <c r="H26" s="382"/>
      <c r="J26" s="9" t="s">
        <v>528</v>
      </c>
      <c r="K26" s="406">
        <v>44116</v>
      </c>
      <c r="L26" s="9">
        <v>0</v>
      </c>
      <c r="M26" s="382">
        <f t="shared" si="2"/>
        <v>765432.68</v>
      </c>
      <c r="N26" s="382">
        <v>25000</v>
      </c>
      <c r="O26" s="382"/>
      <c r="P26" s="382"/>
    </row>
    <row r="27" spans="2:16">
      <c r="B27" s="9" t="s">
        <v>537</v>
      </c>
      <c r="C27" s="406">
        <v>42627</v>
      </c>
      <c r="D27" s="5">
        <v>0</v>
      </c>
      <c r="E27" s="382">
        <f t="shared" si="3"/>
        <v>432314.48</v>
      </c>
      <c r="F27" s="382">
        <v>347000</v>
      </c>
      <c r="G27" s="382">
        <v>10000</v>
      </c>
      <c r="H27" s="382">
        <f>F27/G27</f>
        <v>34.7</v>
      </c>
      <c r="J27" s="9" t="s">
        <v>528</v>
      </c>
      <c r="K27" s="406">
        <v>44145</v>
      </c>
      <c r="L27" s="9">
        <v>0</v>
      </c>
      <c r="M27" s="382">
        <f t="shared" si="2"/>
        <v>740432.68</v>
      </c>
      <c r="N27" s="382">
        <v>25000</v>
      </c>
      <c r="O27" s="382"/>
      <c r="P27" s="382"/>
    </row>
    <row r="28" spans="2:16">
      <c r="B28" s="9" t="s">
        <v>530</v>
      </c>
      <c r="C28" s="406">
        <v>42626</v>
      </c>
      <c r="D28" s="5">
        <v>20000</v>
      </c>
      <c r="E28" s="382">
        <f t="shared" si="3"/>
        <v>85314.48</v>
      </c>
      <c r="F28" s="9">
        <v>0</v>
      </c>
      <c r="G28" s="9"/>
      <c r="H28" s="9"/>
      <c r="J28" s="9" t="s">
        <v>528</v>
      </c>
      <c r="K28" s="406">
        <v>44175</v>
      </c>
      <c r="L28" s="9">
        <v>0</v>
      </c>
      <c r="M28" s="382">
        <f t="shared" si="2"/>
        <v>715432.68</v>
      </c>
      <c r="N28" s="382">
        <v>25000</v>
      </c>
      <c r="O28" s="382"/>
      <c r="P28" s="382"/>
    </row>
    <row r="29" spans="2:16">
      <c r="B29" s="9" t="s">
        <v>530</v>
      </c>
      <c r="C29" s="406">
        <v>42594</v>
      </c>
      <c r="D29" s="5">
        <v>20000</v>
      </c>
      <c r="E29" s="382">
        <f t="shared" si="3"/>
        <v>105314.48</v>
      </c>
      <c r="F29" s="9">
        <v>0</v>
      </c>
      <c r="G29" s="9"/>
      <c r="H29" s="9"/>
      <c r="J29" s="9" t="s">
        <v>528</v>
      </c>
      <c r="K29" s="406">
        <v>44180</v>
      </c>
      <c r="L29" s="9">
        <v>0</v>
      </c>
      <c r="M29" s="382">
        <f t="shared" si="2"/>
        <v>690432.68</v>
      </c>
      <c r="N29" s="382">
        <v>19445</v>
      </c>
      <c r="O29" s="382"/>
      <c r="P29" s="382"/>
    </row>
    <row r="30" spans="2:16">
      <c r="B30" s="9" t="s">
        <v>530</v>
      </c>
      <c r="C30" s="406">
        <v>42563</v>
      </c>
      <c r="D30" s="5">
        <v>20000</v>
      </c>
      <c r="E30" s="382">
        <f t="shared" si="3"/>
        <v>125314.48</v>
      </c>
      <c r="F30" s="9">
        <v>0</v>
      </c>
      <c r="G30" s="9"/>
      <c r="H30" s="9"/>
      <c r="J30" s="9" t="s">
        <v>528</v>
      </c>
      <c r="K30" s="406">
        <v>44265</v>
      </c>
      <c r="L30" s="9">
        <v>0</v>
      </c>
      <c r="M30" s="382">
        <f t="shared" si="2"/>
        <v>670987.68</v>
      </c>
      <c r="N30" s="382">
        <v>25000</v>
      </c>
      <c r="O30" s="382"/>
      <c r="P30" s="382"/>
    </row>
    <row r="31" spans="2:16">
      <c r="B31" s="9" t="s">
        <v>530</v>
      </c>
      <c r="C31" s="406">
        <v>42534</v>
      </c>
      <c r="D31" s="5">
        <v>20000</v>
      </c>
      <c r="E31" s="382">
        <f t="shared" si="3"/>
        <v>145314.48</v>
      </c>
      <c r="F31" s="9">
        <v>0</v>
      </c>
      <c r="G31" s="9"/>
      <c r="H31" s="9"/>
      <c r="J31" s="9" t="s">
        <v>528</v>
      </c>
      <c r="K31" s="406">
        <v>44298</v>
      </c>
      <c r="L31" s="9">
        <v>0</v>
      </c>
      <c r="M31" s="382">
        <f t="shared" si="2"/>
        <v>645987.68</v>
      </c>
      <c r="N31" s="382">
        <v>25000</v>
      </c>
      <c r="O31" s="382"/>
      <c r="P31" s="382"/>
    </row>
    <row r="32" spans="2:16">
      <c r="B32" s="9" t="s">
        <v>530</v>
      </c>
      <c r="C32" s="406">
        <v>42502</v>
      </c>
      <c r="D32" s="5">
        <v>20000</v>
      </c>
      <c r="E32" s="382">
        <f t="shared" si="3"/>
        <v>165314.48</v>
      </c>
      <c r="F32" s="9">
        <v>0</v>
      </c>
      <c r="G32" s="9"/>
      <c r="H32" s="9"/>
      <c r="J32" s="9" t="s">
        <v>528</v>
      </c>
      <c r="K32" s="406">
        <v>44326</v>
      </c>
      <c r="L32" s="9">
        <v>0</v>
      </c>
      <c r="M32" s="382">
        <f t="shared" si="2"/>
        <v>620987.68</v>
      </c>
      <c r="N32" s="382">
        <v>25000</v>
      </c>
      <c r="O32" s="382"/>
      <c r="P32" s="382"/>
    </row>
    <row r="33" spans="2:16">
      <c r="B33" s="9" t="s">
        <v>530</v>
      </c>
      <c r="C33" s="406">
        <v>42502</v>
      </c>
      <c r="D33" s="382">
        <v>194075.02</v>
      </c>
      <c r="E33" s="382">
        <f t="shared" si="3"/>
        <v>185314.48</v>
      </c>
      <c r="F33" s="9">
        <v>0</v>
      </c>
      <c r="G33" s="9"/>
      <c r="H33" s="9"/>
      <c r="J33" s="9" t="s">
        <v>528</v>
      </c>
      <c r="K33" s="406">
        <v>44357</v>
      </c>
      <c r="L33" s="9">
        <v>0</v>
      </c>
      <c r="M33" s="382">
        <f t="shared" si="2"/>
        <v>595987.68</v>
      </c>
      <c r="N33" s="382">
        <v>25000</v>
      </c>
      <c r="O33" s="382"/>
      <c r="P33" s="382"/>
    </row>
    <row r="34" spans="2:16">
      <c r="B34" s="9" t="s">
        <v>529</v>
      </c>
      <c r="C34" s="406">
        <v>42488</v>
      </c>
      <c r="D34" s="9">
        <v>0</v>
      </c>
      <c r="E34" s="382">
        <f t="shared" si="3"/>
        <v>379389.5</v>
      </c>
      <c r="F34" s="382">
        <v>172327.5</v>
      </c>
      <c r="G34" s="382">
        <v>5000</v>
      </c>
      <c r="H34" s="382">
        <f>F34/G34</f>
        <v>34.4655</v>
      </c>
      <c r="J34" s="9" t="s">
        <v>528</v>
      </c>
      <c r="K34" s="406">
        <v>44387</v>
      </c>
      <c r="L34" s="9">
        <v>0</v>
      </c>
      <c r="M34" s="382">
        <f t="shared" si="2"/>
        <v>570987.68</v>
      </c>
      <c r="N34" s="382">
        <v>25000</v>
      </c>
      <c r="O34" s="382"/>
      <c r="P34" s="382"/>
    </row>
    <row r="35" spans="2:16">
      <c r="B35" s="9" t="s">
        <v>527</v>
      </c>
      <c r="C35" s="406">
        <v>42487</v>
      </c>
      <c r="D35" s="5">
        <v>20000</v>
      </c>
      <c r="E35" s="382">
        <f t="shared" si="3"/>
        <v>207062</v>
      </c>
      <c r="F35" s="9">
        <v>0</v>
      </c>
      <c r="G35" s="9"/>
      <c r="H35" s="9"/>
      <c r="J35" s="9" t="s">
        <v>525</v>
      </c>
      <c r="K35" s="406">
        <v>44468</v>
      </c>
      <c r="L35" s="9">
        <v>0</v>
      </c>
      <c r="M35" s="382">
        <f t="shared" si="2"/>
        <v>545987.68</v>
      </c>
      <c r="N35" s="382">
        <v>20000</v>
      </c>
      <c r="O35" s="382"/>
      <c r="P35" s="382"/>
    </row>
    <row r="36" spans="2:16">
      <c r="B36" s="9" t="s">
        <v>526</v>
      </c>
      <c r="C36" s="406">
        <v>42487</v>
      </c>
      <c r="D36" s="5">
        <v>20000</v>
      </c>
      <c r="E36" s="382">
        <f t="shared" si="3"/>
        <v>227062</v>
      </c>
      <c r="F36" s="9">
        <v>0</v>
      </c>
      <c r="G36" s="9"/>
      <c r="H36" s="9"/>
      <c r="J36" s="9" t="s">
        <v>525</v>
      </c>
      <c r="K36" s="406">
        <v>44498</v>
      </c>
      <c r="L36" s="9">
        <v>0</v>
      </c>
      <c r="M36" s="382">
        <f t="shared" si="2"/>
        <v>525987.68</v>
      </c>
      <c r="N36" s="382">
        <v>20000</v>
      </c>
      <c r="O36" s="382"/>
      <c r="P36" s="382"/>
    </row>
    <row r="37" spans="2:16">
      <c r="B37" s="9" t="s">
        <v>521</v>
      </c>
      <c r="C37" s="406">
        <v>42464</v>
      </c>
      <c r="D37" s="9">
        <v>0</v>
      </c>
      <c r="E37" s="382">
        <v>247062</v>
      </c>
      <c r="F37" s="382">
        <v>169330.5</v>
      </c>
      <c r="G37" s="382">
        <v>5000</v>
      </c>
      <c r="H37" s="382">
        <f>F37/G37</f>
        <v>33.8661</v>
      </c>
      <c r="J37" s="9" t="s">
        <v>522</v>
      </c>
      <c r="K37" s="406">
        <v>44561</v>
      </c>
      <c r="L37" s="9" t="s">
        <v>523</v>
      </c>
      <c r="M37" s="382">
        <v>505987.68</v>
      </c>
      <c r="N37" s="9" t="s">
        <v>523</v>
      </c>
      <c r="O37" s="382"/>
      <c r="P37" s="382"/>
    </row>
    <row r="38" spans="2:16">
      <c r="B38" s="9"/>
      <c r="C38" s="406"/>
      <c r="D38" s="9"/>
      <c r="E38" s="409" t="s">
        <v>524</v>
      </c>
      <c r="F38" s="410"/>
      <c r="G38" s="382"/>
      <c r="H38" s="382"/>
      <c r="J38" s="9" t="s">
        <v>520</v>
      </c>
      <c r="K38" s="406">
        <v>44926</v>
      </c>
      <c r="L38" s="9"/>
      <c r="M38" s="413">
        <v>645812.68</v>
      </c>
      <c r="N38" s="414"/>
      <c r="O38" s="382"/>
      <c r="P38" s="382"/>
    </row>
    <row r="39" spans="2:16">
      <c r="B39" s="9" t="s">
        <v>519</v>
      </c>
      <c r="C39" s="406" t="s">
        <v>554</v>
      </c>
      <c r="D39" s="9">
        <v>0</v>
      </c>
      <c r="E39" s="382">
        <f>E37-F37</f>
        <v>77731.5</v>
      </c>
      <c r="F39" s="9">
        <v>77700.001</v>
      </c>
      <c r="G39" s="9">
        <f>2000+400</f>
        <v>2400</v>
      </c>
      <c r="H39" s="9">
        <f>F39/G39</f>
        <v>32.3750004166667</v>
      </c>
      <c r="J39" s="9"/>
      <c r="K39" s="406"/>
      <c r="L39" s="9"/>
      <c r="M39" s="382"/>
      <c r="N39" s="382"/>
      <c r="O39" s="382"/>
      <c r="P39" s="382"/>
    </row>
    <row r="40" spans="6:14">
      <c r="F40" s="40" t="s">
        <v>555</v>
      </c>
      <c r="N40" s="40" t="s">
        <v>555</v>
      </c>
    </row>
    <row r="41" ht="17.4" spans="2:16">
      <c r="B41" s="411" t="s">
        <v>556</v>
      </c>
      <c r="C41" s="411"/>
      <c r="D41" s="411"/>
      <c r="E41" s="411"/>
      <c r="F41" s="411"/>
      <c r="G41" s="411"/>
      <c r="H41" s="411"/>
      <c r="J41" s="411"/>
      <c r="K41" s="411"/>
      <c r="L41" s="411"/>
      <c r="M41" s="411"/>
      <c r="N41" s="411"/>
      <c r="O41" s="411"/>
      <c r="P41" s="411"/>
    </row>
  </sheetData>
  <sortState ref="J3:Q39">
    <sortCondition ref="Q3:Q39" descending="1"/>
  </sortState>
  <mergeCells count="1">
    <mergeCell ref="E38:F38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24"/>
  <sheetViews>
    <sheetView workbookViewId="0">
      <selection activeCell="E40" sqref="E40"/>
    </sheetView>
  </sheetViews>
  <sheetFormatPr defaultColWidth="9" defaultRowHeight="13.2" outlineLevelCol="4"/>
  <cols>
    <col min="1" max="1" width="1.13888888888889" customWidth="1"/>
    <col min="2" max="2" width="11.712962962963" customWidth="1"/>
    <col min="3" max="3" width="10.712962962963" style="393" customWidth="1"/>
    <col min="4" max="4" width="12.8518518518519" customWidth="1"/>
    <col min="5" max="5" width="9.13888888888889" style="393"/>
  </cols>
  <sheetData>
    <row r="2" spans="2:5">
      <c r="B2" s="9" t="s">
        <v>513</v>
      </c>
      <c r="C2" s="394" t="s">
        <v>557</v>
      </c>
      <c r="D2" s="9" t="s">
        <v>512</v>
      </c>
      <c r="E2" s="394" t="s">
        <v>558</v>
      </c>
    </row>
    <row r="3" spans="2:5">
      <c r="B3" s="395">
        <v>42430</v>
      </c>
      <c r="C3" s="394">
        <v>400</v>
      </c>
      <c r="D3" s="9" t="s">
        <v>559</v>
      </c>
      <c r="E3" s="394">
        <v>892</v>
      </c>
    </row>
    <row r="4" spans="2:5">
      <c r="B4" s="395">
        <v>42705</v>
      </c>
      <c r="C4" s="394">
        <v>-8</v>
      </c>
      <c r="D4" s="9" t="s">
        <v>560</v>
      </c>
      <c r="E4" s="394">
        <v>492</v>
      </c>
    </row>
    <row r="5" spans="2:5">
      <c r="B5" s="395">
        <v>42705</v>
      </c>
      <c r="C5" s="394">
        <v>500</v>
      </c>
      <c r="D5" s="9" t="s">
        <v>561</v>
      </c>
      <c r="E5" s="394">
        <v>500</v>
      </c>
    </row>
    <row r="6" spans="2:5">
      <c r="B6" s="7">
        <v>42918</v>
      </c>
      <c r="C6" s="394">
        <v>-7.37</v>
      </c>
      <c r="D6" s="9" t="s">
        <v>562</v>
      </c>
      <c r="E6" s="394">
        <v>880.85</v>
      </c>
    </row>
    <row r="7" spans="2:5">
      <c r="B7" s="7">
        <v>43010</v>
      </c>
      <c r="C7" s="394">
        <v>-7.47</v>
      </c>
      <c r="D7" s="9" t="s">
        <v>562</v>
      </c>
      <c r="E7" s="394">
        <v>873.38</v>
      </c>
    </row>
    <row r="8" spans="2:5">
      <c r="B8" s="7">
        <v>43095</v>
      </c>
      <c r="C8" s="394">
        <v>-8</v>
      </c>
      <c r="D8" s="9" t="s">
        <v>560</v>
      </c>
      <c r="E8" s="394">
        <v>865.38</v>
      </c>
    </row>
    <row r="9" spans="2:5">
      <c r="B9" s="7">
        <v>43095</v>
      </c>
      <c r="C9" s="394">
        <v>-7.5</v>
      </c>
      <c r="D9" s="9" t="s">
        <v>562</v>
      </c>
      <c r="E9" s="394">
        <v>857.88</v>
      </c>
    </row>
    <row r="10" spans="2:5">
      <c r="B10" s="7">
        <v>43136</v>
      </c>
      <c r="C10" s="394">
        <v>2905</v>
      </c>
      <c r="D10" s="9" t="s">
        <v>525</v>
      </c>
      <c r="E10" s="394">
        <v>3762.88</v>
      </c>
    </row>
    <row r="11" spans="2:5">
      <c r="B11" s="7">
        <v>43227</v>
      </c>
      <c r="C11" s="394">
        <v>2905</v>
      </c>
      <c r="D11" s="9" t="s">
        <v>525</v>
      </c>
      <c r="E11" s="394">
        <v>6667.88</v>
      </c>
    </row>
    <row r="12" spans="2:5">
      <c r="B12" s="9" t="s">
        <v>563</v>
      </c>
      <c r="C12" s="394"/>
      <c r="D12" s="9" t="s">
        <v>564</v>
      </c>
      <c r="E12" s="394"/>
    </row>
    <row r="13" spans="2:5">
      <c r="B13" s="9"/>
      <c r="C13" s="394"/>
      <c r="D13" s="9"/>
      <c r="E13" s="394"/>
    </row>
    <row r="14" spans="2:5">
      <c r="B14" s="7">
        <v>43862</v>
      </c>
      <c r="C14" s="394">
        <v>2905</v>
      </c>
      <c r="D14" s="9"/>
      <c r="E14" s="394"/>
    </row>
    <row r="15" spans="2:5">
      <c r="B15" s="7">
        <v>43880</v>
      </c>
      <c r="C15" s="394">
        <v>-20600</v>
      </c>
      <c r="D15" s="9" t="s">
        <v>565</v>
      </c>
      <c r="E15" s="394">
        <v>564</v>
      </c>
    </row>
    <row r="16" spans="2:5">
      <c r="B16" s="7">
        <v>43952</v>
      </c>
      <c r="C16" s="394">
        <v>2905</v>
      </c>
      <c r="D16" s="9"/>
      <c r="E16" s="394">
        <f>E15+C16</f>
        <v>3469</v>
      </c>
    </row>
    <row r="17" spans="2:5">
      <c r="B17" s="7">
        <v>44012</v>
      </c>
      <c r="C17" s="394">
        <v>12.51</v>
      </c>
      <c r="D17" s="9" t="s">
        <v>566</v>
      </c>
      <c r="E17" s="394">
        <f>E16+C17</f>
        <v>3481.51</v>
      </c>
    </row>
    <row r="18" spans="2:5">
      <c r="B18" s="7">
        <v>44044</v>
      </c>
      <c r="C18" s="394">
        <v>2905</v>
      </c>
      <c r="D18" s="9"/>
      <c r="E18" s="394">
        <f>E17+C18</f>
        <v>6386.51</v>
      </c>
    </row>
    <row r="19" spans="2:5">
      <c r="B19" s="7">
        <v>44139</v>
      </c>
      <c r="C19" s="394">
        <f>1319+1586</f>
        <v>2905</v>
      </c>
      <c r="D19" s="9"/>
      <c r="E19" s="394">
        <f>E18+C19</f>
        <v>9291.51</v>
      </c>
    </row>
    <row r="20" spans="2:5">
      <c r="B20" s="9"/>
      <c r="C20" s="394"/>
      <c r="D20" s="9"/>
      <c r="E20" s="394"/>
    </row>
    <row r="21" spans="2:5">
      <c r="B21" s="9"/>
      <c r="C21" s="394"/>
      <c r="D21" s="9"/>
      <c r="E21" s="394"/>
    </row>
    <row r="22" spans="2:5">
      <c r="B22" s="9"/>
      <c r="C22" s="394"/>
      <c r="D22" s="9"/>
      <c r="E22" s="394"/>
    </row>
    <row r="23" spans="2:5">
      <c r="B23" s="7"/>
      <c r="C23" s="394"/>
      <c r="D23" s="9"/>
      <c r="E23" s="394"/>
    </row>
    <row r="24" spans="2:5">
      <c r="B24" s="9"/>
      <c r="C24" s="394"/>
      <c r="D24" s="9"/>
      <c r="E24" s="394"/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G44"/>
  <sheetViews>
    <sheetView topLeftCell="EI1" workbookViewId="0">
      <selection activeCell="FE10" sqref="FE10"/>
    </sheetView>
  </sheetViews>
  <sheetFormatPr defaultColWidth="9" defaultRowHeight="13.2"/>
  <cols>
    <col min="1" max="1" width="1.71296296296296" customWidth="1"/>
    <col min="2" max="2" width="9.71296296296296" customWidth="1"/>
    <col min="3" max="3" width="9" customWidth="1"/>
    <col min="4" max="4" width="10.287037037037" style="15" customWidth="1"/>
    <col min="5" max="5" width="9" style="41" customWidth="1"/>
    <col min="6" max="6" width="9.71296296296296" customWidth="1"/>
    <col min="7" max="7" width="9" customWidth="1"/>
    <col min="8" max="8" width="6.42592592592593" customWidth="1"/>
    <col min="9" max="9" width="5" customWidth="1"/>
    <col min="10" max="10" width="10.287037037037" customWidth="1"/>
    <col min="11" max="11" width="8" customWidth="1"/>
    <col min="12" max="12" width="10.287037037037" customWidth="1"/>
    <col min="13" max="13" width="10" customWidth="1"/>
    <col min="14" max="14" width="10.287037037037" customWidth="1"/>
    <col min="15" max="15" width="7" customWidth="1"/>
    <col min="16" max="16" width="10.287037037037" customWidth="1"/>
    <col min="17" max="17" width="7.71296296296296" customWidth="1"/>
    <col min="18" max="18" width="10.287037037037" customWidth="1"/>
    <col min="19" max="19" width="10" customWidth="1"/>
    <col min="20" max="99" width="10.287037037037" customWidth="1"/>
    <col min="100" max="101" width="10.287037037037" style="15" customWidth="1"/>
    <col min="102" max="105" width="10.287037037037" customWidth="1"/>
    <col min="106" max="107" width="10.287037037037" style="15" customWidth="1"/>
    <col min="108" max="111" width="10.287037037037" customWidth="1"/>
    <col min="112" max="113" width="10.287037037037" style="15" customWidth="1"/>
    <col min="114" max="117" width="10.287037037037" customWidth="1"/>
    <col min="118" max="119" width="10.287037037037" style="15" customWidth="1"/>
    <col min="120" max="123" width="10.287037037037" customWidth="1"/>
    <col min="124" max="125" width="10.287037037037" style="15" customWidth="1"/>
    <col min="126" max="129" width="10.287037037037" customWidth="1"/>
    <col min="130" max="130" width="21.8518518518519" style="15" customWidth="1"/>
    <col min="131" max="131" width="10.287037037037" style="15" customWidth="1"/>
    <col min="132" max="135" width="10.287037037037" customWidth="1"/>
    <col min="136" max="136" width="20.4259259259259" style="15" customWidth="1"/>
    <col min="137" max="137" width="10.287037037037" style="15" customWidth="1"/>
    <col min="138" max="141" width="10.287037037037" customWidth="1"/>
    <col min="142" max="143" width="10.287037037037" style="15" customWidth="1"/>
    <col min="144" max="147" width="10.287037037037" customWidth="1"/>
    <col min="148" max="149" width="10.287037037037" style="15" customWidth="1"/>
    <col min="150" max="150" width="11.287037037037" customWidth="1"/>
    <col min="151" max="151" width="7" customWidth="1"/>
    <col min="152" max="152" width="10.287037037037" customWidth="1"/>
    <col min="153" max="153" width="10" customWidth="1"/>
    <col min="154" max="154" width="10.287037037037" style="15" customWidth="1"/>
    <col min="155" max="155" width="9" style="15" customWidth="1"/>
    <col min="156" max="156" width="13.8518518518519" customWidth="1"/>
    <col min="157" max="157" width="8.28703703703704" customWidth="1"/>
    <col min="158" max="158" width="2.13888888888889" customWidth="1"/>
    <col min="159" max="159" width="12.287037037037" customWidth="1"/>
    <col min="160" max="160" width="11.8518518518519" customWidth="1"/>
    <col min="161" max="161" width="22.287037037037" customWidth="1"/>
    <col min="162" max="162" width="7.57407407407407" customWidth="1"/>
  </cols>
  <sheetData>
    <row r="1" ht="17.4" spans="2:162">
      <c r="B1" s="1" t="s">
        <v>567</v>
      </c>
      <c r="C1" s="1"/>
      <c r="D1" s="592" t="s">
        <v>568</v>
      </c>
      <c r="E1" s="350"/>
      <c r="F1" s="1" t="s">
        <v>569</v>
      </c>
      <c r="G1" s="1"/>
      <c r="H1" s="627" t="s">
        <v>570</v>
      </c>
      <c r="I1" s="351"/>
      <c r="J1" s="592" t="s">
        <v>568</v>
      </c>
      <c r="K1" s="350"/>
      <c r="L1" s="1" t="s">
        <v>571</v>
      </c>
      <c r="M1" s="1"/>
      <c r="N1" s="627" t="s">
        <v>570</v>
      </c>
      <c r="O1" s="351"/>
      <c r="P1" s="592" t="s">
        <v>568</v>
      </c>
      <c r="Q1" s="350"/>
      <c r="R1" s="1" t="s">
        <v>572</v>
      </c>
      <c r="S1" s="1"/>
      <c r="T1" s="627" t="s">
        <v>570</v>
      </c>
      <c r="U1" s="351"/>
      <c r="V1" s="592" t="s">
        <v>568</v>
      </c>
      <c r="W1" s="350"/>
      <c r="X1" s="1" t="s">
        <v>573</v>
      </c>
      <c r="Y1" s="1"/>
      <c r="Z1" s="627" t="s">
        <v>570</v>
      </c>
      <c r="AA1" s="351"/>
      <c r="AB1" s="592" t="s">
        <v>568</v>
      </c>
      <c r="AC1" s="350"/>
      <c r="AD1" s="1" t="s">
        <v>574</v>
      </c>
      <c r="AE1" s="1"/>
      <c r="AF1" s="627" t="s">
        <v>570</v>
      </c>
      <c r="AG1" s="351"/>
      <c r="AH1" s="592" t="s">
        <v>568</v>
      </c>
      <c r="AI1" s="350"/>
      <c r="AJ1" s="1" t="s">
        <v>575</v>
      </c>
      <c r="AK1" s="1"/>
      <c r="AL1" s="627" t="s">
        <v>576</v>
      </c>
      <c r="AM1" s="351"/>
      <c r="AN1" s="592" t="s">
        <v>577</v>
      </c>
      <c r="AO1" s="350"/>
      <c r="AP1" s="1" t="s">
        <v>578</v>
      </c>
      <c r="AQ1" s="1"/>
      <c r="AR1" s="627" t="s">
        <v>570</v>
      </c>
      <c r="AS1" s="351"/>
      <c r="AT1" s="592" t="s">
        <v>568</v>
      </c>
      <c r="AU1" s="350"/>
      <c r="AV1" s="1" t="s">
        <v>579</v>
      </c>
      <c r="AW1" s="1"/>
      <c r="AX1" s="627" t="s">
        <v>570</v>
      </c>
      <c r="AY1" s="351"/>
      <c r="AZ1" s="592" t="s">
        <v>568</v>
      </c>
      <c r="BA1" s="350"/>
      <c r="BB1" s="1" t="s">
        <v>580</v>
      </c>
      <c r="BC1" s="1"/>
      <c r="BD1" s="627" t="s">
        <v>570</v>
      </c>
      <c r="BE1" s="351"/>
      <c r="BF1" s="592" t="s">
        <v>568</v>
      </c>
      <c r="BG1" s="350"/>
      <c r="BH1" s="1" t="s">
        <v>581</v>
      </c>
      <c r="BI1" s="1"/>
      <c r="BJ1" s="627" t="s">
        <v>570</v>
      </c>
      <c r="BK1" s="351"/>
      <c r="BL1" s="592" t="s">
        <v>568</v>
      </c>
      <c r="BM1" s="350"/>
      <c r="BN1" s="1" t="s">
        <v>582</v>
      </c>
      <c r="BO1" s="1"/>
      <c r="BP1" s="627" t="s">
        <v>570</v>
      </c>
      <c r="BQ1" s="351"/>
      <c r="BR1" s="592" t="s">
        <v>568</v>
      </c>
      <c r="BS1" s="350"/>
      <c r="BT1" s="1" t="s">
        <v>583</v>
      </c>
      <c r="BU1" s="1"/>
      <c r="BV1" s="627" t="s">
        <v>584</v>
      </c>
      <c r="BW1" s="351"/>
      <c r="BX1" s="592" t="s">
        <v>585</v>
      </c>
      <c r="BY1" s="350"/>
      <c r="BZ1" s="1" t="s">
        <v>586</v>
      </c>
      <c r="CA1" s="1"/>
      <c r="CB1" s="627" t="s">
        <v>587</v>
      </c>
      <c r="CC1" s="351"/>
      <c r="CD1" s="592" t="s">
        <v>588</v>
      </c>
      <c r="CE1" s="350"/>
      <c r="CF1" s="1" t="s">
        <v>589</v>
      </c>
      <c r="CG1" s="1"/>
      <c r="CH1" s="627" t="s">
        <v>587</v>
      </c>
      <c r="CI1" s="351"/>
      <c r="CJ1" s="592" t="s">
        <v>588</v>
      </c>
      <c r="CK1" s="350"/>
      <c r="CL1" s="1" t="s">
        <v>590</v>
      </c>
      <c r="CM1" s="1"/>
      <c r="CN1" s="627" t="s">
        <v>587</v>
      </c>
      <c r="CO1" s="351"/>
      <c r="CP1" s="592" t="s">
        <v>588</v>
      </c>
      <c r="CQ1" s="350"/>
      <c r="CR1" s="1" t="s">
        <v>591</v>
      </c>
      <c r="CS1" s="1"/>
      <c r="CT1" s="627" t="s">
        <v>587</v>
      </c>
      <c r="CU1" s="351"/>
      <c r="CV1" s="628" t="s">
        <v>588</v>
      </c>
      <c r="CW1" s="365"/>
      <c r="CX1" s="1" t="s">
        <v>592</v>
      </c>
      <c r="CY1" s="1"/>
      <c r="CZ1" s="627" t="s">
        <v>587</v>
      </c>
      <c r="DA1" s="351"/>
      <c r="DB1" s="628" t="s">
        <v>588</v>
      </c>
      <c r="DC1" s="365"/>
      <c r="DD1" s="1" t="s">
        <v>593</v>
      </c>
      <c r="DE1" s="1"/>
      <c r="DF1" s="627" t="s">
        <v>594</v>
      </c>
      <c r="DG1" s="351"/>
      <c r="DH1" s="628" t="s">
        <v>595</v>
      </c>
      <c r="DI1" s="365"/>
      <c r="DJ1" s="1" t="s">
        <v>596</v>
      </c>
      <c r="DK1" s="1"/>
      <c r="DL1" s="627" t="s">
        <v>594</v>
      </c>
      <c r="DM1" s="351"/>
      <c r="DN1" s="628" t="s">
        <v>588</v>
      </c>
      <c r="DO1" s="365"/>
      <c r="DP1" s="1" t="s">
        <v>597</v>
      </c>
      <c r="DQ1" s="1"/>
      <c r="DR1" s="627" t="s">
        <v>594</v>
      </c>
      <c r="DS1" s="351"/>
      <c r="DT1" s="628" t="s">
        <v>588</v>
      </c>
      <c r="DU1" s="365"/>
      <c r="DV1" s="1" t="s">
        <v>598</v>
      </c>
      <c r="DW1" s="1"/>
      <c r="DX1" s="627" t="s">
        <v>594</v>
      </c>
      <c r="DY1" s="351"/>
      <c r="DZ1" s="628" t="s">
        <v>588</v>
      </c>
      <c r="EA1" s="365"/>
      <c r="EB1" s="1" t="s">
        <v>599</v>
      </c>
      <c r="EC1" s="1"/>
      <c r="ED1" s="627" t="s">
        <v>594</v>
      </c>
      <c r="EE1" s="351"/>
      <c r="EF1" s="628" t="s">
        <v>588</v>
      </c>
      <c r="EG1" s="365"/>
      <c r="EH1" s="1" t="s">
        <v>600</v>
      </c>
      <c r="EI1" s="1"/>
      <c r="EJ1" s="627" t="s">
        <v>594</v>
      </c>
      <c r="EK1" s="351"/>
      <c r="EL1" s="628" t="s">
        <v>601</v>
      </c>
      <c r="EM1" s="365"/>
      <c r="EN1" s="1" t="s">
        <v>602</v>
      </c>
      <c r="EO1" s="1"/>
      <c r="EP1" s="627" t="s">
        <v>594</v>
      </c>
      <c r="EQ1" s="351"/>
      <c r="ER1" s="628" t="s">
        <v>603</v>
      </c>
      <c r="ES1" s="365"/>
      <c r="ET1" s="1" t="s">
        <v>604</v>
      </c>
      <c r="EU1" s="1"/>
      <c r="EV1" s="627" t="s">
        <v>594</v>
      </c>
      <c r="EW1" s="351"/>
      <c r="EX1" s="628" t="s">
        <v>103</v>
      </c>
      <c r="EY1" s="365"/>
      <c r="EZ1" s="1" t="s">
        <v>605</v>
      </c>
      <c r="FA1" s="1"/>
      <c r="FC1" s="29" t="s">
        <v>606</v>
      </c>
      <c r="FD1" s="29" t="s">
        <v>607</v>
      </c>
      <c r="FE1" s="29"/>
      <c r="FF1" s="29"/>
    </row>
    <row r="2" spans="2:162">
      <c r="B2" s="352" t="s">
        <v>115</v>
      </c>
      <c r="C2" s="1">
        <f>SUM(C4:C10)</f>
        <v>9649.831</v>
      </c>
      <c r="D2" s="70" t="s">
        <v>116</v>
      </c>
      <c r="E2" s="353">
        <f>C2-G2</f>
        <v>4102.827</v>
      </c>
      <c r="F2" s="352" t="s">
        <v>115</v>
      </c>
      <c r="G2" s="1">
        <f>SUM(G4:G12)</f>
        <v>5547.004</v>
      </c>
      <c r="H2" s="1" t="s">
        <v>608</v>
      </c>
      <c r="I2" s="354">
        <f>SUM(I4:I12)</f>
        <v>5949</v>
      </c>
      <c r="J2" s="70" t="s">
        <v>116</v>
      </c>
      <c r="K2" s="353">
        <f>I2+G2-M2</f>
        <v>1177.423</v>
      </c>
      <c r="L2" s="352" t="s">
        <v>115</v>
      </c>
      <c r="M2" s="1">
        <f>SUM(M4:M12)</f>
        <v>10318.581</v>
      </c>
      <c r="N2" s="352" t="s">
        <v>608</v>
      </c>
      <c r="O2" s="355">
        <f>SUM(O4:O12)</f>
        <v>7954.5</v>
      </c>
      <c r="P2" s="70" t="s">
        <v>116</v>
      </c>
      <c r="Q2" s="353">
        <f>O2+M2-S2</f>
        <v>1007.08</v>
      </c>
      <c r="R2" s="352" t="s">
        <v>115</v>
      </c>
      <c r="S2" s="40">
        <f>SUM(S4:S12)</f>
        <v>17266.001</v>
      </c>
      <c r="T2" s="352" t="s">
        <v>608</v>
      </c>
      <c r="U2" s="355">
        <f>SUM(U4:U12)</f>
        <v>5945</v>
      </c>
      <c r="V2" s="70" t="s">
        <v>116</v>
      </c>
      <c r="W2" s="353">
        <f>U2+S2-Y2</f>
        <v>3135</v>
      </c>
      <c r="X2" s="352" t="s">
        <v>115</v>
      </c>
      <c r="Y2" s="40">
        <f>SUM(Y4:Y23)</f>
        <v>20076.001</v>
      </c>
      <c r="Z2" s="352" t="s">
        <v>608</v>
      </c>
      <c r="AA2" s="355">
        <f>SUM(AA4:AA12)</f>
        <v>30884</v>
      </c>
      <c r="AB2" s="70" t="s">
        <v>116</v>
      </c>
      <c r="AC2" s="353">
        <f>AA2+Y2-AE2</f>
        <v>45403</v>
      </c>
      <c r="AD2" s="352" t="s">
        <v>115</v>
      </c>
      <c r="AE2" s="40">
        <f>SUM(AE4:AE23)</f>
        <v>5557.001</v>
      </c>
      <c r="AF2" s="352" t="s">
        <v>608</v>
      </c>
      <c r="AG2" s="355">
        <f>SUM(AG4:AG12)</f>
        <v>10065</v>
      </c>
      <c r="AH2" s="70" t="s">
        <v>116</v>
      </c>
      <c r="AI2" s="353">
        <f>AG2+AE2-AK2</f>
        <v>1002.001</v>
      </c>
      <c r="AJ2" s="352" t="s">
        <v>115</v>
      </c>
      <c r="AK2" s="40">
        <f>SUM(AK4:AK23)</f>
        <v>14620</v>
      </c>
      <c r="AL2" s="352" t="s">
        <v>608</v>
      </c>
      <c r="AM2" s="355">
        <f>SUM(AM4:AM11)</f>
        <v>67462</v>
      </c>
      <c r="AN2" s="70" t="s">
        <v>116</v>
      </c>
      <c r="AO2" s="353">
        <f>AM2+AK2-AQ2</f>
        <v>77328.99</v>
      </c>
      <c r="AP2" s="352" t="s">
        <v>115</v>
      </c>
      <c r="AQ2" s="40">
        <f>SUM(AQ4:AQ24)</f>
        <v>4753.01</v>
      </c>
      <c r="AR2" s="352" t="s">
        <v>608</v>
      </c>
      <c r="AS2" s="355">
        <f>SUM(AS4:AS10)</f>
        <v>11820</v>
      </c>
      <c r="AT2" s="70" t="s">
        <v>116</v>
      </c>
      <c r="AU2" s="353">
        <f>AS2+AQ2-AW2</f>
        <v>1197</v>
      </c>
      <c r="AV2" s="352" t="s">
        <v>115</v>
      </c>
      <c r="AW2" s="40">
        <f>SUM(AW4:AW24)</f>
        <v>15376.01</v>
      </c>
      <c r="AX2" s="352" t="s">
        <v>608</v>
      </c>
      <c r="AY2" s="355">
        <f>SUM(AY4:AY15)</f>
        <v>8243.06</v>
      </c>
      <c r="AZ2" s="70" t="s">
        <v>116</v>
      </c>
      <c r="BA2" s="353">
        <f>AY2+AW2-BC2</f>
        <v>2157.06</v>
      </c>
      <c r="BB2" s="352" t="s">
        <v>115</v>
      </c>
      <c r="BC2" s="40">
        <f>SUM(BC4:BC24)</f>
        <v>21462.01</v>
      </c>
      <c r="BD2" s="352" t="s">
        <v>608</v>
      </c>
      <c r="BE2" s="355">
        <f>SUM(BE4:BE15)</f>
        <v>6478.17</v>
      </c>
      <c r="BF2" s="70" t="s">
        <v>116</v>
      </c>
      <c r="BG2" s="353">
        <f>BE2+BC2-BI2</f>
        <v>1105.179</v>
      </c>
      <c r="BH2" s="352" t="s">
        <v>115</v>
      </c>
      <c r="BI2" s="40">
        <f>SUM(BI4:BI13)</f>
        <v>26835.001</v>
      </c>
      <c r="BJ2" s="352" t="s">
        <v>608</v>
      </c>
      <c r="BK2" s="355">
        <f>SUM(BK4:BK15)</f>
        <v>7174</v>
      </c>
      <c r="BL2" s="70" t="s">
        <v>116</v>
      </c>
      <c r="BM2" s="353">
        <f>BK2+BI2-BO2</f>
        <v>1723</v>
      </c>
      <c r="BN2" s="352" t="s">
        <v>115</v>
      </c>
      <c r="BO2" s="40">
        <f>SUM(BO4:BO13)</f>
        <v>32286.001</v>
      </c>
      <c r="BP2" s="352" t="s">
        <v>608</v>
      </c>
      <c r="BQ2" s="355">
        <f>SUM(BQ4:BQ15)</f>
        <v>7385</v>
      </c>
      <c r="BR2" s="70" t="s">
        <v>116</v>
      </c>
      <c r="BS2" s="353">
        <f>BQ2+BO2-BU2</f>
        <v>1721.00000000001</v>
      </c>
      <c r="BT2" s="352" t="s">
        <v>115</v>
      </c>
      <c r="BU2" s="40">
        <f>SUM(BU4:BU13)</f>
        <v>37950.001</v>
      </c>
      <c r="BV2" s="352" t="s">
        <v>608</v>
      </c>
      <c r="BW2" s="355">
        <f>SUM(BW4:BW19)</f>
        <v>16350</v>
      </c>
      <c r="BX2" s="70" t="s">
        <v>116</v>
      </c>
      <c r="BY2" s="353">
        <f>BW2+BU2-CA2</f>
        <v>3874.99999999999</v>
      </c>
      <c r="BZ2" s="352" t="s">
        <v>115</v>
      </c>
      <c r="CA2" s="40">
        <f>SUM(CA4:CA14)</f>
        <v>50425.001</v>
      </c>
      <c r="CB2" s="352" t="s">
        <v>608</v>
      </c>
      <c r="CC2" s="355">
        <f>SUM(CC4:CC18)</f>
        <v>6446.8</v>
      </c>
      <c r="CD2" s="70" t="s">
        <v>116</v>
      </c>
      <c r="CE2" s="353">
        <f>CC2+CA2-CG2</f>
        <v>1185.8</v>
      </c>
      <c r="CF2" s="352" t="s">
        <v>115</v>
      </c>
      <c r="CG2" s="40">
        <f>SUM(CG4:CG14)</f>
        <v>55686.001</v>
      </c>
      <c r="CH2" s="352" t="s">
        <v>608</v>
      </c>
      <c r="CI2" s="355">
        <f>SUM(CI4:CI18)</f>
        <v>6951</v>
      </c>
      <c r="CJ2" s="70" t="s">
        <v>116</v>
      </c>
      <c r="CK2" s="353">
        <f>CI2+CG2-CM2</f>
        <v>2422</v>
      </c>
      <c r="CL2" s="352" t="s">
        <v>115</v>
      </c>
      <c r="CM2" s="40">
        <f>SUM(CM4:CM15)</f>
        <v>60215.001</v>
      </c>
      <c r="CN2" s="352" t="s">
        <v>608</v>
      </c>
      <c r="CO2" s="355">
        <f>SUM(CO4:CO18)</f>
        <v>7632.57</v>
      </c>
      <c r="CP2" s="70" t="s">
        <v>116</v>
      </c>
      <c r="CQ2" s="353">
        <f>CO2+CM2-CS2</f>
        <v>2797.56999999999</v>
      </c>
      <c r="CR2" s="352" t="s">
        <v>115</v>
      </c>
      <c r="CS2" s="40">
        <f>SUM(CS4:CS15)</f>
        <v>65050.001</v>
      </c>
      <c r="CT2" s="352" t="s">
        <v>608</v>
      </c>
      <c r="CU2" s="355">
        <f>SUM(CU4:CU21)</f>
        <v>29786.79</v>
      </c>
      <c r="CV2" s="70" t="s">
        <v>116</v>
      </c>
      <c r="CW2" s="353">
        <f>CU2+CS2-CY2</f>
        <v>1060.12</v>
      </c>
      <c r="CX2" s="352" t="s">
        <v>115</v>
      </c>
      <c r="CY2" s="40">
        <f>SUM(CY4:CY23)</f>
        <v>93776.671</v>
      </c>
      <c r="CZ2" s="352" t="s">
        <v>608</v>
      </c>
      <c r="DA2" s="355">
        <f>SUM(DA4:DA17)</f>
        <v>172.85</v>
      </c>
      <c r="DB2" s="70" t="s">
        <v>116</v>
      </c>
      <c r="DC2" s="353">
        <f>DA2+CY2-DE2</f>
        <v>1832.52</v>
      </c>
      <c r="DD2" s="352" t="s">
        <v>115</v>
      </c>
      <c r="DE2" s="40">
        <f>SUM(DE4:DE23)</f>
        <v>92117.001</v>
      </c>
      <c r="DF2" s="352" t="s">
        <v>608</v>
      </c>
      <c r="DG2" s="355">
        <f>SUM(DG4:DG17)</f>
        <v>7750.46</v>
      </c>
      <c r="DH2" s="70" t="s">
        <v>116</v>
      </c>
      <c r="DI2" s="353">
        <f>DG2+DE2-DK2</f>
        <v>1285.96100000001</v>
      </c>
      <c r="DJ2" s="352" t="s">
        <v>115</v>
      </c>
      <c r="DK2" s="40">
        <f>SUM(DK4:DK23)</f>
        <v>98581.5</v>
      </c>
      <c r="DL2" s="352" t="s">
        <v>608</v>
      </c>
      <c r="DM2" s="355">
        <f>SUM(DM4:DM16)</f>
        <v>7975.76</v>
      </c>
      <c r="DN2" s="70" t="s">
        <v>116</v>
      </c>
      <c r="DO2" s="353">
        <f>DM2+DK2-DQ2</f>
        <v>1211.26999999999</v>
      </c>
      <c r="DP2" s="352" t="s">
        <v>115</v>
      </c>
      <c r="DQ2" s="40">
        <f>SUM(DQ4:DQ23)</f>
        <v>105345.99</v>
      </c>
      <c r="DR2" s="352" t="s">
        <v>608</v>
      </c>
      <c r="DS2" s="355">
        <f>SUM(DS4:DS19)</f>
        <v>7716.651</v>
      </c>
      <c r="DT2" s="70" t="s">
        <v>116</v>
      </c>
      <c r="DU2" s="353">
        <f>DS2+DQ2-DW2</f>
        <v>2021.16099999999</v>
      </c>
      <c r="DV2" s="352" t="s">
        <v>115</v>
      </c>
      <c r="DW2" s="40">
        <f>SUM(DW4:DW26)</f>
        <v>111041.48</v>
      </c>
      <c r="DX2" s="352" t="s">
        <v>608</v>
      </c>
      <c r="DY2" s="355">
        <f>SUM(DY4:DY22)</f>
        <v>26268.66</v>
      </c>
      <c r="DZ2" s="70" t="s">
        <v>116</v>
      </c>
      <c r="EA2" s="353">
        <f>DY2+DW2-EC2</f>
        <v>59646.04</v>
      </c>
      <c r="EB2" s="352" t="s">
        <v>115</v>
      </c>
      <c r="EC2" s="40">
        <f>SUM(EC4:EC26)</f>
        <v>77664.1</v>
      </c>
      <c r="ED2" s="352" t="s">
        <v>608</v>
      </c>
      <c r="EE2" s="355">
        <f>SUM(EE4:EE23)</f>
        <v>9792.52</v>
      </c>
      <c r="EF2" s="70" t="s">
        <v>116</v>
      </c>
      <c r="EG2" s="353">
        <f>EE2+EC2-EI2</f>
        <v>3922.16</v>
      </c>
      <c r="EH2" s="352" t="s">
        <v>115</v>
      </c>
      <c r="EI2" s="40">
        <f>SUM(EI4:EI26)</f>
        <v>83534.46</v>
      </c>
      <c r="EJ2" s="352" t="s">
        <v>608</v>
      </c>
      <c r="EK2" s="355">
        <f>SUM(EK4:EK20)</f>
        <v>9808.85</v>
      </c>
      <c r="EL2" s="70" t="s">
        <v>116</v>
      </c>
      <c r="EM2" s="353">
        <f>EK2+EI2-EO2</f>
        <v>1949.99000000001</v>
      </c>
      <c r="EN2" s="352" t="s">
        <v>115</v>
      </c>
      <c r="EO2" s="40">
        <f>SUM(EO4:EO26)</f>
        <v>91393.32</v>
      </c>
      <c r="EP2" s="352" t="s">
        <v>608</v>
      </c>
      <c r="EQ2" s="355">
        <f>SUM(EQ4:EQ18)</f>
        <v>26019.36</v>
      </c>
      <c r="ER2" s="70" t="s">
        <v>116</v>
      </c>
      <c r="ES2" s="353">
        <f>EQ2+EO2-EU2</f>
        <v>3019.67999999999</v>
      </c>
      <c r="ET2" s="352" t="s">
        <v>115</v>
      </c>
      <c r="EU2" s="40">
        <f>SUM(EU4:EU25)</f>
        <v>114393</v>
      </c>
      <c r="EV2" s="352" t="s">
        <v>608</v>
      </c>
      <c r="EW2" s="355">
        <f>SUM(EW4:EW22)</f>
        <v>10677.851</v>
      </c>
      <c r="EX2" s="70" t="s">
        <v>116</v>
      </c>
      <c r="EY2" s="353">
        <f>EW2+EU2-FA2</f>
        <v>1963.851</v>
      </c>
      <c r="EZ2" s="352" t="s">
        <v>115</v>
      </c>
      <c r="FA2" s="40">
        <f>SUM(FA4:FA19)</f>
        <v>123107</v>
      </c>
      <c r="FB2" t="s">
        <v>609</v>
      </c>
      <c r="FC2" s="373">
        <f>FA2</f>
        <v>123107</v>
      </c>
      <c r="FD2" s="5">
        <f>C2</f>
        <v>9649.831</v>
      </c>
      <c r="FE2" s="12" t="s">
        <v>610</v>
      </c>
      <c r="FF2" s="390">
        <f>FC2-FD2</f>
        <v>113457.169</v>
      </c>
    </row>
    <row r="3" spans="2:162">
      <c r="B3" s="1"/>
      <c r="C3" s="1"/>
      <c r="D3" s="15" t="s">
        <v>611</v>
      </c>
      <c r="E3" s="41">
        <f>E2-E7-E8</f>
        <v>612.825999999999</v>
      </c>
      <c r="F3" s="1"/>
      <c r="G3" s="1"/>
      <c r="H3" s="1"/>
      <c r="I3" s="1"/>
      <c r="J3" s="15" t="s">
        <v>611</v>
      </c>
      <c r="K3" s="41">
        <f>K2-K6-K7</f>
        <v>427.423000000001</v>
      </c>
      <c r="L3" s="1"/>
      <c r="M3" s="1"/>
      <c r="P3" s="15" t="s">
        <v>611</v>
      </c>
      <c r="Q3" s="41">
        <f>Q2-Q6-Q7</f>
        <v>257.079999999998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</v>
      </c>
      <c r="AJ3" s="1"/>
      <c r="AK3" s="1"/>
      <c r="AN3" s="15" t="s">
        <v>613</v>
      </c>
      <c r="AO3">
        <f>AO2-AO6-AO9</f>
        <v>748.990000000005</v>
      </c>
      <c r="AP3" s="1"/>
      <c r="AQ3" s="1"/>
      <c r="AT3" s="15" t="s">
        <v>614</v>
      </c>
      <c r="AU3">
        <f>AU2-AU7</f>
        <v>637.000000000002</v>
      </c>
      <c r="AV3" s="1"/>
      <c r="AW3" s="1"/>
      <c r="AZ3" s="361" t="s">
        <v>614</v>
      </c>
      <c r="BA3" s="361">
        <f>BA2-BA7</f>
        <v>1569.06</v>
      </c>
      <c r="BB3" s="1"/>
      <c r="BC3" s="1"/>
      <c r="BF3" s="361" t="s">
        <v>614</v>
      </c>
      <c r="BG3" s="361">
        <f>BG2-BG7</f>
        <v>517.179</v>
      </c>
      <c r="BH3" s="1"/>
      <c r="BI3" s="1"/>
      <c r="BL3" s="361" t="s">
        <v>614</v>
      </c>
      <c r="BM3" s="361">
        <f>BM2-BM7</f>
        <v>1135</v>
      </c>
      <c r="BN3" s="1"/>
      <c r="BO3" s="1"/>
      <c r="BR3" s="361" t="s">
        <v>614</v>
      </c>
      <c r="BS3" s="361">
        <f>BS2-BS7</f>
        <v>1720.99900000001</v>
      </c>
      <c r="BT3" s="1"/>
      <c r="BU3" s="1"/>
      <c r="BX3" s="361" t="s">
        <v>614</v>
      </c>
      <c r="BY3" s="361">
        <f>BY2-BY7</f>
        <v>2750.99999999999</v>
      </c>
      <c r="BZ3" s="1"/>
      <c r="CA3" s="1"/>
      <c r="CD3" s="361" t="s">
        <v>614</v>
      </c>
      <c r="CE3" s="361">
        <f>CE2-CE7</f>
        <v>510.800000000003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56">
        <f>CQ2-CQ6-CQ7</f>
        <v>877.569999999992</v>
      </c>
      <c r="CR3" s="1"/>
      <c r="CS3" s="1"/>
      <c r="CV3" s="15" t="s">
        <v>615</v>
      </c>
      <c r="CW3" s="15">
        <f>CW2-CW6-CW7</f>
        <v>510.119999999995</v>
      </c>
      <c r="CX3" s="1"/>
      <c r="CY3" s="1"/>
      <c r="DB3" s="15" t="s">
        <v>615</v>
      </c>
      <c r="DC3" s="15">
        <f>DC2-DC6-DC7</f>
        <v>832.520000000004</v>
      </c>
      <c r="DD3" s="1"/>
      <c r="DE3" s="1"/>
      <c r="DH3" s="15" t="s">
        <v>615</v>
      </c>
      <c r="DI3" s="15">
        <f>DI2-DI6-DI7</f>
        <v>179.66100000001</v>
      </c>
      <c r="DJ3" s="1"/>
      <c r="DK3" s="1"/>
      <c r="DN3" s="15" t="s">
        <v>615</v>
      </c>
      <c r="DO3" s="15">
        <f>DO2-DO6-DO7</f>
        <v>661.26999999999</v>
      </c>
      <c r="DP3" s="1"/>
      <c r="DQ3" s="1"/>
      <c r="DT3" s="15" t="s">
        <v>615</v>
      </c>
      <c r="DU3" s="371">
        <f>DU2-DU6-DU7</f>
        <v>281.930999999993</v>
      </c>
      <c r="DV3" s="1"/>
      <c r="DW3" s="1"/>
      <c r="DZ3" s="15" t="s">
        <v>616</v>
      </c>
      <c r="EA3" s="371">
        <f>EA2-EA6-EA7-EA9</f>
        <v>53.4400000000242</v>
      </c>
      <c r="EB3" s="1"/>
      <c r="EC3" s="1"/>
      <c r="EF3" s="15" t="s">
        <v>615</v>
      </c>
      <c r="EG3" s="15">
        <f>EG2-EG6-EG7</f>
        <v>1297.11</v>
      </c>
      <c r="EH3" s="1"/>
      <c r="EI3" s="1"/>
      <c r="EL3" s="15" t="s">
        <v>615</v>
      </c>
      <c r="EM3" s="15">
        <f>EM2-EM6-EM7</f>
        <v>621.090000000005</v>
      </c>
      <c r="EN3" s="1"/>
      <c r="EO3" s="1"/>
      <c r="ER3" s="15" t="s">
        <v>615</v>
      </c>
      <c r="ES3" s="15">
        <f>ES2-ES6-ES7</f>
        <v>1634.11999999999</v>
      </c>
      <c r="ET3" s="1"/>
      <c r="EU3" s="1"/>
      <c r="EX3" s="15" t="s">
        <v>615</v>
      </c>
      <c r="EY3" s="15">
        <f>EY2-EY6-EY7</f>
        <v>1313.851</v>
      </c>
      <c r="EZ3" s="1"/>
      <c r="FA3" s="1"/>
      <c r="FC3" s="374" t="s">
        <v>617</v>
      </c>
      <c r="FD3" s="374"/>
      <c r="FE3" s="374"/>
      <c r="FF3" s="374"/>
    </row>
    <row r="4" spans="2:159">
      <c r="B4" s="9" t="s">
        <v>618</v>
      </c>
      <c r="C4" s="9">
        <v>600.001</v>
      </c>
      <c r="D4" s="15" t="s">
        <v>619</v>
      </c>
      <c r="E4" s="41">
        <f>E3-E11</f>
        <v>592.824999999999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</v>
      </c>
      <c r="R4" s="9" t="s">
        <v>618</v>
      </c>
      <c r="S4" s="9">
        <v>20.001</v>
      </c>
      <c r="T4" s="29" t="s">
        <v>620</v>
      </c>
      <c r="U4" s="29">
        <v>5920</v>
      </c>
      <c r="V4" t="s">
        <v>619</v>
      </c>
      <c r="W4">
        <f>W3-W8</f>
        <v>333.001</v>
      </c>
      <c r="X4" s="9" t="s">
        <v>618</v>
      </c>
      <c r="Y4" s="9">
        <v>50.001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50.001</v>
      </c>
      <c r="AF4" s="29" t="s">
        <v>620</v>
      </c>
      <c r="AG4" s="29">
        <v>10065</v>
      </c>
      <c r="AH4" s="15" t="s">
        <v>622</v>
      </c>
      <c r="AI4">
        <f>AI3-AI8-AI10</f>
        <v>303.501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</v>
      </c>
      <c r="BB4" s="9" t="s">
        <v>618</v>
      </c>
      <c r="BC4" s="9">
        <v>80.01</v>
      </c>
      <c r="BF4" s="15" t="s">
        <v>615</v>
      </c>
      <c r="BG4">
        <f>BG3-BG8</f>
        <v>517.179</v>
      </c>
      <c r="BH4" s="9" t="s">
        <v>618</v>
      </c>
      <c r="BI4" s="9">
        <v>50.001</v>
      </c>
      <c r="BL4" s="15" t="s">
        <v>615</v>
      </c>
      <c r="BM4">
        <f>BM3-BM8</f>
        <v>1135</v>
      </c>
      <c r="BN4" s="9" t="s">
        <v>618</v>
      </c>
      <c r="BO4" s="9">
        <v>40.001</v>
      </c>
      <c r="BR4" s="15" t="s">
        <v>615</v>
      </c>
      <c r="BS4">
        <f>BS3-BS8</f>
        <v>370.999000000007</v>
      </c>
      <c r="BT4" s="9" t="s">
        <v>618</v>
      </c>
      <c r="BU4" s="9">
        <v>40.001</v>
      </c>
      <c r="BX4" s="15" t="s">
        <v>615</v>
      </c>
      <c r="BY4">
        <f>BY3-BY8</f>
        <v>978.249999999993</v>
      </c>
      <c r="BZ4" s="9" t="s">
        <v>618</v>
      </c>
      <c r="CA4" s="9">
        <v>40.001</v>
      </c>
      <c r="CD4" s="15" t="s">
        <v>615</v>
      </c>
      <c r="CE4">
        <f>CE3-CE8</f>
        <v>510.800000000003</v>
      </c>
      <c r="CF4" s="9" t="s">
        <v>618</v>
      </c>
      <c r="CG4" s="9">
        <v>40.001</v>
      </c>
      <c r="CJ4" t="s">
        <v>625</v>
      </c>
      <c r="CK4">
        <f>CK3-CK8-CK9</f>
        <v>309</v>
      </c>
      <c r="CL4" s="9" t="s">
        <v>618</v>
      </c>
      <c r="CM4" s="9">
        <v>60.001</v>
      </c>
      <c r="CP4" t="s">
        <v>626</v>
      </c>
      <c r="CQ4">
        <f>CQ3-CQ8-CQ9-CQ29</f>
        <v>193.149999999992</v>
      </c>
      <c r="CR4" s="9" t="s">
        <v>618</v>
      </c>
      <c r="CS4" s="9">
        <v>60.001</v>
      </c>
      <c r="CV4" s="15" t="s">
        <v>627</v>
      </c>
      <c r="CW4" s="15">
        <f>CW3-CW8-CW9</f>
        <v>298.869999999995</v>
      </c>
      <c r="CX4" s="9" t="s">
        <v>618</v>
      </c>
      <c r="CY4" s="9">
        <v>40.001</v>
      </c>
      <c r="DB4" s="15" t="s">
        <v>625</v>
      </c>
      <c r="DC4" s="15">
        <f>DC3-DC8-DC9</f>
        <v>248.650000000004</v>
      </c>
      <c r="DD4" s="9" t="s">
        <v>618</v>
      </c>
      <c r="DE4" s="9">
        <v>40.001</v>
      </c>
      <c r="DH4" s="15" t="s">
        <v>625</v>
      </c>
      <c r="DI4" s="15">
        <f>DI3-DI8-DI9</f>
        <v>53.1610000000103</v>
      </c>
      <c r="DJ4" s="9" t="s">
        <v>618</v>
      </c>
      <c r="DK4" s="9">
        <v>40</v>
      </c>
      <c r="DN4" s="15" t="s">
        <v>625</v>
      </c>
      <c r="DO4" s="15">
        <f>DO3-DO8-DO9</f>
        <v>236.64999999999</v>
      </c>
      <c r="DP4" s="9" t="s">
        <v>618</v>
      </c>
      <c r="DQ4" s="9">
        <v>60</v>
      </c>
      <c r="DT4" s="15" t="s">
        <v>625</v>
      </c>
      <c r="DU4" s="15">
        <f>DU3-DU8-DU9</f>
        <v>249.930999999993</v>
      </c>
      <c r="DV4" s="9" t="s">
        <v>618</v>
      </c>
      <c r="DW4" s="9">
        <v>60</v>
      </c>
      <c r="DZ4" s="15" t="s">
        <v>625</v>
      </c>
      <c r="EA4" s="15">
        <f>EA3-EA8</f>
        <v>-56.0599999999758</v>
      </c>
      <c r="EB4" s="9" t="s">
        <v>618</v>
      </c>
      <c r="EC4" s="9">
        <v>20</v>
      </c>
      <c r="EF4" s="15" t="s">
        <v>625</v>
      </c>
      <c r="EG4" s="15">
        <f>EG3-EG8-EG9</f>
        <v>271.100000000004</v>
      </c>
      <c r="EH4" s="9" t="s">
        <v>618</v>
      </c>
      <c r="EI4" s="9">
        <v>20</v>
      </c>
      <c r="EL4" s="15" t="s">
        <v>625</v>
      </c>
      <c r="EM4" s="15">
        <f>EM3-EM8-EM9</f>
        <v>292.419000000005</v>
      </c>
      <c r="EN4" s="9" t="s">
        <v>618</v>
      </c>
      <c r="EO4" s="9">
        <v>20</v>
      </c>
      <c r="ER4" s="15" t="s">
        <v>625</v>
      </c>
      <c r="ES4" s="15">
        <f>ES3-ES8-ES9</f>
        <v>904.039999999993</v>
      </c>
      <c r="ET4" s="9" t="s">
        <v>618</v>
      </c>
      <c r="EU4" s="9">
        <v>20</v>
      </c>
      <c r="EX4" s="15" t="s">
        <v>625</v>
      </c>
      <c r="EY4" s="15">
        <f>EY3-EY8-EY9</f>
        <v>732.350999999995</v>
      </c>
      <c r="EZ4" s="9" t="s">
        <v>618</v>
      </c>
      <c r="FA4" s="9">
        <v>20</v>
      </c>
      <c r="FC4" s="375"/>
    </row>
    <row r="5" spans="2:160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325.000000000002</v>
      </c>
      <c r="AV5" s="9"/>
      <c r="AW5" s="9"/>
      <c r="AZ5" t="s">
        <v>625</v>
      </c>
      <c r="BA5">
        <f>BA4-BA9-BA10</f>
        <v>182.020000000001</v>
      </c>
      <c r="BB5" s="9"/>
      <c r="BC5" s="9"/>
      <c r="BF5" t="s">
        <v>627</v>
      </c>
      <c r="BG5">
        <f>BG4-BG9</f>
        <v>217.729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337.248999999993</v>
      </c>
      <c r="BZ5" s="9" t="s">
        <v>633</v>
      </c>
      <c r="CA5" s="9">
        <v>5000</v>
      </c>
      <c r="CD5" t="s">
        <v>627</v>
      </c>
      <c r="CE5">
        <f>CE4-CE9</f>
        <v>320.300000000003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75">
        <f>FC20-FC16-FC28</f>
        <v>185906.779</v>
      </c>
      <c r="FD5" t="s">
        <v>637</v>
      </c>
    </row>
    <row r="6" spans="2:160">
      <c r="B6" s="9" t="s">
        <v>638</v>
      </c>
      <c r="C6" s="9">
        <v>5919.62</v>
      </c>
      <c r="F6" s="9" t="s">
        <v>638</v>
      </c>
      <c r="G6" s="9">
        <v>3400.001</v>
      </c>
      <c r="H6" s="29"/>
      <c r="I6" s="29"/>
      <c r="J6" s="61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61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61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61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61" t="s">
        <v>643</v>
      </c>
      <c r="AI6" s="41">
        <v>0</v>
      </c>
      <c r="AJ6" s="9" t="s">
        <v>638</v>
      </c>
      <c r="AK6" s="9">
        <v>13676</v>
      </c>
      <c r="AN6" s="61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1" t="s">
        <v>644</v>
      </c>
      <c r="CK6" s="61">
        <f>SUM(CK11:CK11)</f>
        <v>1200</v>
      </c>
      <c r="CL6" s="9"/>
      <c r="CM6" s="9"/>
      <c r="CN6" t="s">
        <v>632</v>
      </c>
      <c r="CO6">
        <v>0</v>
      </c>
      <c r="CP6" s="61" t="s">
        <v>644</v>
      </c>
      <c r="CQ6" s="61">
        <f>SUM(CQ11:CQ11)</f>
        <v>550</v>
      </c>
      <c r="CR6" s="9"/>
      <c r="CS6" s="9"/>
      <c r="CT6" t="s">
        <v>632</v>
      </c>
      <c r="CU6">
        <v>0</v>
      </c>
      <c r="CV6" s="61" t="s">
        <v>644</v>
      </c>
      <c r="CW6" s="61">
        <f>SUM(CW11:CW11)</f>
        <v>550</v>
      </c>
      <c r="CX6" s="9"/>
      <c r="CY6" s="9"/>
      <c r="CZ6" t="s">
        <v>632</v>
      </c>
      <c r="DA6">
        <v>0</v>
      </c>
      <c r="DB6" s="61" t="s">
        <v>644</v>
      </c>
      <c r="DC6" s="61">
        <f>SUM(DC11:DC11)</f>
        <v>550</v>
      </c>
      <c r="DD6" s="9"/>
      <c r="DE6" s="9"/>
      <c r="DF6" t="s">
        <v>632</v>
      </c>
      <c r="DG6">
        <v>0</v>
      </c>
      <c r="DH6" s="61" t="s">
        <v>644</v>
      </c>
      <c r="DI6" s="61">
        <f>SUM(DI11:DI11)</f>
        <v>550</v>
      </c>
      <c r="DJ6" s="9"/>
      <c r="DK6" s="9"/>
      <c r="DL6" t="s">
        <v>632</v>
      </c>
      <c r="DM6">
        <v>0</v>
      </c>
      <c r="DN6" s="61" t="s">
        <v>644</v>
      </c>
      <c r="DO6" s="61">
        <f>SUM(DO11:DO11)</f>
        <v>550</v>
      </c>
      <c r="DP6" s="9"/>
      <c r="DQ6" s="9"/>
      <c r="DR6" t="s">
        <v>632</v>
      </c>
      <c r="DS6">
        <v>0</v>
      </c>
      <c r="DT6" s="61" t="s">
        <v>644</v>
      </c>
      <c r="DU6" s="61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1" t="s">
        <v>644</v>
      </c>
      <c r="EA6" s="61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1" t="s">
        <v>649</v>
      </c>
      <c r="EG6" s="61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1" t="s">
        <v>649</v>
      </c>
      <c r="EM6" s="61">
        <f>EM11</f>
        <v>0</v>
      </c>
      <c r="EN6" s="9" t="s">
        <v>648</v>
      </c>
      <c r="EO6" s="9">
        <v>2500</v>
      </c>
      <c r="EP6" t="s">
        <v>632</v>
      </c>
      <c r="ER6" s="61" t="s">
        <v>650</v>
      </c>
      <c r="ES6" s="61">
        <v>1300</v>
      </c>
      <c r="ET6" s="9" t="s">
        <v>648</v>
      </c>
      <c r="EU6" s="9">
        <v>2500</v>
      </c>
      <c r="EV6" t="s">
        <v>632</v>
      </c>
      <c r="EW6">
        <v>0</v>
      </c>
      <c r="EX6" s="61" t="s">
        <v>651</v>
      </c>
      <c r="EY6" s="61">
        <v>650</v>
      </c>
      <c r="EZ6" s="9" t="s">
        <v>648</v>
      </c>
      <c r="FA6" s="9">
        <v>2500</v>
      </c>
      <c r="FC6" s="375">
        <f>FC5/28</f>
        <v>6639.52782142857</v>
      </c>
      <c r="FD6" t="s">
        <v>652</v>
      </c>
    </row>
    <row r="7" ht="13.8" spans="2:160">
      <c r="B7" s="9" t="s">
        <v>653</v>
      </c>
      <c r="C7" s="9">
        <v>3130.21</v>
      </c>
      <c r="D7" s="61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61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61"/>
      <c r="Q7" s="41"/>
      <c r="R7" s="9" t="s">
        <v>653</v>
      </c>
      <c r="S7" s="9">
        <v>2477</v>
      </c>
      <c r="T7" t="s">
        <v>657</v>
      </c>
      <c r="U7">
        <v>0</v>
      </c>
      <c r="V7" s="61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1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1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1"/>
      <c r="AP7" s="9" t="s">
        <v>660</v>
      </c>
      <c r="AQ7" s="9">
        <v>671</v>
      </c>
      <c r="AR7" t="s">
        <v>659</v>
      </c>
      <c r="AS7">
        <v>0</v>
      </c>
      <c r="AT7" s="61" t="s">
        <v>661</v>
      </c>
      <c r="AU7" s="61">
        <v>560</v>
      </c>
      <c r="AV7" s="9" t="s">
        <v>653</v>
      </c>
      <c r="AW7" s="9">
        <v>630</v>
      </c>
      <c r="AX7" t="s">
        <v>659</v>
      </c>
      <c r="AY7">
        <v>0</v>
      </c>
      <c r="AZ7" s="61" t="s">
        <v>662</v>
      </c>
      <c r="BA7" s="61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1" t="s">
        <v>664</v>
      </c>
      <c r="BG7" s="61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1" t="s">
        <v>666</v>
      </c>
      <c r="BM7" s="61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1" t="s">
        <v>668</v>
      </c>
      <c r="BS7" s="61">
        <v>0.001</v>
      </c>
      <c r="BT7" s="9" t="s">
        <v>653</v>
      </c>
      <c r="BU7" s="9">
        <v>2290</v>
      </c>
      <c r="BV7" t="s">
        <v>669</v>
      </c>
      <c r="BW7">
        <v>3980</v>
      </c>
      <c r="BX7" s="61" t="s">
        <v>644</v>
      </c>
      <c r="BY7" s="61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1" t="s">
        <v>644</v>
      </c>
      <c r="CE7" s="61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1" t="s">
        <v>670</v>
      </c>
      <c r="CK7" s="362">
        <v>595</v>
      </c>
      <c r="CL7" s="9" t="s">
        <v>638</v>
      </c>
      <c r="CM7" s="360">
        <v>49649</v>
      </c>
      <c r="CN7" t="s">
        <v>671</v>
      </c>
      <c r="CO7" s="364">
        <f>6849+500+250</f>
        <v>7599</v>
      </c>
      <c r="CP7" s="61" t="s">
        <v>670</v>
      </c>
      <c r="CQ7" s="362">
        <f>CQ23</f>
        <v>1370</v>
      </c>
      <c r="CR7" s="9" t="s">
        <v>638</v>
      </c>
      <c r="CS7" s="123">
        <v>58074</v>
      </c>
      <c r="CT7" s="366" t="s">
        <v>672</v>
      </c>
      <c r="CU7" s="1"/>
      <c r="CV7" s="61" t="s">
        <v>670</v>
      </c>
      <c r="CW7" s="42">
        <f>CW22</f>
        <v>0</v>
      </c>
      <c r="CX7" s="9" t="s">
        <v>673</v>
      </c>
      <c r="CY7" s="123">
        <v>20265</v>
      </c>
      <c r="CZ7" t="s">
        <v>674</v>
      </c>
      <c r="DA7">
        <v>0</v>
      </c>
      <c r="DB7" s="61" t="s">
        <v>670</v>
      </c>
      <c r="DC7" s="42">
        <v>450</v>
      </c>
      <c r="DD7" s="9" t="s">
        <v>673</v>
      </c>
      <c r="DE7" s="123">
        <v>12707</v>
      </c>
      <c r="DF7" t="s">
        <v>620</v>
      </c>
      <c r="DG7">
        <f>5861+1000+500+250</f>
        <v>7611</v>
      </c>
      <c r="DH7" s="61" t="s">
        <v>670</v>
      </c>
      <c r="DI7" s="42">
        <f>SUM(DI20:DI25)</f>
        <v>556.3</v>
      </c>
      <c r="DJ7" s="9" t="s">
        <v>675</v>
      </c>
      <c r="DK7" s="368">
        <f>8732-32.5</f>
        <v>8699.5</v>
      </c>
      <c r="DL7" t="s">
        <v>620</v>
      </c>
      <c r="DM7">
        <f>5861+1000+500+250</f>
        <v>7611</v>
      </c>
      <c r="DN7" s="61" t="s">
        <v>670</v>
      </c>
      <c r="DO7" s="42">
        <v>0</v>
      </c>
      <c r="DP7" s="9" t="s">
        <v>673</v>
      </c>
      <c r="DQ7" s="123">
        <f>6974</f>
        <v>6974</v>
      </c>
      <c r="DR7" t="s">
        <v>676</v>
      </c>
      <c r="DS7">
        <f>5861+1000+500+250</f>
        <v>7611</v>
      </c>
      <c r="DT7" s="61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1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1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1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1" t="s">
        <v>670</v>
      </c>
      <c r="ES7" s="42">
        <f>SUM(ES23:ES24)</f>
        <v>85.56</v>
      </c>
      <c r="ET7" s="9" t="s">
        <v>683</v>
      </c>
      <c r="EU7" s="9">
        <v>15000</v>
      </c>
      <c r="EV7" t="s">
        <v>684</v>
      </c>
      <c r="EW7">
        <v>7642</v>
      </c>
      <c r="EX7" s="61" t="s">
        <v>670</v>
      </c>
      <c r="EY7" s="42">
        <f>SUM(EY23:EY24)</f>
        <v>0</v>
      </c>
      <c r="EZ7" s="9" t="s">
        <v>685</v>
      </c>
      <c r="FA7" s="9">
        <v>15000</v>
      </c>
      <c r="FC7" s="375">
        <f>FD30+FD32</f>
        <v>19789.832</v>
      </c>
      <c r="FD7" t="s">
        <v>686</v>
      </c>
    </row>
    <row r="8" spans="2:160">
      <c r="B8" s="9"/>
      <c r="C8" s="9"/>
      <c r="D8" s="61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57">
        <f>SUM(W11:W19)</f>
        <v>706.999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57">
        <f>SUM(AC11:AC19)</f>
        <v>312.5</v>
      </c>
      <c r="AD8" s="9" t="s">
        <v>687</v>
      </c>
      <c r="AE8" s="9">
        <v>851</v>
      </c>
      <c r="AH8" s="15" t="s">
        <v>689</v>
      </c>
      <c r="AI8" s="357">
        <f>SUM(AI11:AI19)</f>
        <v>559.5</v>
      </c>
      <c r="AJ8" s="9" t="s">
        <v>687</v>
      </c>
      <c r="AK8" s="9">
        <v>294</v>
      </c>
      <c r="AN8" s="15" t="s">
        <v>689</v>
      </c>
      <c r="AO8" s="21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1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1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1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1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1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1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1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60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60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3">
        <v>25024</v>
      </c>
      <c r="CZ8" s="366" t="s">
        <v>702</v>
      </c>
      <c r="DA8" s="1"/>
      <c r="DB8" s="15" t="s">
        <v>700</v>
      </c>
      <c r="DC8" s="15">
        <f>SUM(DC13:DC18)</f>
        <v>243.87</v>
      </c>
      <c r="DD8" s="9" t="s">
        <v>701</v>
      </c>
      <c r="DE8" s="123">
        <v>25024</v>
      </c>
      <c r="DF8" s="366" t="s">
        <v>702</v>
      </c>
      <c r="DG8" s="1"/>
      <c r="DH8" s="15" t="s">
        <v>700</v>
      </c>
      <c r="DI8" s="15">
        <f>SUM(DI13:DI17)</f>
        <v>126.5</v>
      </c>
      <c r="DJ8" s="9" t="s">
        <v>701</v>
      </c>
      <c r="DK8" s="123">
        <v>25060</v>
      </c>
      <c r="DL8" s="366" t="s">
        <v>702</v>
      </c>
      <c r="DM8" s="1"/>
      <c r="DN8" s="15" t="s">
        <v>700</v>
      </c>
      <c r="DO8" s="15">
        <f>SUM(DO13:DO19)</f>
        <v>424.62</v>
      </c>
      <c r="DP8" s="9" t="s">
        <v>701</v>
      </c>
      <c r="DQ8" s="123">
        <v>25096</v>
      </c>
      <c r="DR8" s="366" t="s">
        <v>702</v>
      </c>
      <c r="DS8" s="1"/>
      <c r="DT8" s="15" t="s">
        <v>700</v>
      </c>
      <c r="DU8" s="15">
        <f>SUM(DU13:DU17)</f>
        <v>32</v>
      </c>
      <c r="DV8" s="9"/>
      <c r="DW8" s="9"/>
      <c r="DX8" s="366" t="s">
        <v>702</v>
      </c>
      <c r="DY8" s="1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366" t="s">
        <v>703</v>
      </c>
      <c r="EK8" s="1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75">
        <f>FC7/28</f>
        <v>706.779714285716</v>
      </c>
      <c r="FD8" t="s">
        <v>704</v>
      </c>
    </row>
    <row r="9" spans="2:157">
      <c r="B9" s="9"/>
      <c r="C9" s="9"/>
      <c r="D9" s="61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14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14">
        <f>SUM(BA12:BA18)</f>
        <v>99.89</v>
      </c>
      <c r="BB9" s="9" t="s">
        <v>696</v>
      </c>
      <c r="BC9" s="9">
        <v>1564</v>
      </c>
      <c r="BF9" s="15" t="s">
        <v>689</v>
      </c>
      <c r="BG9" s="214">
        <f>SUM(BG12:BG23)</f>
        <v>299.45</v>
      </c>
      <c r="BH9" s="9" t="s">
        <v>710</v>
      </c>
      <c r="BI9" s="9">
        <v>5</v>
      </c>
      <c r="BL9" s="15" t="s">
        <v>689</v>
      </c>
      <c r="BM9" s="214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14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641.001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61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61">
        <f>SUM(CQ19:CQ21)</f>
        <v>147.42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61">
        <f>SUM(CW18:CW20)</f>
        <v>0</v>
      </c>
      <c r="CX9" s="9" t="s">
        <v>714</v>
      </c>
      <c r="CY9" s="123">
        <v>25000</v>
      </c>
      <c r="CZ9" t="s">
        <v>628</v>
      </c>
      <c r="DA9">
        <v>0</v>
      </c>
      <c r="DB9" s="15" t="s">
        <v>712</v>
      </c>
      <c r="DC9" s="61">
        <f>SUM(DC21:DC23)</f>
        <v>340</v>
      </c>
      <c r="DD9" s="9" t="s">
        <v>714</v>
      </c>
      <c r="DE9" s="123">
        <v>25000</v>
      </c>
      <c r="DF9" t="s">
        <v>715</v>
      </c>
      <c r="DG9">
        <v>37</v>
      </c>
      <c r="DH9" s="15" t="s">
        <v>712</v>
      </c>
      <c r="DI9" s="61">
        <v>0</v>
      </c>
      <c r="DJ9" s="9" t="s">
        <v>714</v>
      </c>
      <c r="DK9" s="123">
        <v>25000</v>
      </c>
      <c r="DL9" t="s">
        <v>701</v>
      </c>
      <c r="DM9">
        <v>35.66</v>
      </c>
      <c r="DN9" s="15" t="s">
        <v>712</v>
      </c>
      <c r="DO9" s="61">
        <v>0</v>
      </c>
      <c r="DP9" s="9" t="s">
        <v>714</v>
      </c>
      <c r="DQ9" s="123">
        <v>25000</v>
      </c>
      <c r="DR9" t="s">
        <v>701</v>
      </c>
      <c r="DS9">
        <v>37</v>
      </c>
      <c r="DT9" s="15" t="s">
        <v>712</v>
      </c>
      <c r="DU9" s="61">
        <v>0</v>
      </c>
      <c r="DV9" s="9" t="s">
        <v>673</v>
      </c>
      <c r="DW9" s="123">
        <v>13611</v>
      </c>
      <c r="DX9" t="s">
        <v>716</v>
      </c>
      <c r="DY9">
        <v>37</v>
      </c>
      <c r="DZ9" s="15" t="s">
        <v>717</v>
      </c>
      <c r="EA9" s="61">
        <f>EA19+EA20</f>
        <v>59522.6</v>
      </c>
      <c r="EB9" s="9" t="s">
        <v>673</v>
      </c>
      <c r="EC9" s="123">
        <v>8191</v>
      </c>
      <c r="EF9" s="15" t="s">
        <v>718</v>
      </c>
      <c r="EG9" s="61">
        <f>SUM(EG18:EG23)</f>
        <v>888.76</v>
      </c>
      <c r="EH9" s="9" t="s">
        <v>673</v>
      </c>
      <c r="EI9" s="123">
        <f>1652-1300</f>
        <v>352</v>
      </c>
      <c r="EJ9" t="s">
        <v>719</v>
      </c>
      <c r="EK9">
        <f>33.43+37.06</f>
        <v>70.49</v>
      </c>
      <c r="EL9" s="15" t="s">
        <v>718</v>
      </c>
      <c r="EM9" s="61">
        <f>SUM(EM19:EM21)</f>
        <v>103.17</v>
      </c>
      <c r="EN9" s="9" t="s">
        <v>673</v>
      </c>
      <c r="EO9" s="123">
        <v>2720</v>
      </c>
      <c r="EP9" s="366" t="s">
        <v>703</v>
      </c>
      <c r="EQ9" s="1"/>
      <c r="ER9" s="15" t="s">
        <v>718</v>
      </c>
      <c r="ES9" s="61">
        <f>SUM(ES18:ES20)</f>
        <v>23.98</v>
      </c>
      <c r="ET9" s="9" t="s">
        <v>673</v>
      </c>
      <c r="EU9" s="123">
        <v>8950</v>
      </c>
      <c r="EV9" s="366" t="s">
        <v>703</v>
      </c>
      <c r="EW9" s="1"/>
      <c r="EX9" s="15" t="s">
        <v>718</v>
      </c>
      <c r="EY9" s="61">
        <f>SUM(EY20:EY21)</f>
        <v>250</v>
      </c>
      <c r="EZ9" s="9" t="s">
        <v>673</v>
      </c>
      <c r="FA9" s="123">
        <v>1676</v>
      </c>
    </row>
    <row r="10" spans="2:157">
      <c r="B10" s="9"/>
      <c r="C10" s="9"/>
      <c r="F10" s="9"/>
      <c r="G10" s="9"/>
      <c r="H10" s="29"/>
      <c r="I10" s="29"/>
      <c r="J10" s="15" t="s">
        <v>720</v>
      </c>
      <c r="K10" s="41">
        <v>17.001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61">
        <v>0.001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61">
        <v>0.001</v>
      </c>
      <c r="BZ10" s="9" t="s">
        <v>710</v>
      </c>
      <c r="CA10" s="9">
        <v>5</v>
      </c>
      <c r="CD10" s="15" t="s">
        <v>726</v>
      </c>
      <c r="CE10" s="61">
        <v>0.001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3">
        <v>15029</v>
      </c>
      <c r="CZ10" t="s">
        <v>730</v>
      </c>
      <c r="DA10">
        <v>26.85</v>
      </c>
      <c r="DD10" s="9" t="s">
        <v>729</v>
      </c>
      <c r="DE10" s="123">
        <f>20063+2000</f>
        <v>22063</v>
      </c>
      <c r="DF10" t="s">
        <v>731</v>
      </c>
      <c r="DG10">
        <v>26.85</v>
      </c>
      <c r="DJ10" s="9" t="s">
        <v>729</v>
      </c>
      <c r="DK10" s="123">
        <v>31103</v>
      </c>
      <c r="DL10" t="s">
        <v>732</v>
      </c>
      <c r="DM10">
        <v>33.56</v>
      </c>
      <c r="DP10" s="9" t="s">
        <v>729</v>
      </c>
      <c r="DQ10" s="123">
        <f>5244+34139</f>
        <v>39383</v>
      </c>
      <c r="DR10" t="s">
        <v>733</v>
      </c>
      <c r="DS10">
        <v>26.85</v>
      </c>
      <c r="DV10" s="9" t="s">
        <v>701</v>
      </c>
      <c r="DW10" s="123">
        <v>25133</v>
      </c>
      <c r="DX10" t="s">
        <v>734</v>
      </c>
      <c r="DY10">
        <v>26.85</v>
      </c>
      <c r="EB10" s="9" t="s">
        <v>701</v>
      </c>
      <c r="EC10" s="123">
        <v>25170</v>
      </c>
      <c r="EH10" s="9" t="s">
        <v>701</v>
      </c>
      <c r="EI10" s="123">
        <v>25170</v>
      </c>
      <c r="EJ10" t="s">
        <v>735</v>
      </c>
      <c r="EK10" s="362">
        <v>33.56</v>
      </c>
      <c r="EN10" s="9" t="s">
        <v>701</v>
      </c>
      <c r="EO10" s="123">
        <v>25240</v>
      </c>
      <c r="EP10" t="s">
        <v>701</v>
      </c>
      <c r="EQ10">
        <f>25325-EO10</f>
        <v>85</v>
      </c>
      <c r="ET10" s="9" t="s">
        <v>701</v>
      </c>
      <c r="EU10" s="123">
        <v>0</v>
      </c>
      <c r="EV10" t="s">
        <v>701</v>
      </c>
      <c r="EW10">
        <v>0</v>
      </c>
      <c r="EZ10" s="9" t="s">
        <v>701</v>
      </c>
      <c r="FA10" s="123">
        <v>0</v>
      </c>
    </row>
    <row r="11" spans="2:157">
      <c r="B11" s="9" t="s">
        <v>736</v>
      </c>
      <c r="C11" s="9">
        <v>0</v>
      </c>
      <c r="D11" s="15" t="s">
        <v>720</v>
      </c>
      <c r="E11" s="41">
        <v>20.001</v>
      </c>
      <c r="F11" s="9" t="s">
        <v>736</v>
      </c>
      <c r="G11" s="9">
        <v>11.001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60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60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60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60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3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3">
        <v>0.99</v>
      </c>
      <c r="ED11" s="366" t="s">
        <v>703</v>
      </c>
      <c r="EE11" s="1"/>
      <c r="EF11" s="15" t="s">
        <v>760</v>
      </c>
      <c r="EG11" s="15">
        <v>550</v>
      </c>
      <c r="EH11" s="9" t="s">
        <v>758</v>
      </c>
      <c r="EI11" s="123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3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3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3">
        <v>73308</v>
      </c>
    </row>
    <row r="12" spans="2:157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60" t="s">
        <v>778</v>
      </c>
      <c r="BI12" s="360">
        <v>0</v>
      </c>
      <c r="BJ12" s="36"/>
      <c r="BL12" s="15" t="s">
        <v>779</v>
      </c>
      <c r="BM12">
        <v>585</v>
      </c>
      <c r="BN12" s="360" t="s">
        <v>778</v>
      </c>
      <c r="BO12" s="360">
        <v>-40</v>
      </c>
      <c r="BP12" s="36" t="s">
        <v>723</v>
      </c>
      <c r="BT12" s="360" t="s">
        <v>780</v>
      </c>
      <c r="BU12" s="360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366" t="s">
        <v>702</v>
      </c>
      <c r="CU12" s="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3">
        <v>37933</v>
      </c>
      <c r="DX12" t="s">
        <v>785</v>
      </c>
      <c r="DY12">
        <v>56.81</v>
      </c>
      <c r="EB12" s="9" t="s">
        <v>729</v>
      </c>
      <c r="EC12" s="123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3">
        <v>27124</v>
      </c>
      <c r="EJ12" t="s">
        <v>784</v>
      </c>
      <c r="EK12">
        <f>38+10</f>
        <v>48</v>
      </c>
      <c r="EN12" s="9" t="s">
        <v>729</v>
      </c>
      <c r="EO12" s="123">
        <f>1380+25030</f>
        <v>26410</v>
      </c>
      <c r="EP12" t="s">
        <v>735</v>
      </c>
      <c r="EQ12" s="362">
        <f>26.85*2+33.56</f>
        <v>87.26</v>
      </c>
      <c r="ER12" s="22" t="s">
        <v>787</v>
      </c>
      <c r="ES12" s="61">
        <f>89*3</f>
        <v>267</v>
      </c>
      <c r="ET12" s="9" t="s">
        <v>729</v>
      </c>
      <c r="EU12" s="123">
        <f>54174+1010</f>
        <v>55184</v>
      </c>
      <c r="EV12" t="s">
        <v>788</v>
      </c>
      <c r="EW12" s="362">
        <v>26.85</v>
      </c>
      <c r="EX12" s="22" t="s">
        <v>789</v>
      </c>
      <c r="EY12" s="61">
        <f>89+29*2</f>
        <v>147</v>
      </c>
      <c r="EZ12" s="9" t="s">
        <v>729</v>
      </c>
      <c r="FA12" s="123">
        <v>0</v>
      </c>
    </row>
    <row r="13" spans="16:159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60" t="s">
        <v>793</v>
      </c>
      <c r="AE13" s="360">
        <v>0</v>
      </c>
      <c r="AH13" t="s">
        <v>792</v>
      </c>
      <c r="AI13">
        <f>250+70+120</f>
        <v>440</v>
      </c>
      <c r="AJ13" s="360" t="s">
        <v>793</v>
      </c>
      <c r="AK13" s="360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60" t="s">
        <v>780</v>
      </c>
      <c r="CA13" s="360">
        <v>0</v>
      </c>
      <c r="CB13" s="36" t="s">
        <v>723</v>
      </c>
      <c r="CD13" t="s">
        <v>801</v>
      </c>
      <c r="CE13">
        <v>575</v>
      </c>
      <c r="CF13" s="360" t="s">
        <v>780</v>
      </c>
      <c r="CG13" s="360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60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60">
        <v>3583.11</v>
      </c>
      <c r="ED13" t="s">
        <v>810</v>
      </c>
      <c r="EE13" s="362">
        <v>26.85</v>
      </c>
      <c r="EF13" s="22" t="s">
        <v>811</v>
      </c>
      <c r="EG13" s="15">
        <v>70</v>
      </c>
      <c r="EH13" s="9" t="s">
        <v>653</v>
      </c>
      <c r="EI13" s="360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60">
        <v>3010</v>
      </c>
      <c r="EP13" t="s">
        <v>754</v>
      </c>
      <c r="EQ13">
        <v>75</v>
      </c>
      <c r="ER13" s="22" t="s">
        <v>813</v>
      </c>
      <c r="ES13" s="61">
        <v>50</v>
      </c>
      <c r="ET13" s="9" t="s">
        <v>653</v>
      </c>
      <c r="EU13" s="360">
        <v>1244</v>
      </c>
      <c r="EV13" t="s">
        <v>754</v>
      </c>
      <c r="EW13">
        <v>0</v>
      </c>
      <c r="EX13" s="22" t="s">
        <v>813</v>
      </c>
      <c r="EY13" s="61">
        <v>50</v>
      </c>
      <c r="EZ13" s="9" t="s">
        <v>653</v>
      </c>
      <c r="FA13" s="360">
        <v>1181</v>
      </c>
      <c r="FC13" t="s">
        <v>814</v>
      </c>
    </row>
    <row r="14" spans="16:161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60" t="s">
        <v>819</v>
      </c>
      <c r="AQ14" s="360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60" t="s">
        <v>780</v>
      </c>
      <c r="AW14" s="360">
        <v>-14</v>
      </c>
      <c r="AZ14" t="s">
        <v>820</v>
      </c>
      <c r="BA14">
        <v>0</v>
      </c>
      <c r="BB14" s="360" t="s">
        <v>780</v>
      </c>
      <c r="BC14" s="360">
        <v>0</v>
      </c>
      <c r="BD14" s="36" t="s">
        <v>821</v>
      </c>
      <c r="BE14">
        <v>39.39</v>
      </c>
      <c r="BF14" s="362" t="s">
        <v>822</v>
      </c>
      <c r="BG14" s="362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60" t="s">
        <v>780</v>
      </c>
      <c r="CM14" s="360">
        <v>0</v>
      </c>
      <c r="CN14" s="36"/>
      <c r="CP14" s="9" t="s">
        <v>827</v>
      </c>
      <c r="CQ14">
        <v>89</v>
      </c>
      <c r="CR14" s="360" t="s">
        <v>780</v>
      </c>
      <c r="CS14" s="360">
        <v>0</v>
      </c>
      <c r="CT14" t="s">
        <v>828</v>
      </c>
      <c r="CU14">
        <f>26.85+33.56</f>
        <v>60.41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61">
        <v>89</v>
      </c>
      <c r="DP14" s="9" t="s">
        <v>710</v>
      </c>
      <c r="DQ14" s="9">
        <v>5</v>
      </c>
      <c r="DT14" s="22" t="s">
        <v>833</v>
      </c>
      <c r="DU14" s="61">
        <v>0</v>
      </c>
      <c r="DV14" s="9" t="s">
        <v>834</v>
      </c>
      <c r="DW14" s="9">
        <v>8</v>
      </c>
      <c r="DZ14" s="22" t="s">
        <v>835</v>
      </c>
      <c r="EA14" s="61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61">
        <v>0</v>
      </c>
      <c r="EH14" s="9" t="s">
        <v>834</v>
      </c>
      <c r="EI14" s="9">
        <v>8</v>
      </c>
      <c r="EL14" s="22" t="s">
        <v>837</v>
      </c>
      <c r="EM14" s="61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61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61">
        <f>32.25*2</f>
        <v>64.5</v>
      </c>
      <c r="EZ14" s="9" t="s">
        <v>834</v>
      </c>
      <c r="FA14" s="9">
        <v>0</v>
      </c>
      <c r="FC14" s="376"/>
      <c r="FD14" s="376"/>
      <c r="FE14" s="376"/>
    </row>
    <row r="15" spans="2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62" t="s">
        <v>843</v>
      </c>
      <c r="BG15" s="362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61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61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61">
        <v>30.001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61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61"/>
      <c r="EZ15" s="9" t="s">
        <v>852</v>
      </c>
      <c r="FA15" s="9">
        <v>0</v>
      </c>
      <c r="FC15" s="377">
        <f>I4+O4+U4+AA4+AG4+AM4+AS4+AY4+BE8+BK8+BQ8+BW8+CC7+CI7+CO7+SUM(CU8:CU11)+DA7+DG7+DM7+DS7+DY7+EE7+EE8+EK7+EQ7+EQ8+EW7+EW8</f>
        <v>226347</v>
      </c>
      <c r="FD15" s="378"/>
      <c r="FE15" s="378" t="s">
        <v>858</v>
      </c>
      <c r="FF15" t="s">
        <v>859</v>
      </c>
    </row>
    <row r="16" spans="58:162">
      <c r="BF16" s="362"/>
      <c r="BG16" s="362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61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61">
        <v>32.25</v>
      </c>
      <c r="EH16" s="9" t="s">
        <v>727</v>
      </c>
      <c r="EI16" s="9">
        <v>1235</v>
      </c>
      <c r="EL16" s="22" t="s">
        <v>873</v>
      </c>
      <c r="EM16" s="61">
        <v>32.25</v>
      </c>
      <c r="EN16" s="9" t="s">
        <v>727</v>
      </c>
      <c r="EO16" s="9">
        <v>59.96</v>
      </c>
      <c r="EP16" t="s">
        <v>874</v>
      </c>
      <c r="EQ16">
        <v>5.1</v>
      </c>
      <c r="ER16" s="22" t="s">
        <v>875</v>
      </c>
      <c r="ES16" s="61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61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58:161">
      <c r="BF17" s="362"/>
      <c r="BG17" s="362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60" t="s">
        <v>780</v>
      </c>
      <c r="CY17" s="360">
        <v>0</v>
      </c>
      <c r="DB17" s="22" t="s">
        <v>881</v>
      </c>
      <c r="DC17" s="15">
        <v>82</v>
      </c>
      <c r="DD17" s="360" t="s">
        <v>780</v>
      </c>
      <c r="DE17" s="360">
        <v>0</v>
      </c>
      <c r="DH17" s="22"/>
      <c r="DJ17" s="360" t="s">
        <v>780</v>
      </c>
      <c r="DK17" s="360">
        <v>0</v>
      </c>
      <c r="DL17" s="36" t="s">
        <v>723</v>
      </c>
      <c r="DN17" s="22" t="s">
        <v>882</v>
      </c>
      <c r="DO17" s="61">
        <v>52</v>
      </c>
      <c r="DP17" s="360" t="s">
        <v>780</v>
      </c>
      <c r="DQ17" s="360">
        <v>0</v>
      </c>
      <c r="DR17" s="36" t="s">
        <v>723</v>
      </c>
      <c r="DT17" s="22"/>
      <c r="DU17" s="61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61">
        <v>0</v>
      </c>
      <c r="EB17" s="9" t="s">
        <v>710</v>
      </c>
      <c r="EC17" s="9">
        <v>5</v>
      </c>
      <c r="EF17" s="22" t="s">
        <v>884</v>
      </c>
      <c r="EG17" s="61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61">
        <v>4.25</v>
      </c>
      <c r="EN17" s="9" t="s">
        <v>886</v>
      </c>
      <c r="EO17" s="9">
        <v>0</v>
      </c>
      <c r="EP17" t="s">
        <v>887</v>
      </c>
      <c r="EQ17">
        <v>155</v>
      </c>
      <c r="ES17" s="61"/>
      <c r="ET17" s="9" t="s">
        <v>725</v>
      </c>
      <c r="EU17" s="9">
        <v>-123</v>
      </c>
      <c r="EX17" s="291"/>
      <c r="EY17" s="61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22:161">
      <c r="V18" t="s">
        <v>889</v>
      </c>
      <c r="W18">
        <v>30.999</v>
      </c>
      <c r="AT18" t="s">
        <v>890</v>
      </c>
      <c r="AU18">
        <v>75</v>
      </c>
      <c r="AZ18" t="s">
        <v>842</v>
      </c>
      <c r="BA18">
        <v>33</v>
      </c>
      <c r="BF18" s="362" t="s">
        <v>891</v>
      </c>
      <c r="BG18" s="362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61">
        <v>15</v>
      </c>
      <c r="DR18" s="36" t="s">
        <v>899</v>
      </c>
      <c r="DS18">
        <v>12.001</v>
      </c>
      <c r="DU18" s="61"/>
      <c r="DV18" s="9" t="s">
        <v>725</v>
      </c>
      <c r="DW18" s="9">
        <v>-1394.65</v>
      </c>
      <c r="DX18" t="s">
        <v>900</v>
      </c>
      <c r="DY18">
        <v>1600</v>
      </c>
      <c r="EA18" s="61"/>
      <c r="EB18" s="9" t="s">
        <v>745</v>
      </c>
      <c r="EC18" s="9">
        <v>677</v>
      </c>
      <c r="ED18" s="36" t="s">
        <v>901</v>
      </c>
      <c r="EE18">
        <v>42</v>
      </c>
      <c r="EF18" s="61" t="s">
        <v>902</v>
      </c>
      <c r="EG18" s="15">
        <v>17</v>
      </c>
      <c r="EH18" s="9" t="s">
        <v>725</v>
      </c>
      <c r="EI18" s="9">
        <v>-19.23</v>
      </c>
      <c r="EJ18" s="36"/>
      <c r="EM18" s="61"/>
      <c r="EN18" s="9" t="s">
        <v>725</v>
      </c>
      <c r="EO18" s="9">
        <f>-EM23</f>
        <v>-1274.63</v>
      </c>
      <c r="ER18" s="15" t="s">
        <v>903</v>
      </c>
      <c r="ES18" s="61">
        <v>0</v>
      </c>
      <c r="ET18" s="9" t="s">
        <v>742</v>
      </c>
      <c r="EU18" s="9">
        <v>0</v>
      </c>
      <c r="EX18" s="15" t="s">
        <v>904</v>
      </c>
      <c r="EY18" s="61">
        <f>1162-827</f>
        <v>335</v>
      </c>
      <c r="EZ18" s="9" t="s">
        <v>742</v>
      </c>
      <c r="FA18" s="9">
        <v>0</v>
      </c>
      <c r="FC18" s="5">
        <f>FC20-SUM(FC15:FC17)</f>
        <v>5915.85200000001</v>
      </c>
      <c r="FD18" s="9"/>
      <c r="FE18" s="9" t="s">
        <v>905</v>
      </c>
    </row>
    <row r="19" spans="22:161">
      <c r="V19" s="358" t="s">
        <v>906</v>
      </c>
      <c r="W19">
        <f>18.5*4</f>
        <v>74</v>
      </c>
      <c r="AB19" s="359" t="s">
        <v>907</v>
      </c>
      <c r="AC19">
        <f>9.25*6</f>
        <v>55.5</v>
      </c>
      <c r="AH19" s="359" t="s">
        <v>907</v>
      </c>
      <c r="AI19">
        <f>9.25*6</f>
        <v>55.5</v>
      </c>
      <c r="AT19" t="s">
        <v>842</v>
      </c>
      <c r="AU19">
        <v>39</v>
      </c>
      <c r="BF19" s="362" t="s">
        <v>908</v>
      </c>
      <c r="BG19" s="362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367" t="s">
        <v>912</v>
      </c>
      <c r="CU19" s="367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61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61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61">
        <v>23.98</v>
      </c>
      <c r="ET19" s="360" t="s">
        <v>780</v>
      </c>
      <c r="EU19" s="360">
        <v>0</v>
      </c>
      <c r="EV19" s="36" t="s">
        <v>723</v>
      </c>
      <c r="EZ19" s="360" t="s">
        <v>780</v>
      </c>
      <c r="FA19" s="360">
        <v>0</v>
      </c>
      <c r="FC19" s="9" t="s">
        <v>919</v>
      </c>
      <c r="FD19" s="9"/>
      <c r="FE19" s="9"/>
    </row>
    <row r="20" spans="22:162">
      <c r="V20" s="359"/>
      <c r="AB20" s="359"/>
      <c r="AH20" s="359"/>
      <c r="BF20" s="362"/>
      <c r="BG20" s="362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140.45</v>
      </c>
      <c r="CX20" t="s">
        <v>924</v>
      </c>
      <c r="CY20">
        <v>1999</v>
      </c>
      <c r="DH20" s="152" t="s">
        <v>925</v>
      </c>
      <c r="DI20" s="258">
        <v>468</v>
      </c>
      <c r="DV20" s="360" t="s">
        <v>780</v>
      </c>
      <c r="DW20" s="360">
        <v>0</v>
      </c>
      <c r="DZ20" s="61" t="s">
        <v>926</v>
      </c>
      <c r="EA20" s="15">
        <v>0</v>
      </c>
      <c r="EB20" s="360" t="s">
        <v>780</v>
      </c>
      <c r="EC20" s="360">
        <v>0</v>
      </c>
      <c r="ED20" s="36" t="s">
        <v>723</v>
      </c>
      <c r="EG20" s="15">
        <v>209.19</v>
      </c>
      <c r="EH20" s="360" t="s">
        <v>780</v>
      </c>
      <c r="EI20" s="360">
        <v>0</v>
      </c>
      <c r="EN20" s="360" t="s">
        <v>780</v>
      </c>
      <c r="EO20" s="360">
        <v>0</v>
      </c>
      <c r="EP20" s="36"/>
      <c r="ES20" s="61"/>
      <c r="EV20" s="36" t="s">
        <v>927</v>
      </c>
      <c r="EW20">
        <v>100</v>
      </c>
      <c r="EX20" s="15" t="s">
        <v>928</v>
      </c>
      <c r="EY20" s="61">
        <v>247</v>
      </c>
      <c r="FC20" s="379">
        <f>I2+O2+U2+AA2+AG2+AM2+AS2+AY2+BE2+BK2+BQ2+BW2+CC2+CI2+CO2+CU2+DA2+DG2+DM2+DS2+DY2+EE2+EK2+EQ2+EW2</f>
        <v>342709.852</v>
      </c>
      <c r="FD20" s="629" t="s">
        <v>929</v>
      </c>
      <c r="FE20" s="385" t="s">
        <v>930</v>
      </c>
      <c r="FF20" t="s">
        <v>931</v>
      </c>
    </row>
    <row r="21" spans="40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281.78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52" t="s">
        <v>938</v>
      </c>
      <c r="DC21" s="258">
        <v>305</v>
      </c>
      <c r="DH21" s="152" t="s">
        <v>939</v>
      </c>
      <c r="DI21" s="258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61">
        <v>103.17</v>
      </c>
      <c r="ET21" t="s">
        <v>943</v>
      </c>
      <c r="EX21" s="15" t="s">
        <v>944</v>
      </c>
      <c r="EY21" s="15">
        <v>3</v>
      </c>
      <c r="EZ21" t="s">
        <v>943</v>
      </c>
      <c r="FC21" s="380">
        <f>FC20-FC22</f>
        <v>113457.169</v>
      </c>
      <c r="FD21" s="356"/>
      <c r="FE21" s="391" t="s">
        <v>945</v>
      </c>
      <c r="FF21" s="391"/>
      <c r="FG21" s="391"/>
    </row>
    <row r="22" spans="34:162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2" t="s">
        <v>897</v>
      </c>
      <c r="DC22" s="258">
        <f>5+7</f>
        <v>12</v>
      </c>
      <c r="DH22" s="152" t="s">
        <v>951</v>
      </c>
      <c r="DI22" s="369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t="s">
        <v>953</v>
      </c>
      <c r="FC22" s="379">
        <f>E2+K2+Q2+W2+AC2+AI2+AO2+AU2+BA2+BG2+BM2+BS2+BY2+CE2+CK2+CQ2+CW2+DC2+DI2+DO2+DU2+EA2+EG2+EM2+ES2+EY2</f>
        <v>229252.683</v>
      </c>
      <c r="FD22" s="629" t="s">
        <v>929</v>
      </c>
      <c r="FE22" s="378" t="s">
        <v>954</v>
      </c>
      <c r="FF22" t="s">
        <v>955</v>
      </c>
    </row>
    <row r="23" spans="34:161">
      <c r="AH23" t="s">
        <v>956</v>
      </c>
      <c r="AI23">
        <v>10</v>
      </c>
      <c r="AN23" s="359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2" t="s">
        <v>962</v>
      </c>
      <c r="DC23" s="258">
        <v>23</v>
      </c>
      <c r="DH23" s="152" t="s">
        <v>963</v>
      </c>
      <c r="DI23" s="258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61"/>
      <c r="EG23" s="61">
        <v>225.19</v>
      </c>
      <c r="EH23" t="s">
        <v>953</v>
      </c>
      <c r="EL23" s="15" t="s">
        <v>967</v>
      </c>
      <c r="EM23" s="15">
        <v>1274.63</v>
      </c>
      <c r="EN23" t="s">
        <v>953</v>
      </c>
      <c r="ER23" s="15" t="s">
        <v>968</v>
      </c>
      <c r="ES23" s="61">
        <v>75.57</v>
      </c>
      <c r="ET23" t="s">
        <v>966</v>
      </c>
      <c r="EZ23" t="s">
        <v>969</v>
      </c>
      <c r="FC23" s="9" t="s">
        <v>970</v>
      </c>
      <c r="FD23" s="9"/>
      <c r="FE23" s="9"/>
    </row>
    <row r="24" spans="12:161">
      <c r="L24" s="356"/>
      <c r="Q24" s="356"/>
      <c r="AN24" t="s">
        <v>971</v>
      </c>
      <c r="AO24">
        <v>25</v>
      </c>
      <c r="AT24" t="s">
        <v>842</v>
      </c>
      <c r="AU24">
        <v>9</v>
      </c>
      <c r="BL24" s="362" t="s">
        <v>972</v>
      </c>
      <c r="BM24" s="362">
        <v>16</v>
      </c>
      <c r="BX24" t="s">
        <v>973</v>
      </c>
      <c r="BY24">
        <v>89</v>
      </c>
      <c r="CP24" s="9" t="s">
        <v>974</v>
      </c>
      <c r="CQ24">
        <v>0</v>
      </c>
      <c r="DH24" s="152" t="s">
        <v>975</v>
      </c>
      <c r="DI24" s="258">
        <v>8.3</v>
      </c>
      <c r="DT24" s="15" t="s">
        <v>976</v>
      </c>
      <c r="DU24" s="15">
        <v>58</v>
      </c>
      <c r="EH24" t="s">
        <v>966</v>
      </c>
      <c r="EL24" s="15" t="s">
        <v>977</v>
      </c>
      <c r="EM24" s="61">
        <v>54.27</v>
      </c>
      <c r="EN24" t="s">
        <v>966</v>
      </c>
      <c r="ER24" s="15" t="s">
        <v>975</v>
      </c>
      <c r="ES24" s="61">
        <v>9.99</v>
      </c>
      <c r="ET24" t="s">
        <v>978</v>
      </c>
      <c r="EY24" s="61"/>
      <c r="EZ24" t="s">
        <v>979</v>
      </c>
      <c r="FC24" s="381">
        <f>SUM(FD25:FD26)</f>
        <v>178477.61</v>
      </c>
      <c r="FD24" s="9"/>
      <c r="FE24" s="9" t="s">
        <v>980</v>
      </c>
    </row>
    <row r="25" spans="34:161">
      <c r="AH25" s="356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52" t="s">
        <v>985</v>
      </c>
      <c r="DI25" s="258">
        <v>0</v>
      </c>
      <c r="EF25" s="15" t="s">
        <v>986</v>
      </c>
      <c r="EG25" s="61">
        <v>98.75</v>
      </c>
      <c r="EH25" t="s">
        <v>978</v>
      </c>
      <c r="EM25" s="61"/>
      <c r="EN25" t="s">
        <v>978</v>
      </c>
      <c r="FC25" s="382"/>
      <c r="FD25" s="9">
        <f>AC9+AO9+EA19</f>
        <v>177677.6</v>
      </c>
      <c r="FE25" s="9" t="s">
        <v>987</v>
      </c>
    </row>
    <row r="26" spans="40:161">
      <c r="AN26" t="s">
        <v>988</v>
      </c>
      <c r="AO26">
        <v>75</v>
      </c>
      <c r="AT26" t="s">
        <v>842</v>
      </c>
      <c r="AY26" s="356"/>
      <c r="BR26" t="s">
        <v>989</v>
      </c>
      <c r="BS26">
        <v>65</v>
      </c>
      <c r="BX26" t="s">
        <v>878</v>
      </c>
      <c r="BY26">
        <v>40.001</v>
      </c>
      <c r="CU26" s="356"/>
      <c r="DB26" s="15" t="s">
        <v>990</v>
      </c>
      <c r="DC26" s="15">
        <v>26</v>
      </c>
      <c r="EF26" s="15" t="s">
        <v>991</v>
      </c>
      <c r="EG26" s="15">
        <v>676.3</v>
      </c>
      <c r="FC26" s="382"/>
      <c r="FD26" s="9">
        <v>800.01</v>
      </c>
      <c r="FE26" s="9" t="s">
        <v>992</v>
      </c>
    </row>
    <row r="27" ht="1.5" customHeight="1" spans="51:161">
      <c r="AY27" s="356"/>
      <c r="CU27" s="356"/>
      <c r="FC27" s="383"/>
      <c r="FD27" s="384"/>
      <c r="FE27" s="392"/>
    </row>
    <row r="28" ht="14.25" customHeight="1" spans="51:162">
      <c r="AY28" s="356"/>
      <c r="CU28" s="356"/>
      <c r="FC28" s="382">
        <f>FC22-FC24</f>
        <v>50775.073</v>
      </c>
      <c r="FD28" s="385"/>
      <c r="FE28" s="9" t="s">
        <v>993</v>
      </c>
      <c r="FF28" t="s">
        <v>994</v>
      </c>
    </row>
    <row r="29" ht="15" customHeight="1" spans="58:16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70"/>
      <c r="EX29" s="370"/>
      <c r="FC29" s="386" t="s">
        <v>998</v>
      </c>
      <c r="FD29" s="382">
        <f>650*28+0.01</f>
        <v>18200.01</v>
      </c>
      <c r="FE29" s="9" t="s">
        <v>999</v>
      </c>
    </row>
    <row r="30" ht="15" customHeight="1" spans="76:161">
      <c r="BX30" t="s">
        <v>1000</v>
      </c>
      <c r="BY30">
        <v>250</v>
      </c>
      <c r="ED30" s="370"/>
      <c r="EL30" s="370"/>
      <c r="FC30" s="387"/>
      <c r="FD30" s="382">
        <f>300*28+0.01</f>
        <v>8400.01</v>
      </c>
      <c r="FE30" s="9" t="s">
        <v>1001</v>
      </c>
    </row>
    <row r="31" ht="15" customHeight="1" spans="46:162">
      <c r="AT31" t="s">
        <v>933</v>
      </c>
      <c r="AU31">
        <v>73</v>
      </c>
      <c r="BX31" t="s">
        <v>1002</v>
      </c>
      <c r="BY31">
        <v>6.5</v>
      </c>
      <c r="DK31" s="370"/>
      <c r="DL31" s="370"/>
      <c r="DQ31" s="370"/>
      <c r="DR31" s="370"/>
      <c r="DX31" s="370"/>
      <c r="FC31" s="386" t="s">
        <v>1003</v>
      </c>
      <c r="FD31" s="382">
        <f>E8+W7+BA8+BS8+BY8+CK7+CQ7+DC7+DI7+DU7+EG7+EM7</f>
        <v>12785.231</v>
      </c>
      <c r="FE31" s="9" t="s">
        <v>1004</v>
      </c>
      <c r="FF31" t="s">
        <v>859</v>
      </c>
    </row>
    <row r="32" ht="15" customHeight="1" spans="58:162">
      <c r="BF32" s="363"/>
      <c r="BX32" t="s">
        <v>1005</v>
      </c>
      <c r="BY32">
        <v>9</v>
      </c>
      <c r="FC32" s="387"/>
      <c r="FD32" s="388">
        <f>FC22-FC24-SUM(FD29:FD31)</f>
        <v>11389.822</v>
      </c>
      <c r="FE32" s="9" t="s">
        <v>1006</v>
      </c>
      <c r="FF32" t="s">
        <v>994</v>
      </c>
    </row>
    <row r="33" s="29" customFormat="1" ht="17.4" spans="4:160">
      <c r="D33" s="48"/>
      <c r="E33" s="56"/>
      <c r="BX33" s="29" t="s">
        <v>1007</v>
      </c>
      <c r="BY33" s="29">
        <v>5</v>
      </c>
      <c r="CV33" s="48"/>
      <c r="CW33" s="48"/>
      <c r="DB33" s="48"/>
      <c r="DC33" s="48"/>
      <c r="DH33" s="48"/>
      <c r="DI33" s="48"/>
      <c r="DN33" s="48"/>
      <c r="DO33" s="48"/>
      <c r="DT33" s="48"/>
      <c r="DU33" s="48"/>
      <c r="DZ33" s="48"/>
      <c r="EA33" s="48"/>
      <c r="EF33" s="48"/>
      <c r="EG33" s="48"/>
      <c r="EL33" s="48"/>
      <c r="EM33" s="48"/>
      <c r="ER33" s="48"/>
      <c r="ES33" s="48"/>
      <c r="EU33" s="372"/>
      <c r="EX33" s="48"/>
      <c r="EY33" s="48"/>
      <c r="FA33" s="372"/>
      <c r="FD33" s="389"/>
    </row>
    <row r="34" ht="17.4" spans="127:145">
      <c r="DW34" s="370"/>
      <c r="EC34" s="370"/>
      <c r="EI34" s="370"/>
      <c r="EO34" s="370"/>
    </row>
    <row r="35" spans="76:77">
      <c r="BX35" t="s">
        <v>1008</v>
      </c>
      <c r="BY35">
        <f>1126+34</f>
        <v>1160</v>
      </c>
    </row>
    <row r="36" spans="76:77">
      <c r="BX36" t="s">
        <v>1009</v>
      </c>
      <c r="BY36">
        <v>270</v>
      </c>
    </row>
    <row r="37" spans="76:77">
      <c r="BX37" t="s">
        <v>1010</v>
      </c>
      <c r="BY37">
        <v>5.5</v>
      </c>
    </row>
    <row r="38" spans="76:77">
      <c r="BX38" t="s">
        <v>1011</v>
      </c>
      <c r="BY38">
        <v>65</v>
      </c>
    </row>
    <row r="39" spans="76:77">
      <c r="BX39" t="s">
        <v>1012</v>
      </c>
      <c r="BY39">
        <v>91</v>
      </c>
    </row>
    <row r="40" spans="76:77">
      <c r="BX40" t="s">
        <v>1013</v>
      </c>
      <c r="BY40">
        <v>47</v>
      </c>
    </row>
    <row r="41" spans="76:77">
      <c r="BX41" t="s">
        <v>1014</v>
      </c>
      <c r="BY41">
        <v>40</v>
      </c>
    </row>
    <row r="42" spans="76:77">
      <c r="BX42" t="s">
        <v>885</v>
      </c>
      <c r="BY42">
        <v>4.25</v>
      </c>
    </row>
    <row r="43" spans="76:77">
      <c r="BX43" t="s">
        <v>1015</v>
      </c>
      <c r="BY43">
        <f>5*2</f>
        <v>10</v>
      </c>
    </row>
    <row r="44" spans="76:77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DR1:DS1"/>
    <mergeCell ref="DT1:DU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P9:EQ9"/>
    <mergeCell ref="EV9:EW9"/>
    <mergeCell ref="ED11:EE11"/>
    <mergeCell ref="CT12:CU12"/>
    <mergeCell ref="CT19:CU19"/>
    <mergeCell ref="EZ21:FA21"/>
    <mergeCell ref="FE21:FG21"/>
    <mergeCell ref="EZ22:FA22"/>
    <mergeCell ref="EZ23:FA23"/>
    <mergeCell ref="EZ24:FA24"/>
    <mergeCell ref="FC29:FC30"/>
    <mergeCell ref="FC31:FC32"/>
  </mergeCell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I79"/>
  <sheetViews>
    <sheetView tabSelected="1" topLeftCell="OC1" workbookViewId="0">
      <selection activeCell="OH9" sqref="OH9"/>
    </sheetView>
  </sheetViews>
  <sheetFormatPr defaultColWidth="14.5740740740741" defaultRowHeight="13.2"/>
  <cols>
    <col min="1" max="1" width="13.4259259259259" style="15" customWidth="1"/>
    <col min="2" max="2" width="8.71296296296296" style="41" customWidth="1"/>
    <col min="3" max="4" width="5.28703703703704" style="15" customWidth="1"/>
    <col min="5" max="5" width="19.5740740740741" style="15" customWidth="1"/>
    <col min="6" max="6" width="9.13888888888889" style="15" customWidth="1"/>
    <col min="7" max="7" width="13.4259259259259" style="15" customWidth="1"/>
    <col min="8" max="8" width="8.71296296296296" style="41" customWidth="1"/>
    <col min="9" max="10" width="9.13888888888889" style="15" customWidth="1"/>
    <col min="11" max="11" width="19.5740740740741" style="15" customWidth="1"/>
    <col min="12" max="12" width="8.13888888888889" style="15" customWidth="1"/>
    <col min="13" max="13" width="13.4259259259259" style="15" customWidth="1"/>
    <col min="14" max="14" width="8.71296296296296" style="41" customWidth="1"/>
    <col min="15" max="15" width="9" style="15" customWidth="1"/>
    <col min="16" max="16" width="5" style="15" customWidth="1"/>
    <col min="17" max="17" width="22.1388888888889" style="15" customWidth="1"/>
    <col min="18" max="18" width="8.13888888888889" style="15" customWidth="1"/>
    <col min="19" max="19" width="13.4259259259259" style="15" customWidth="1"/>
    <col min="20" max="20" width="8.71296296296296" style="41" customWidth="1"/>
    <col min="21" max="21" width="12" style="15" customWidth="1"/>
    <col min="22" max="22" width="6" style="15" customWidth="1"/>
    <col min="23" max="23" width="19" style="15" customWidth="1"/>
    <col min="24" max="24" width="10.287037037037" style="15" customWidth="1"/>
    <col min="25" max="25" width="14.287037037037" style="15" customWidth="1"/>
    <col min="26" max="26" width="8.71296296296296" style="41" customWidth="1"/>
    <col min="27" max="27" width="12" style="15" customWidth="1"/>
    <col min="28" max="28" width="6" style="15" customWidth="1"/>
    <col min="29" max="29" width="19" style="15" customWidth="1"/>
    <col min="30" max="30" width="10.287037037037" style="15" customWidth="1"/>
    <col min="31" max="31" width="14.287037037037" style="15" customWidth="1"/>
    <col min="32" max="32" width="8.71296296296296" style="41" customWidth="1"/>
    <col min="33" max="33" width="12" style="15" customWidth="1"/>
    <col min="34" max="34" width="6" style="15" customWidth="1"/>
    <col min="35" max="35" width="19" style="15" customWidth="1"/>
    <col min="36" max="36" width="8.13888888888889" style="15" customWidth="1"/>
    <col min="37" max="37" width="14.287037037037" style="15" customWidth="1"/>
    <col min="38" max="38" width="8.71296296296296" style="41" customWidth="1"/>
    <col min="39" max="39" width="12" style="15" customWidth="1"/>
    <col min="40" max="40" width="6" style="15" customWidth="1"/>
    <col min="41" max="41" width="19" style="15" customWidth="1"/>
    <col min="42" max="42" width="10.4259259259259" style="15" customWidth="1"/>
    <col min="43" max="43" width="15.287037037037" style="15" customWidth="1"/>
    <col min="44" max="44" width="8.71296296296296" style="41" customWidth="1"/>
    <col min="45" max="45" width="12" style="15" customWidth="1"/>
    <col min="46" max="46" width="6" style="15" customWidth="1"/>
    <col min="47" max="47" width="19" style="15" customWidth="1"/>
    <col min="48" max="48" width="10.5740740740741" style="15" customWidth="1"/>
    <col min="49" max="49" width="16" style="15" customWidth="1"/>
    <col min="50" max="50" width="9.13888888888889" style="41" customWidth="1"/>
    <col min="51" max="51" width="10.287037037037" style="15" customWidth="1"/>
    <col min="52" max="52" width="6.57407407407407" style="15" customWidth="1"/>
    <col min="53" max="53" width="16" style="15" customWidth="1"/>
    <col min="54" max="54" width="9.13888888888889" style="41" customWidth="1"/>
    <col min="55" max="55" width="12" style="15" customWidth="1"/>
    <col min="56" max="56" width="6" style="15" customWidth="1"/>
    <col min="57" max="57" width="19" style="15" customWidth="1"/>
    <col min="58" max="58" width="9.13888888888889" style="15" customWidth="1"/>
    <col min="59" max="59" width="16" style="15" customWidth="1"/>
    <col min="60" max="60" width="9.13888888888889" style="41" customWidth="1"/>
    <col min="61" max="61" width="10.5740740740741" style="42" customWidth="1"/>
    <col min="62" max="62" width="6" style="42" customWidth="1"/>
    <col min="63" max="63" width="19" style="42" customWidth="1"/>
    <col min="64" max="64" width="9.13888888888889" style="42" customWidth="1"/>
    <col min="65" max="65" width="16" style="15" customWidth="1"/>
    <col min="66" max="66" width="9.13888888888889" style="41" customWidth="1"/>
    <col min="67" max="67" width="10.5740740740741" style="42" customWidth="1"/>
    <col min="68" max="68" width="6" style="42" customWidth="1"/>
    <col min="69" max="69" width="19" style="42" customWidth="1"/>
    <col min="70" max="70" width="9.13888888888889" style="42" customWidth="1"/>
    <col min="71" max="71" width="16" style="15" customWidth="1"/>
    <col min="72" max="72" width="8.13888888888889" style="43" customWidth="1"/>
    <col min="73" max="73" width="10.5740740740741" style="42" customWidth="1"/>
    <col min="74" max="74" width="6" style="42" customWidth="1"/>
    <col min="75" max="75" width="19" style="42" customWidth="1"/>
    <col min="76" max="76" width="9.13888888888889" style="42" customWidth="1"/>
    <col min="77" max="77" width="17.4259259259259" style="15" customWidth="1"/>
    <col min="78" max="78" width="9" style="41" customWidth="1"/>
    <col min="79" max="79" width="10.5740740740741" style="42" customWidth="1"/>
    <col min="80" max="80" width="6" style="42" customWidth="1"/>
    <col min="81" max="81" width="19" style="42" customWidth="1"/>
    <col min="82" max="82" width="10.5740740740741" style="42" customWidth="1"/>
    <col min="83" max="83" width="17.4259259259259" style="15" customWidth="1"/>
    <col min="84" max="84" width="9" style="41" customWidth="1"/>
    <col min="85" max="85" width="10.5740740740741" style="42" customWidth="1"/>
    <col min="86" max="86" width="9.13888888888889" style="42" customWidth="1"/>
    <col min="87" max="87" width="19" style="42" customWidth="1"/>
    <col min="88" max="88" width="9" style="42" customWidth="1"/>
    <col min="89" max="89" width="17.4259259259259" style="15" customWidth="1"/>
    <col min="90" max="90" width="9" style="41" customWidth="1"/>
    <col min="91" max="91" width="10.5740740740741" style="42" customWidth="1"/>
    <col min="92" max="92" width="9.13888888888889" style="42" customWidth="1"/>
    <col min="93" max="93" width="19" style="42" customWidth="1"/>
    <col min="94" max="94" width="12" style="42" customWidth="1"/>
    <col min="95" max="95" width="17.4259259259259" style="15" customWidth="1"/>
    <col min="96" max="96" width="9" style="41" customWidth="1"/>
    <col min="97" max="97" width="10.5740740740741" style="42" customWidth="1"/>
    <col min="98" max="98" width="9.13888888888889" style="42" customWidth="1"/>
    <col min="99" max="99" width="19" style="42" customWidth="1"/>
    <col min="100" max="100" width="12" style="42" customWidth="1"/>
    <col min="101" max="101" width="17.4259259259259" style="15" customWidth="1"/>
    <col min="102" max="102" width="9" style="41" customWidth="1"/>
    <col min="103" max="103" width="12" style="42" customWidth="1"/>
    <col min="104" max="104" width="9.13888888888889" style="42" customWidth="1"/>
    <col min="105" max="105" width="19" style="42" customWidth="1"/>
    <col min="106" max="106" width="12" style="42" customWidth="1"/>
    <col min="107" max="107" width="17.4259259259259" style="15" customWidth="1"/>
    <col min="108" max="108" width="9" style="41" customWidth="1"/>
    <col min="109" max="109" width="18.5740740740741" style="42" customWidth="1"/>
    <col min="110" max="110" width="9.13888888888889" style="42" customWidth="1"/>
    <col min="111" max="111" width="19" style="42" customWidth="1"/>
    <col min="112" max="112" width="12" style="44" customWidth="1"/>
    <col min="113" max="113" width="20.8518518518519" style="15" customWidth="1"/>
    <col min="114" max="114" width="9" style="41" customWidth="1"/>
    <col min="115" max="115" width="12.5740740740741" style="42" customWidth="1"/>
    <col min="116" max="116" width="10.8518518518519" style="42" customWidth="1"/>
    <col min="117" max="117" width="19" style="42" customWidth="1"/>
    <col min="118" max="118" width="11.8518518518519" style="44" customWidth="1"/>
    <col min="119" max="119" width="20.8518518518519" style="15" customWidth="1"/>
    <col min="120" max="120" width="8" style="41" customWidth="1"/>
    <col min="121" max="121" width="12.5740740740741" style="42" customWidth="1"/>
    <col min="122" max="122" width="9.28703703703704" style="42" customWidth="1"/>
    <col min="123" max="123" width="17.5740740740741" style="42" customWidth="1"/>
    <col min="124" max="124" width="11.8518518518519" style="44" customWidth="1"/>
    <col min="125" max="125" width="20.8518518518519" style="15" customWidth="1"/>
    <col min="126" max="126" width="8" style="41" customWidth="1"/>
    <col min="127" max="127" width="12.5740740740741" style="15" customWidth="1"/>
    <col min="128" max="128" width="9.13888888888889" style="15" customWidth="1"/>
    <col min="129" max="129" width="17.5740740740741" style="15" customWidth="1"/>
    <col min="130" max="130" width="11.8518518518519" style="15" customWidth="1"/>
    <col min="131" max="131" width="20.8518518518519" style="15" customWidth="1"/>
    <col min="132" max="132" width="7.57407407407407" style="15" customWidth="1"/>
    <col min="133" max="133" width="12.5740740740741" style="15" customWidth="1"/>
    <col min="134" max="134" width="9.13888888888889" style="15" customWidth="1"/>
    <col min="135" max="135" width="17.287037037037" style="15" customWidth="1"/>
    <col min="136" max="136" width="9.13888888888889" style="15" customWidth="1"/>
    <col min="137" max="137" width="0.712962962962963" style="15" customWidth="1"/>
    <col min="138" max="138" width="20.8518518518519" style="15" customWidth="1"/>
    <col min="139" max="139" width="7.57407407407407" style="15" customWidth="1"/>
    <col min="140" max="140" width="12.5740740740741" style="15" customWidth="1"/>
    <col min="141" max="141" width="9.13888888888889" style="15" customWidth="1"/>
    <col min="142" max="142" width="17.287037037037" style="15" customWidth="1"/>
    <col min="143" max="143" width="10.8518518518519" style="15" customWidth="1"/>
    <col min="144" max="144" width="20.8518518518519" style="15" customWidth="1"/>
    <col min="145" max="145" width="7.57407407407407" style="15" customWidth="1"/>
    <col min="146" max="146" width="12.5740740740741" style="15" customWidth="1"/>
    <col min="147" max="147" width="9.13888888888889" style="15" customWidth="1"/>
    <col min="148" max="148" width="17.287037037037" style="15" customWidth="1"/>
    <col min="149" max="149" width="10.8518518518519" style="15" customWidth="1"/>
    <col min="150" max="150" width="21.287037037037" style="15" customWidth="1"/>
    <col min="151" max="151" width="7.57407407407407" style="15" customWidth="1"/>
    <col min="152" max="152" width="12.5740740740741" style="15" customWidth="1"/>
    <col min="153" max="153" width="9.13888888888889" style="15" customWidth="1"/>
    <col min="154" max="154" width="17.287037037037" style="15" customWidth="1"/>
    <col min="155" max="155" width="8.71296296296296" style="15" customWidth="1"/>
    <col min="156" max="156" width="21.287037037037" style="15" customWidth="1"/>
    <col min="157" max="157" width="7.57407407407407" style="15" customWidth="1"/>
    <col min="158" max="158" width="12.5740740740741" style="15" customWidth="1"/>
    <col min="159" max="159" width="9.13888888888889" style="15" customWidth="1"/>
    <col min="160" max="160" width="17.287037037037" style="15" customWidth="1"/>
    <col min="161" max="161" width="9.28703703703704" style="15" customWidth="1"/>
    <col min="162" max="162" width="21.287037037037" style="15" customWidth="1"/>
    <col min="163" max="163" width="7.57407407407407" style="15" customWidth="1"/>
    <col min="164" max="164" width="12.5740740740741" style="15" customWidth="1"/>
    <col min="165" max="165" width="9.13888888888889" style="15" customWidth="1"/>
    <col min="166" max="166" width="17.287037037037" style="15" customWidth="1"/>
    <col min="167" max="167" width="9.28703703703704" style="15" customWidth="1"/>
    <col min="168" max="168" width="21.287037037037" style="15" customWidth="1"/>
    <col min="169" max="169" width="8.13888888888889" style="15" customWidth="1"/>
    <col min="170" max="170" width="17.4259259259259" style="15" customWidth="1"/>
    <col min="171" max="171" width="9.13888888888889" style="15" customWidth="1"/>
    <col min="172" max="172" width="17.5740740740741" style="15" customWidth="1"/>
    <col min="173" max="173" width="10.287037037037" style="15" customWidth="1"/>
    <col min="174" max="174" width="21.287037037037" style="15" customWidth="1"/>
    <col min="175" max="175" width="8.13888888888889" style="15" customWidth="1"/>
    <col min="176" max="176" width="14.5740740740741" style="15" customWidth="1"/>
    <col min="177" max="177" width="10.5740740740741" style="15" customWidth="1"/>
    <col min="178" max="178" width="17" style="15" customWidth="1"/>
    <col min="179" max="179" width="9.13888888888889" style="15" customWidth="1"/>
    <col min="180" max="180" width="21.287037037037" style="15" customWidth="1"/>
    <col min="181" max="181" width="7.57407407407407" style="15" customWidth="1"/>
    <col min="182" max="182" width="13.712962962963" style="15" customWidth="1"/>
    <col min="183" max="183" width="9.13888888888889" style="15" customWidth="1"/>
    <col min="184" max="184" width="17" style="15" customWidth="1"/>
    <col min="185" max="185" width="14.8518518518519" style="15" customWidth="1"/>
    <col min="186" max="186" width="21.287037037037" style="15" customWidth="1"/>
    <col min="187" max="187" width="7.57407407407407" style="15" customWidth="1"/>
    <col min="188" max="188" width="13.712962962963" style="15" customWidth="1"/>
    <col min="189" max="189" width="9.13888888888889" style="15" customWidth="1"/>
    <col min="190" max="190" width="17" style="15" customWidth="1"/>
    <col min="191" max="191" width="10.8518518518519" style="15" customWidth="1"/>
    <col min="192" max="192" width="19.4259259259259" style="15" customWidth="1"/>
    <col min="193" max="193" width="7.57407407407407" style="15" customWidth="1"/>
    <col min="194" max="194" width="11.8518518518519" style="15" customWidth="1"/>
    <col min="195" max="195" width="9.13888888888889" style="15" customWidth="1"/>
    <col min="196" max="196" width="18.1388888888889" style="15" customWidth="1"/>
    <col min="197" max="197" width="10.8518518518519" style="15" customWidth="1"/>
    <col min="198" max="198" width="19.4259259259259" style="15" customWidth="1"/>
    <col min="199" max="199" width="7.57407407407407" style="15" customWidth="1"/>
    <col min="200" max="200" width="11.8518518518519" style="15" customWidth="1"/>
    <col min="201" max="201" width="9.13888888888889" style="15" customWidth="1"/>
    <col min="202" max="202" width="18.1388888888889" style="15" customWidth="1"/>
    <col min="203" max="203" width="10.8518518518519" style="15" customWidth="1"/>
    <col min="204" max="204" width="19.4259259259259" style="15" customWidth="1"/>
    <col min="205" max="205" width="7.57407407407407" style="15" customWidth="1"/>
    <col min="206" max="206" width="11.8518518518519" style="15" customWidth="1"/>
    <col min="207" max="207" width="9.13888888888889" style="15" customWidth="1"/>
    <col min="208" max="208" width="18.1388888888889" style="15" customWidth="1"/>
    <col min="209" max="209" width="10.8518518518519" style="15" customWidth="1"/>
    <col min="210" max="210" width="16" style="15" customWidth="1"/>
    <col min="211" max="211" width="8.13888888888889" style="15" customWidth="1"/>
    <col min="212" max="212" width="11.8518518518519" style="15" customWidth="1"/>
    <col min="213" max="213" width="9.13888888888889" style="15" customWidth="1"/>
    <col min="214" max="214" width="15.8518518518519" style="15" customWidth="1"/>
    <col min="215" max="215" width="9.57407407407407" style="15" customWidth="1"/>
    <col min="216" max="216" width="16" style="15" customWidth="1"/>
    <col min="217" max="217" width="8.13888888888889" style="15" customWidth="1"/>
    <col min="218" max="218" width="15.4259259259259" style="15" customWidth="1"/>
    <col min="219" max="219" width="9.13888888888889" style="15" customWidth="1"/>
    <col min="220" max="220" width="15.8518518518519" style="15" customWidth="1"/>
    <col min="221" max="221" width="9.57407407407407" style="15" customWidth="1"/>
    <col min="222" max="222" width="15.8518518518519" style="15" customWidth="1"/>
    <col min="223" max="223" width="8.13888888888889" style="15" customWidth="1"/>
    <col min="224" max="224" width="15.5740740740741" style="15" customWidth="1"/>
    <col min="225" max="225" width="9.13888888888889" style="15" customWidth="1"/>
    <col min="226" max="226" width="15.8518518518519" style="15" customWidth="1"/>
    <col min="227" max="227" width="9.57407407407407" style="15" customWidth="1"/>
    <col min="228" max="228" width="15.8518518518519" style="15" customWidth="1"/>
    <col min="229" max="229" width="9.57407407407407" style="15" customWidth="1"/>
    <col min="230" max="230" width="15.5740740740741" style="15" customWidth="1"/>
    <col min="231" max="231" width="10.1388888888889" style="15" customWidth="1"/>
    <col min="232" max="232" width="15.8518518518519" style="15" customWidth="1"/>
    <col min="233" max="233" width="10.4259259259259" style="15" customWidth="1"/>
    <col min="234" max="234" width="16.712962962963" style="15" customWidth="1"/>
    <col min="235" max="235" width="10.8518518518519" style="15" customWidth="1"/>
    <col min="236" max="236" width="15.5740740740741" style="15" customWidth="1"/>
    <col min="237" max="237" width="9.13888888888889" style="15" customWidth="1"/>
    <col min="238" max="238" width="21.5740740740741" style="15" customWidth="1"/>
    <col min="239" max="239" width="11.5740740740741" style="15" customWidth="1"/>
    <col min="240" max="240" width="18.8518518518519" style="15" customWidth="1"/>
    <col min="241" max="241" width="8.13888888888889" style="15" customWidth="1"/>
    <col min="242" max="242" width="14.5740740740741" style="15" customWidth="1"/>
    <col min="243" max="243" width="9.13888888888889" style="15" customWidth="1"/>
    <col min="244" max="244" width="15.8518518518519" style="15" customWidth="1"/>
    <col min="245" max="245" width="13.1388888888889" style="15" customWidth="1"/>
    <col min="246" max="246" width="19" style="15" customWidth="1"/>
    <col min="247" max="247" width="9.13888888888889" style="15" customWidth="1"/>
    <col min="248" max="248" width="14.5740740740741" style="15" customWidth="1"/>
    <col min="249" max="249" width="9.13888888888889" style="15" customWidth="1"/>
    <col min="250" max="250" width="15.8518518518519" style="15" customWidth="1"/>
    <col min="251" max="251" width="11.8518518518519" style="15" customWidth="1"/>
    <col min="252" max="252" width="18.287037037037" style="15" customWidth="1"/>
    <col min="253" max="253" width="10.1388888888889" style="15" customWidth="1"/>
    <col min="254" max="254" width="14.5740740740741" style="15" customWidth="1"/>
    <col min="255" max="255" width="10.712962962963" style="15" customWidth="1"/>
    <col min="256" max="256" width="15.8518518518519" style="15" customWidth="1"/>
    <col min="257" max="257" width="8.71296296296296" style="15" customWidth="1"/>
    <col min="258" max="258" width="18.287037037037" style="15" customWidth="1"/>
    <col min="259" max="259" width="9.71296296296296" style="15" customWidth="1"/>
    <col min="260" max="260" width="14.5740740740741" style="15" customWidth="1"/>
    <col min="261" max="261" width="9.71296296296296" style="15" customWidth="1"/>
    <col min="262" max="262" width="15.8518518518519" style="15" customWidth="1"/>
    <col min="263" max="263" width="10.8518518518519" style="15" customWidth="1"/>
    <col min="264" max="264" width="18" style="15" customWidth="1"/>
    <col min="265" max="265" width="10.8518518518519" style="15" customWidth="1"/>
    <col min="266" max="266" width="14.5740740740741" style="15" customWidth="1"/>
    <col min="267" max="267" width="11.712962962963" style="15" customWidth="1"/>
    <col min="268" max="268" width="20.287037037037" style="15" customWidth="1"/>
    <col min="269" max="269" width="11.8518518518519" style="15" customWidth="1"/>
    <col min="270" max="270" width="17.712962962963" style="15" customWidth="1"/>
    <col min="271" max="271" width="9" style="15" customWidth="1"/>
    <col min="272" max="272" width="14.5740740740741" style="15" customWidth="1"/>
    <col min="273" max="273" width="11.4259259259259" style="15" customWidth="1"/>
    <col min="274" max="274" width="17.5740740740741" style="15" customWidth="1"/>
    <col min="275" max="275" width="11.8518518518519" style="15" customWidth="1"/>
    <col min="276" max="276" width="17.712962962963" style="15" customWidth="1"/>
    <col min="277" max="277" width="9.42592592592593" style="15" customWidth="1"/>
    <col min="278" max="278" width="17.4259259259259" style="15" customWidth="1"/>
    <col min="279" max="279" width="10.8518518518519" style="15" customWidth="1"/>
    <col min="280" max="280" width="17.5740740740741" style="15" customWidth="1"/>
    <col min="281" max="281" width="11.8518518518519" style="15" customWidth="1"/>
    <col min="282" max="282" width="17.712962962963" style="15" customWidth="1"/>
    <col min="283" max="283" width="9.13888888888889" style="15" customWidth="1"/>
    <col min="284" max="284" width="17.4259259259259" style="15" customWidth="1"/>
    <col min="285" max="285" width="9.13888888888889" style="15" customWidth="1"/>
    <col min="286" max="286" width="16.8518518518519" style="15" customWidth="1"/>
    <col min="287" max="287" width="10.287037037037" style="15" customWidth="1"/>
    <col min="288" max="288" width="17.712962962963" style="15" customWidth="1"/>
    <col min="289" max="289" width="8.13888888888889" style="15" customWidth="1"/>
    <col min="290" max="290" width="15.8518518518519" style="15" customWidth="1"/>
    <col min="291" max="291" width="11.287037037037" style="15" customWidth="1"/>
    <col min="292" max="292" width="16.8518518518519" style="15" customWidth="1"/>
    <col min="293" max="293" width="11.8518518518519" style="15" customWidth="1"/>
    <col min="294" max="294" width="18.712962962963" style="15" customWidth="1"/>
    <col min="295" max="295" width="8" style="15" customWidth="1"/>
    <col min="296" max="296" width="19.1388888888889" style="15" customWidth="1"/>
    <col min="297" max="297" width="10.1388888888889" style="15" customWidth="1"/>
    <col min="298" max="298" width="16.8518518518519" style="15" customWidth="1"/>
    <col min="299" max="299" width="14.5740740740741" style="15" customWidth="1"/>
    <col min="300" max="300" width="19" style="15" customWidth="1"/>
    <col min="301" max="301" width="10.1388888888889" style="15" customWidth="1"/>
    <col min="302" max="302" width="19.1388888888889" style="15" customWidth="1"/>
    <col min="303" max="303" width="9.71296296296296" style="15" customWidth="1"/>
    <col min="304" max="304" width="16.8518518518519" style="15" customWidth="1"/>
    <col min="305" max="305" width="12" style="15" customWidth="1"/>
    <col min="306" max="306" width="18.8518518518519" style="15" customWidth="1"/>
    <col min="307" max="307" width="10.8518518518519" style="15" customWidth="1"/>
    <col min="308" max="308" width="19.1388888888889" style="15" customWidth="1"/>
    <col min="309" max="309" width="10.5740740740741" style="15" customWidth="1"/>
    <col min="310" max="310" width="17.287037037037" style="15" customWidth="1"/>
    <col min="311" max="311" width="10" style="15" customWidth="1"/>
    <col min="312" max="312" width="18.8518518518519" style="15" customWidth="1"/>
    <col min="313" max="313" width="10.5740740740741" style="15" customWidth="1"/>
    <col min="314" max="314" width="19.1388888888889" style="15" customWidth="1"/>
    <col min="315" max="315" width="11.712962962963" style="15" customWidth="1"/>
    <col min="316" max="316" width="16.8518518518519" style="15" customWidth="1"/>
    <col min="317" max="317" width="12" style="15" customWidth="1"/>
    <col min="318" max="318" width="18.8518518518519" style="15" customWidth="1"/>
    <col min="319" max="319" width="11.5740740740741" style="15" customWidth="1"/>
    <col min="320" max="320" width="19.8518518518519" style="15" customWidth="1"/>
    <col min="321" max="321" width="11.4259259259259" style="15" customWidth="1"/>
    <col min="322" max="322" width="18.287037037037" style="15" customWidth="1"/>
    <col min="323" max="323" width="12" style="15" customWidth="1"/>
    <col min="324" max="324" width="20.712962962963" style="15" customWidth="1"/>
    <col min="325" max="325" width="10.5740740740741" style="15" customWidth="1"/>
    <col min="326" max="326" width="21" style="15" customWidth="1"/>
    <col min="327" max="327" width="11.4259259259259" style="41" customWidth="1"/>
    <col min="328" max="328" width="23.8518518518519" style="15" customWidth="1"/>
    <col min="329" max="329" width="8.57407407407407" style="15" customWidth="1"/>
    <col min="330" max="330" width="18" style="15" customWidth="1"/>
    <col min="331" max="331" width="10.5740740740741" style="15" customWidth="1"/>
    <col min="332" max="332" width="19.1388888888889" style="15" customWidth="1"/>
    <col min="333" max="333" width="9.42592592592593" style="41" customWidth="1"/>
    <col min="334" max="334" width="23.8518518518519" style="15" customWidth="1"/>
    <col min="335" max="335" width="10.1388888888889" style="15" customWidth="1"/>
    <col min="336" max="336" width="18.8518518518519" style="15" customWidth="1"/>
    <col min="337" max="337" width="10.5740740740741" style="15" customWidth="1"/>
    <col min="338" max="338" width="19.1388888888889" style="15" customWidth="1"/>
    <col min="339" max="339" width="9.57407407407407" style="41" customWidth="1"/>
    <col min="340" max="340" width="21.712962962963" style="15" customWidth="1"/>
    <col min="341" max="341" width="9.85185185185185" style="15" customWidth="1"/>
    <col min="342" max="342" width="18.8518518518519" style="15" customWidth="1"/>
    <col min="343" max="343" width="10" style="15" customWidth="1"/>
    <col min="344" max="344" width="19.1388888888889" style="15" customWidth="1"/>
    <col min="345" max="345" width="9.57407407407407" style="41" customWidth="1"/>
    <col min="346" max="346" width="23.8518518518519" style="15" customWidth="1"/>
    <col min="347" max="347" width="9.85185185185185" style="15" customWidth="1"/>
    <col min="348" max="348" width="23.712962962963" style="15" customWidth="1"/>
    <col min="349" max="349" width="10" style="15" customWidth="1"/>
    <col min="350" max="350" width="19.1388888888889" style="15" customWidth="1"/>
    <col min="351" max="351" width="9.57407407407407" style="41" customWidth="1"/>
    <col min="352" max="352" width="23.8518518518519" style="15" customWidth="1"/>
    <col min="353" max="353" width="7.13888888888889" style="15" customWidth="1"/>
    <col min="354" max="354" width="18.8518518518519" style="15" customWidth="1"/>
    <col min="355" max="355" width="10" style="15" customWidth="1"/>
    <col min="356" max="356" width="19.1388888888889" style="15" customWidth="1"/>
    <col min="357" max="357" width="8.71296296296296" style="41" customWidth="1"/>
    <col min="358" max="358" width="23.8518518518519" style="15" customWidth="1"/>
    <col min="359" max="359" width="8" style="15" customWidth="1"/>
    <col min="360" max="360" width="18.8518518518519" style="15" customWidth="1"/>
    <col min="361" max="361" width="9.28703703703704" style="15" customWidth="1"/>
    <col min="362" max="362" width="6.85185185185185" style="15" customWidth="1"/>
    <col min="363" max="363" width="9.13888888888889" style="41" customWidth="1"/>
    <col min="364" max="364" width="20" style="15" customWidth="1"/>
    <col min="365" max="365" width="8.57407407407407" style="15" customWidth="1"/>
    <col min="366" max="366" width="18.8518518518519" style="15" customWidth="1"/>
    <col min="367" max="367" width="10.1388888888889" style="15" customWidth="1"/>
    <col min="368" max="368" width="20.8518518518519" style="15" customWidth="1"/>
    <col min="369" max="369" width="9.13888888888889" style="41" customWidth="1"/>
    <col min="370" max="370" width="20" style="15" customWidth="1"/>
    <col min="371" max="371" width="8" style="15" customWidth="1"/>
    <col min="372" max="372" width="18.8518518518519" style="15" customWidth="1"/>
    <col min="373" max="373" width="10.1388888888889" style="15" customWidth="1"/>
    <col min="374" max="374" width="20.8518518518519" style="15" customWidth="1"/>
    <col min="375" max="375" width="8.71296296296296" style="41" customWidth="1"/>
    <col min="376" max="376" width="20" style="15" customWidth="1"/>
    <col min="377" max="377" width="7" style="15" customWidth="1"/>
    <col min="378" max="378" width="19" style="15" customWidth="1"/>
    <col min="379" max="379" width="10.8518518518519" style="15" customWidth="1"/>
    <col min="380" max="380" width="20.8518518518519" style="15" customWidth="1"/>
    <col min="381" max="381" width="11.1388888888889" style="41" customWidth="1"/>
    <col min="382" max="382" width="20" style="15" customWidth="1"/>
    <col min="383" max="383" width="8" style="15" customWidth="1"/>
    <col min="384" max="384" width="19" style="15" customWidth="1"/>
    <col min="385" max="385" width="10.1388888888889" style="15" customWidth="1"/>
    <col min="386" max="386" width="20.8518518518519" style="15" customWidth="1"/>
    <col min="387" max="387" width="9.13888888888889" style="41" customWidth="1"/>
    <col min="388" max="388" width="20" style="15" customWidth="1"/>
    <col min="389" max="389" width="8.71296296296296" style="15" customWidth="1"/>
    <col min="390" max="390" width="20.1388888888889" style="15" customWidth="1"/>
    <col min="391" max="391" width="10.1388888888889" style="15" customWidth="1"/>
    <col min="392" max="392" width="20.8518518518519" style="15" customWidth="1"/>
    <col min="393" max="393" width="9.13888888888889" style="41" customWidth="1"/>
    <col min="394" max="394" width="20" style="15" customWidth="1"/>
    <col min="395" max="395" width="12.4259259259259" style="15" customWidth="1"/>
    <col min="396" max="396" width="20.1388888888889" style="15" customWidth="1"/>
    <col min="397" max="397" width="10.1388888888889" style="15" customWidth="1"/>
    <col min="398" max="398" width="6.85185185185185" style="41" customWidth="1"/>
    <col min="399" max="399" width="8.57407407407407" style="15" customWidth="1"/>
    <col min="400" max="16384" width="14.5740740740741" style="15"/>
  </cols>
  <sheetData>
    <row r="1" spans="1:397">
      <c r="A1" s="45" t="s">
        <v>1017</v>
      </c>
      <c r="B1" s="45"/>
      <c r="C1" s="593" t="s">
        <v>92</v>
      </c>
      <c r="D1" s="46"/>
      <c r="E1" s="594" t="s">
        <v>1018</v>
      </c>
      <c r="F1" s="47"/>
      <c r="G1" s="45" t="s">
        <v>1019</v>
      </c>
      <c r="H1" s="45"/>
      <c r="I1" s="593" t="s">
        <v>92</v>
      </c>
      <c r="J1" s="46"/>
      <c r="K1" s="594" t="s">
        <v>1020</v>
      </c>
      <c r="L1" s="47"/>
      <c r="M1" s="45" t="s">
        <v>1021</v>
      </c>
      <c r="N1" s="45"/>
      <c r="O1" s="593" t="s">
        <v>92</v>
      </c>
      <c r="P1" s="46"/>
      <c r="Q1" s="594" t="s">
        <v>1022</v>
      </c>
      <c r="R1" s="47"/>
      <c r="S1" s="45" t="s">
        <v>1023</v>
      </c>
      <c r="T1" s="45"/>
      <c r="U1" s="593" t="s">
        <v>92</v>
      </c>
      <c r="V1" s="46"/>
      <c r="W1" s="594" t="s">
        <v>577</v>
      </c>
      <c r="X1" s="47"/>
      <c r="Y1" s="45" t="s">
        <v>1024</v>
      </c>
      <c r="Z1" s="45"/>
      <c r="AA1" s="593" t="s">
        <v>92</v>
      </c>
      <c r="AB1" s="46"/>
      <c r="AC1" s="594" t="s">
        <v>1025</v>
      </c>
      <c r="AD1" s="47"/>
      <c r="AE1" s="45" t="s">
        <v>1026</v>
      </c>
      <c r="AF1" s="45"/>
      <c r="AG1" s="593" t="s">
        <v>92</v>
      </c>
      <c r="AH1" s="46"/>
      <c r="AI1" s="594" t="s">
        <v>1027</v>
      </c>
      <c r="AJ1" s="47"/>
      <c r="AK1" s="45" t="s">
        <v>1028</v>
      </c>
      <c r="AL1" s="45"/>
      <c r="AM1" s="593" t="s">
        <v>1029</v>
      </c>
      <c r="AN1" s="46"/>
      <c r="AO1" s="594" t="s">
        <v>1030</v>
      </c>
      <c r="AP1" s="47"/>
      <c r="AQ1" s="45" t="s">
        <v>1031</v>
      </c>
      <c r="AR1" s="45"/>
      <c r="AS1" s="593" t="s">
        <v>1029</v>
      </c>
      <c r="AT1" s="46"/>
      <c r="AU1" s="594" t="s">
        <v>1032</v>
      </c>
      <c r="AV1" s="47"/>
      <c r="AW1" s="45" t="s">
        <v>1033</v>
      </c>
      <c r="AX1" s="45"/>
      <c r="AY1" s="594" t="s">
        <v>1034</v>
      </c>
      <c r="AZ1" s="47"/>
      <c r="BA1" s="45" t="s">
        <v>1033</v>
      </c>
      <c r="BB1" s="45"/>
      <c r="BC1" s="593" t="s">
        <v>594</v>
      </c>
      <c r="BD1" s="46"/>
      <c r="BE1" s="594" t="s">
        <v>1035</v>
      </c>
      <c r="BF1" s="47"/>
      <c r="BG1" s="45" t="s">
        <v>1036</v>
      </c>
      <c r="BH1" s="45"/>
      <c r="BI1" s="593" t="s">
        <v>594</v>
      </c>
      <c r="BJ1" s="46"/>
      <c r="BK1" s="594" t="s">
        <v>1035</v>
      </c>
      <c r="BL1" s="47"/>
      <c r="BM1" s="45" t="s">
        <v>1037</v>
      </c>
      <c r="BN1" s="45"/>
      <c r="BO1" s="593" t="s">
        <v>594</v>
      </c>
      <c r="BP1" s="46"/>
      <c r="BQ1" s="594" t="s">
        <v>1038</v>
      </c>
      <c r="BR1" s="47"/>
      <c r="BS1" s="45" t="s">
        <v>1039</v>
      </c>
      <c r="BT1" s="45"/>
      <c r="BU1" s="593" t="s">
        <v>594</v>
      </c>
      <c r="BV1" s="46"/>
      <c r="BW1" s="594" t="s">
        <v>1040</v>
      </c>
      <c r="BX1" s="47"/>
      <c r="BY1" s="45" t="s">
        <v>1041</v>
      </c>
      <c r="BZ1" s="45"/>
      <c r="CA1" s="593" t="s">
        <v>594</v>
      </c>
      <c r="CB1" s="46"/>
      <c r="CC1" s="594" t="s">
        <v>1038</v>
      </c>
      <c r="CD1" s="47"/>
      <c r="CE1" s="45" t="s">
        <v>1042</v>
      </c>
      <c r="CF1" s="45"/>
      <c r="CG1" s="593" t="s">
        <v>594</v>
      </c>
      <c r="CH1" s="46"/>
      <c r="CI1" s="594" t="s">
        <v>1040</v>
      </c>
      <c r="CJ1" s="47"/>
      <c r="CK1" s="45" t="s">
        <v>1043</v>
      </c>
      <c r="CL1" s="45"/>
      <c r="CM1" s="593" t="s">
        <v>594</v>
      </c>
      <c r="CN1" s="46"/>
      <c r="CO1" s="594" t="s">
        <v>1038</v>
      </c>
      <c r="CP1" s="47"/>
      <c r="CQ1" s="45" t="s">
        <v>1044</v>
      </c>
      <c r="CR1" s="45"/>
      <c r="CS1" s="630" t="s">
        <v>594</v>
      </c>
      <c r="CT1" s="105"/>
      <c r="CU1" s="594" t="s">
        <v>1045</v>
      </c>
      <c r="CV1" s="47"/>
      <c r="CW1" s="45" t="s">
        <v>1046</v>
      </c>
      <c r="CX1" s="45"/>
      <c r="CY1" s="630" t="s">
        <v>594</v>
      </c>
      <c r="CZ1" s="105"/>
      <c r="DA1" s="594" t="s">
        <v>1047</v>
      </c>
      <c r="DB1" s="47"/>
      <c r="DC1" s="45" t="s">
        <v>1048</v>
      </c>
      <c r="DD1" s="45"/>
      <c r="DE1" s="630" t="s">
        <v>594</v>
      </c>
      <c r="DF1" s="105"/>
      <c r="DG1" s="594" t="s">
        <v>1049</v>
      </c>
      <c r="DH1" s="47"/>
      <c r="DI1" s="45" t="s">
        <v>1050</v>
      </c>
      <c r="DJ1" s="45"/>
      <c r="DK1" s="630" t="s">
        <v>594</v>
      </c>
      <c r="DL1" s="105"/>
      <c r="DM1" s="594" t="s">
        <v>1045</v>
      </c>
      <c r="DN1" s="47"/>
      <c r="DO1" s="45" t="s">
        <v>1051</v>
      </c>
      <c r="DP1" s="45"/>
      <c r="DQ1" s="630" t="s">
        <v>594</v>
      </c>
      <c r="DR1" s="105"/>
      <c r="DS1" s="594" t="s">
        <v>1052</v>
      </c>
      <c r="DT1" s="47"/>
      <c r="DU1" s="45" t="s">
        <v>1053</v>
      </c>
      <c r="DV1" s="45"/>
      <c r="DW1" s="630" t="s">
        <v>594</v>
      </c>
      <c r="DX1" s="105"/>
      <c r="DY1" s="594" t="s">
        <v>1054</v>
      </c>
      <c r="DZ1" s="47"/>
      <c r="EA1" s="17" t="s">
        <v>1055</v>
      </c>
      <c r="EB1" s="17"/>
      <c r="EC1" s="630" t="s">
        <v>594</v>
      </c>
      <c r="ED1" s="105"/>
      <c r="EE1" s="594" t="s">
        <v>1052</v>
      </c>
      <c r="EF1" s="47"/>
      <c r="EG1" s="47"/>
      <c r="EH1" s="17" t="s">
        <v>1056</v>
      </c>
      <c r="EI1" s="17"/>
      <c r="EJ1" s="630" t="s">
        <v>594</v>
      </c>
      <c r="EK1" s="105"/>
      <c r="EL1" s="594" t="s">
        <v>1057</v>
      </c>
      <c r="EM1" s="47"/>
      <c r="EN1" s="17" t="s">
        <v>1058</v>
      </c>
      <c r="EO1" s="17"/>
      <c r="EP1" s="630" t="s">
        <v>594</v>
      </c>
      <c r="EQ1" s="105"/>
      <c r="ER1" s="594" t="s">
        <v>1059</v>
      </c>
      <c r="ES1" s="47"/>
      <c r="ET1" s="17" t="s">
        <v>1060</v>
      </c>
      <c r="EU1" s="17"/>
      <c r="EV1" s="630" t="s">
        <v>594</v>
      </c>
      <c r="EW1" s="105"/>
      <c r="EX1" s="594" t="s">
        <v>1054</v>
      </c>
      <c r="EY1" s="47"/>
      <c r="EZ1" s="17" t="s">
        <v>1061</v>
      </c>
      <c r="FA1" s="17"/>
      <c r="FB1" s="630" t="s">
        <v>594</v>
      </c>
      <c r="FC1" s="105"/>
      <c r="FD1" s="594" t="s">
        <v>1047</v>
      </c>
      <c r="FE1" s="47"/>
      <c r="FF1" s="17" t="s">
        <v>1062</v>
      </c>
      <c r="FG1" s="17"/>
      <c r="FH1" s="630" t="s">
        <v>594</v>
      </c>
      <c r="FI1" s="105"/>
      <c r="FJ1" s="594" t="s">
        <v>1045</v>
      </c>
      <c r="FK1" s="47"/>
      <c r="FL1" s="17" t="s">
        <v>1063</v>
      </c>
      <c r="FM1" s="17"/>
      <c r="FN1" s="630" t="s">
        <v>594</v>
      </c>
      <c r="FO1" s="105"/>
      <c r="FP1" s="594" t="s">
        <v>1064</v>
      </c>
      <c r="FQ1" s="47"/>
      <c r="FR1" s="17" t="s">
        <v>1065</v>
      </c>
      <c r="FS1" s="17"/>
      <c r="FT1" s="630" t="s">
        <v>594</v>
      </c>
      <c r="FU1" s="105"/>
      <c r="FV1" s="594" t="s">
        <v>1064</v>
      </c>
      <c r="FW1" s="47"/>
      <c r="FX1" s="17" t="s">
        <v>1066</v>
      </c>
      <c r="FY1" s="17"/>
      <c r="FZ1" s="630" t="s">
        <v>594</v>
      </c>
      <c r="GA1" s="105"/>
      <c r="GB1" s="594" t="s">
        <v>1054</v>
      </c>
      <c r="GC1" s="47"/>
      <c r="GD1" s="17" t="s">
        <v>1067</v>
      </c>
      <c r="GE1" s="17"/>
      <c r="GF1" s="630" t="s">
        <v>594</v>
      </c>
      <c r="GG1" s="105"/>
      <c r="GH1" s="594" t="s">
        <v>1052</v>
      </c>
      <c r="GI1" s="47"/>
      <c r="GJ1" s="17" t="s">
        <v>1068</v>
      </c>
      <c r="GK1" s="17"/>
      <c r="GL1" s="630" t="s">
        <v>594</v>
      </c>
      <c r="GM1" s="105"/>
      <c r="GN1" s="594" t="s">
        <v>1052</v>
      </c>
      <c r="GO1" s="47"/>
      <c r="GP1" s="17" t="s">
        <v>1069</v>
      </c>
      <c r="GQ1" s="17"/>
      <c r="GR1" s="630" t="s">
        <v>594</v>
      </c>
      <c r="GS1" s="105"/>
      <c r="GT1" s="594" t="s">
        <v>1057</v>
      </c>
      <c r="GU1" s="47"/>
      <c r="GV1" s="17" t="s">
        <v>1070</v>
      </c>
      <c r="GW1" s="17"/>
      <c r="GX1" s="630" t="s">
        <v>594</v>
      </c>
      <c r="GY1" s="105"/>
      <c r="GZ1" s="594" t="s">
        <v>1071</v>
      </c>
      <c r="HA1" s="47"/>
      <c r="HB1" s="17" t="s">
        <v>1072</v>
      </c>
      <c r="HC1" s="17"/>
      <c r="HD1" s="630" t="s">
        <v>594</v>
      </c>
      <c r="HE1" s="105"/>
      <c r="HF1" s="594" t="s">
        <v>1059</v>
      </c>
      <c r="HG1" s="47"/>
      <c r="HH1" s="17" t="s">
        <v>1073</v>
      </c>
      <c r="HI1" s="17"/>
      <c r="HJ1" s="630" t="s">
        <v>594</v>
      </c>
      <c r="HK1" s="105"/>
      <c r="HL1" s="594" t="s">
        <v>1045</v>
      </c>
      <c r="HM1" s="47"/>
      <c r="HN1" s="17" t="s">
        <v>1074</v>
      </c>
      <c r="HO1" s="17"/>
      <c r="HP1" s="630" t="s">
        <v>594</v>
      </c>
      <c r="HQ1" s="105"/>
      <c r="HR1" s="594" t="s">
        <v>1045</v>
      </c>
      <c r="HS1" s="47"/>
      <c r="HT1" s="17" t="s">
        <v>1075</v>
      </c>
      <c r="HU1" s="17"/>
      <c r="HV1" s="630" t="s">
        <v>594</v>
      </c>
      <c r="HW1" s="105"/>
      <c r="HX1" s="594" t="s">
        <v>1054</v>
      </c>
      <c r="HY1" s="47"/>
      <c r="HZ1" s="17" t="s">
        <v>1076</v>
      </c>
      <c r="IA1" s="17"/>
      <c r="IB1" s="630" t="s">
        <v>594</v>
      </c>
      <c r="IC1" s="105"/>
      <c r="ID1" s="594" t="s">
        <v>1059</v>
      </c>
      <c r="IE1" s="47"/>
      <c r="IF1" s="17" t="s">
        <v>1077</v>
      </c>
      <c r="IG1" s="17"/>
      <c r="IH1" s="630" t="s">
        <v>594</v>
      </c>
      <c r="II1" s="105"/>
      <c r="IJ1" s="594" t="s">
        <v>1052</v>
      </c>
      <c r="IK1" s="47"/>
      <c r="IL1" s="17" t="s">
        <v>1078</v>
      </c>
      <c r="IM1" s="17"/>
      <c r="IN1" s="630" t="s">
        <v>594</v>
      </c>
      <c r="IO1" s="105"/>
      <c r="IP1" s="594" t="s">
        <v>1054</v>
      </c>
      <c r="IQ1" s="47"/>
      <c r="IR1" s="17" t="s">
        <v>1079</v>
      </c>
      <c r="IS1" s="17"/>
      <c r="IT1" s="630" t="s">
        <v>594</v>
      </c>
      <c r="IU1" s="105"/>
      <c r="IV1" s="594" t="s">
        <v>1080</v>
      </c>
      <c r="IW1" s="47"/>
      <c r="IX1" s="17" t="s">
        <v>1081</v>
      </c>
      <c r="IY1" s="17"/>
      <c r="IZ1" s="630" t="s">
        <v>594</v>
      </c>
      <c r="JA1" s="105"/>
      <c r="JB1" s="594" t="s">
        <v>1064</v>
      </c>
      <c r="JC1" s="47"/>
      <c r="JD1" s="17" t="s">
        <v>1082</v>
      </c>
      <c r="JE1" s="17"/>
      <c r="JF1" s="630" t="s">
        <v>594</v>
      </c>
      <c r="JG1" s="105"/>
      <c r="JH1" s="594" t="s">
        <v>1080</v>
      </c>
      <c r="JI1" s="47"/>
      <c r="JJ1" s="17" t="s">
        <v>1083</v>
      </c>
      <c r="JK1" s="17"/>
      <c r="JL1" s="630" t="s">
        <v>594</v>
      </c>
      <c r="JM1" s="105"/>
      <c r="JN1" s="594" t="s">
        <v>1080</v>
      </c>
      <c r="JO1" s="47"/>
      <c r="JP1" s="17" t="s">
        <v>1084</v>
      </c>
      <c r="JQ1" s="17"/>
      <c r="JR1" s="630" t="s">
        <v>594</v>
      </c>
      <c r="JS1" s="105"/>
      <c r="JT1" s="594" t="s">
        <v>1057</v>
      </c>
      <c r="JU1" s="47"/>
      <c r="JV1" s="17" t="s">
        <v>1085</v>
      </c>
      <c r="JW1" s="17"/>
      <c r="JX1" s="630" t="s">
        <v>594</v>
      </c>
      <c r="JY1" s="105"/>
      <c r="JZ1" s="594" t="s">
        <v>1086</v>
      </c>
      <c r="KA1" s="47"/>
      <c r="KB1" s="17" t="s">
        <v>1087</v>
      </c>
      <c r="KC1" s="17"/>
      <c r="KD1" s="630" t="s">
        <v>594</v>
      </c>
      <c r="KE1" s="105"/>
      <c r="KF1" s="594" t="s">
        <v>1045</v>
      </c>
      <c r="KG1" s="47"/>
      <c r="KH1" s="17" t="s">
        <v>1088</v>
      </c>
      <c r="KI1" s="17"/>
      <c r="KJ1" s="630" t="s">
        <v>594</v>
      </c>
      <c r="KK1" s="105"/>
      <c r="KL1" s="594" t="s">
        <v>1052</v>
      </c>
      <c r="KM1" s="47"/>
      <c r="KN1" s="17" t="s">
        <v>1089</v>
      </c>
      <c r="KO1" s="17"/>
      <c r="KP1" s="630" t="s">
        <v>594</v>
      </c>
      <c r="KQ1" s="105"/>
      <c r="KR1" s="594" t="s">
        <v>1052</v>
      </c>
      <c r="KS1" s="47"/>
      <c r="KT1" s="17" t="s">
        <v>1090</v>
      </c>
      <c r="KU1" s="17"/>
      <c r="KV1" s="630" t="s">
        <v>594</v>
      </c>
      <c r="KW1" s="105"/>
      <c r="KX1" s="594" t="s">
        <v>1052</v>
      </c>
      <c r="KY1" s="47"/>
      <c r="KZ1" s="17" t="s">
        <v>1091</v>
      </c>
      <c r="LA1" s="17"/>
      <c r="LB1" s="630" t="s">
        <v>594</v>
      </c>
      <c r="LC1" s="105"/>
      <c r="LD1" s="594" t="s">
        <v>1059</v>
      </c>
      <c r="LE1" s="47"/>
      <c r="LF1" s="17" t="s">
        <v>1092</v>
      </c>
      <c r="LG1" s="17"/>
      <c r="LH1" s="630" t="s">
        <v>594</v>
      </c>
      <c r="LI1" s="105"/>
      <c r="LJ1" s="594" t="s">
        <v>1057</v>
      </c>
      <c r="LK1" s="47"/>
      <c r="LL1" s="17" t="s">
        <v>1093</v>
      </c>
      <c r="LM1" s="17"/>
      <c r="LN1" s="630" t="s">
        <v>594</v>
      </c>
      <c r="LO1" s="309"/>
      <c r="LP1" s="594" t="s">
        <v>1059</v>
      </c>
      <c r="LQ1" s="47"/>
      <c r="LR1" s="17" t="s">
        <v>1094</v>
      </c>
      <c r="LS1" s="17"/>
      <c r="LT1" s="630" t="s">
        <v>594</v>
      </c>
      <c r="LU1" s="309"/>
      <c r="LV1" s="594" t="s">
        <v>1064</v>
      </c>
      <c r="LW1" s="47"/>
      <c r="LX1" s="17" t="s">
        <v>1095</v>
      </c>
      <c r="LY1" s="17"/>
      <c r="LZ1" s="630" t="s">
        <v>594</v>
      </c>
      <c r="MA1" s="309"/>
      <c r="MB1" s="594" t="s">
        <v>1057</v>
      </c>
      <c r="MC1" s="47"/>
      <c r="MD1" s="17" t="s">
        <v>1096</v>
      </c>
      <c r="ME1" s="17"/>
      <c r="MF1" s="630" t="s">
        <v>594</v>
      </c>
      <c r="MG1" s="309"/>
      <c r="MH1" s="594" t="s">
        <v>1045</v>
      </c>
      <c r="MI1" s="47"/>
      <c r="MJ1" s="17" t="s">
        <v>1097</v>
      </c>
      <c r="MK1" s="17"/>
      <c r="ML1" s="630" t="s">
        <v>594</v>
      </c>
      <c r="MM1" s="309"/>
      <c r="MN1" s="594" t="s">
        <v>1064</v>
      </c>
      <c r="MO1" s="47"/>
      <c r="MP1" s="17" t="s">
        <v>1098</v>
      </c>
      <c r="MQ1" s="17"/>
      <c r="MR1" s="630" t="s">
        <v>594</v>
      </c>
      <c r="MS1" s="309"/>
      <c r="MT1" s="594" t="s">
        <v>1057</v>
      </c>
      <c r="MU1" s="47"/>
      <c r="MV1" s="17" t="s">
        <v>1099</v>
      </c>
      <c r="MW1" s="17"/>
      <c r="MX1" s="630" t="s">
        <v>594</v>
      </c>
      <c r="MY1" s="309"/>
      <c r="MZ1" s="594" t="s">
        <v>1052</v>
      </c>
      <c r="NA1" s="47"/>
      <c r="NB1" s="17" t="s">
        <v>1100</v>
      </c>
      <c r="NC1" s="17"/>
      <c r="ND1" s="630" t="s">
        <v>594</v>
      </c>
      <c r="NE1" s="309"/>
      <c r="NF1" s="594" t="s">
        <v>1045</v>
      </c>
      <c r="NG1" s="47"/>
      <c r="NH1" s="17" t="s">
        <v>1101</v>
      </c>
      <c r="NI1" s="17"/>
      <c r="NJ1" s="630" t="s">
        <v>594</v>
      </c>
      <c r="NK1" s="309"/>
      <c r="NL1" s="594" t="s">
        <v>1047</v>
      </c>
      <c r="NM1" s="47"/>
      <c r="NN1" s="17" t="s">
        <v>1102</v>
      </c>
      <c r="NO1" s="17"/>
      <c r="NP1" s="630" t="s">
        <v>594</v>
      </c>
      <c r="NQ1" s="309"/>
      <c r="NR1" s="594" t="s">
        <v>1064</v>
      </c>
      <c r="NS1" s="47"/>
      <c r="NT1" s="17" t="s">
        <v>1103</v>
      </c>
      <c r="NU1" s="17"/>
      <c r="NV1" s="630" t="s">
        <v>594</v>
      </c>
      <c r="NW1" s="309"/>
      <c r="NX1" s="594" t="s">
        <v>1080</v>
      </c>
      <c r="NY1" s="47"/>
      <c r="NZ1" s="17" t="s">
        <v>1104</v>
      </c>
      <c r="OA1" s="17"/>
      <c r="OB1" s="630" t="s">
        <v>594</v>
      </c>
      <c r="OC1" s="309"/>
      <c r="OD1" s="594" t="s">
        <v>1080</v>
      </c>
      <c r="OE1" s="47"/>
      <c r="OF1" s="17" t="s">
        <v>1105</v>
      </c>
      <c r="OG1" s="17"/>
    </row>
    <row r="2" spans="1:397">
      <c r="A2" s="48" t="s">
        <v>115</v>
      </c>
      <c r="B2" s="49">
        <f>SUM(B5:B23)</f>
        <v>22455.002</v>
      </c>
      <c r="E2" s="50" t="s">
        <v>116</v>
      </c>
      <c r="F2" s="51">
        <f>D2+B2-H2</f>
        <v>12767</v>
      </c>
      <c r="G2" s="48" t="s">
        <v>115</v>
      </c>
      <c r="H2" s="49">
        <f>SUM(H5:H23)</f>
        <v>9688.002</v>
      </c>
      <c r="I2" s="15" t="s">
        <v>1106</v>
      </c>
      <c r="J2" s="15">
        <f>J5</f>
        <v>12933</v>
      </c>
      <c r="K2" s="50" t="s">
        <v>116</v>
      </c>
      <c r="L2" s="18">
        <f>J2+H2-N2</f>
        <v>3782.001</v>
      </c>
      <c r="M2" s="48" t="s">
        <v>115</v>
      </c>
      <c r="N2" s="49">
        <f>SUM(N3:N21)</f>
        <v>18839.001</v>
      </c>
      <c r="O2" s="15" t="s">
        <v>1106</v>
      </c>
      <c r="P2" s="15">
        <f>SUM(P5:P19)</f>
        <v>1486</v>
      </c>
      <c r="Q2" s="50" t="s">
        <v>116</v>
      </c>
      <c r="R2" s="18">
        <f>P2+N2-T2</f>
        <v>7491</v>
      </c>
      <c r="S2" s="48" t="s">
        <v>115</v>
      </c>
      <c r="T2" s="49">
        <f>SUM(T3:T21)</f>
        <v>12834.001</v>
      </c>
      <c r="U2" s="15" t="s">
        <v>1106</v>
      </c>
      <c r="V2" s="15">
        <f>SUM(V5:V19)</f>
        <v>13831</v>
      </c>
      <c r="W2" s="50" t="s">
        <v>116</v>
      </c>
      <c r="X2" s="18">
        <f>V2+T2-Z2</f>
        <v>5763.659</v>
      </c>
      <c r="Y2" s="48" t="s">
        <v>115</v>
      </c>
      <c r="Z2" s="49">
        <f>SUM(Z3:Z22)</f>
        <v>20901.342</v>
      </c>
      <c r="AA2" s="15" t="s">
        <v>1106</v>
      </c>
      <c r="AB2" s="15">
        <f>SUM(AB5:AB19)</f>
        <v>13819.29</v>
      </c>
      <c r="AC2" s="50" t="s">
        <v>116</v>
      </c>
      <c r="AD2" s="18">
        <f>AB2+Z2-AF2</f>
        <v>3988.961</v>
      </c>
      <c r="AE2" s="48" t="s">
        <v>115</v>
      </c>
      <c r="AF2" s="49">
        <f>SUM(AF3:AF23)</f>
        <v>30731.671</v>
      </c>
      <c r="AG2" s="15" t="s">
        <v>1106</v>
      </c>
      <c r="AH2" s="15">
        <f>SUM(AH5:AH17)</f>
        <v>13747</v>
      </c>
      <c r="AI2" s="50" t="s">
        <v>116</v>
      </c>
      <c r="AJ2" s="18">
        <f>AH2+AF2-AL2</f>
        <v>1545.67000000001</v>
      </c>
      <c r="AK2" s="48" t="s">
        <v>115</v>
      </c>
      <c r="AL2" s="49">
        <f>SUM(AL3:AL23)</f>
        <v>42933.001</v>
      </c>
      <c r="AM2" s="15" t="s">
        <v>1106</v>
      </c>
      <c r="AN2" s="15">
        <f>SUM(AN5:AN21)</f>
        <v>19929.09</v>
      </c>
      <c r="AO2" s="50" t="s">
        <v>116</v>
      </c>
      <c r="AP2" s="18">
        <f>AN2+AL2-AR2</f>
        <v>15355.051</v>
      </c>
      <c r="AQ2" s="48" t="s">
        <v>115</v>
      </c>
      <c r="AR2" s="49">
        <f>SUM(AR3:AR23)</f>
        <v>47507.04</v>
      </c>
      <c r="AS2" s="15" t="s">
        <v>1106</v>
      </c>
      <c r="AT2" s="15">
        <f>SUM(AT5:AT18)</f>
        <v>15836.49</v>
      </c>
      <c r="AU2" s="50" t="s">
        <v>116</v>
      </c>
      <c r="AV2" s="18">
        <f>AT2+AR2-AX2</f>
        <v>6705.94899999999</v>
      </c>
      <c r="AW2" s="48" t="s">
        <v>115</v>
      </c>
      <c r="AX2" s="49">
        <f>SUM(AX3:AX23)</f>
        <v>56637.581</v>
      </c>
      <c r="AY2" s="50" t="s">
        <v>1107</v>
      </c>
      <c r="AZ2" s="43">
        <f>AX2-BB2</f>
        <v>30000</v>
      </c>
      <c r="BA2" s="48" t="s">
        <v>115</v>
      </c>
      <c r="BB2" s="49">
        <f>SUM(BB3:BB23)</f>
        <v>26637.581</v>
      </c>
      <c r="BC2" s="15" t="s">
        <v>113</v>
      </c>
      <c r="BD2" s="15">
        <f>SUM(BD5:BD20)</f>
        <v>13776.8</v>
      </c>
      <c r="BE2" s="50" t="s">
        <v>116</v>
      </c>
      <c r="BF2" s="18">
        <f>BD2+BB2-BH2</f>
        <v>3946.32100000001</v>
      </c>
      <c r="BG2" s="48" t="s">
        <v>115</v>
      </c>
      <c r="BH2" s="49">
        <f>SUM(BH3:BH23)</f>
        <v>36468.06</v>
      </c>
      <c r="BI2" s="42" t="s">
        <v>113</v>
      </c>
      <c r="BJ2" s="42">
        <f>SUM(BJ5:BJ19)</f>
        <v>13774.51</v>
      </c>
      <c r="BK2" s="83" t="s">
        <v>116</v>
      </c>
      <c r="BL2" s="84">
        <f>BJ2+BH2-BN2</f>
        <v>3886.39999999999</v>
      </c>
      <c r="BM2" s="48" t="s">
        <v>115</v>
      </c>
      <c r="BN2" s="49">
        <f>SUM(BN3:BN23)</f>
        <v>46356.17</v>
      </c>
      <c r="BO2" s="42" t="s">
        <v>113</v>
      </c>
      <c r="BP2" s="42">
        <f>SUM(BP5:BP21)</f>
        <v>13783.86</v>
      </c>
      <c r="BQ2" s="83" t="s">
        <v>116</v>
      </c>
      <c r="BR2" s="84">
        <f>BP2+BN2-BT2</f>
        <v>4541.18000000001</v>
      </c>
      <c r="BS2" s="48" t="s">
        <v>115</v>
      </c>
      <c r="BT2" s="91">
        <f>SUM(BT3:BT23)</f>
        <v>55598.85</v>
      </c>
      <c r="BU2" s="42" t="s">
        <v>113</v>
      </c>
      <c r="BV2" s="42">
        <f>SUM(BV5:BV21)</f>
        <v>13745.42</v>
      </c>
      <c r="BW2" s="83" t="s">
        <v>116</v>
      </c>
      <c r="BX2" s="84">
        <f>BV2+BT2-BZ2</f>
        <v>4667.69900000001</v>
      </c>
      <c r="BY2" s="48" t="s">
        <v>115</v>
      </c>
      <c r="BZ2" s="91">
        <f>SUM(BZ3:BZ23)</f>
        <v>64676.571</v>
      </c>
      <c r="CA2" s="42" t="s">
        <v>113</v>
      </c>
      <c r="CB2" s="42">
        <f>SUM(CB5:CB21)</f>
        <v>14087.22</v>
      </c>
      <c r="CC2" s="83" t="s">
        <v>116</v>
      </c>
      <c r="CD2" s="84">
        <f>CB2+BZ2-CF2</f>
        <v>4796.31</v>
      </c>
      <c r="CE2" s="48" t="s">
        <v>115</v>
      </c>
      <c r="CF2" s="91">
        <f>SUM(CF3:CF23)</f>
        <v>73967.481</v>
      </c>
      <c r="CG2" s="42" t="s">
        <v>113</v>
      </c>
      <c r="CH2" s="42">
        <f>SUM(CH4:CH19)</f>
        <v>13822.76</v>
      </c>
      <c r="CI2" s="83" t="s">
        <v>116</v>
      </c>
      <c r="CJ2" s="84">
        <f>CH2+CF2-CL2</f>
        <v>6338.79099999998</v>
      </c>
      <c r="CK2" s="48" t="s">
        <v>115</v>
      </c>
      <c r="CL2" s="91">
        <f>SUM(CL3:CL23)</f>
        <v>81451.45</v>
      </c>
      <c r="CM2" s="42" t="s">
        <v>113</v>
      </c>
      <c r="CN2" s="42">
        <f>SUM(CN4:CN19)</f>
        <v>13794.12</v>
      </c>
      <c r="CO2" s="83" t="s">
        <v>116</v>
      </c>
      <c r="CP2" s="84">
        <f>CN2+CL2-CR2</f>
        <v>3995.76000000001</v>
      </c>
      <c r="CQ2" s="48" t="s">
        <v>115</v>
      </c>
      <c r="CR2" s="91">
        <f>SUM(CR3:CR23)</f>
        <v>91249.81</v>
      </c>
      <c r="CS2" s="42" t="s">
        <v>113</v>
      </c>
      <c r="CT2" s="84">
        <f>SUM(CT4:CT20)</f>
        <v>13942.35</v>
      </c>
      <c r="CU2" s="83" t="s">
        <v>116</v>
      </c>
      <c r="CV2" s="84">
        <f>CT2+CR2-CX2</f>
        <v>5106.95000000001</v>
      </c>
      <c r="CW2" s="48" t="s">
        <v>115</v>
      </c>
      <c r="CX2" s="91">
        <f>SUM(CX3:CX27)</f>
        <v>100085.21</v>
      </c>
      <c r="CY2" s="42" t="s">
        <v>113</v>
      </c>
      <c r="CZ2" s="84">
        <f>SUM(CZ4:CZ18)</f>
        <v>13786.04</v>
      </c>
      <c r="DA2" s="113" t="s">
        <v>116</v>
      </c>
      <c r="DB2" s="84">
        <f>CZ2+CX2-DD2</f>
        <v>6534.88</v>
      </c>
      <c r="DC2" s="48" t="s">
        <v>115</v>
      </c>
      <c r="DD2" s="91">
        <f>SUM(DD3:DD28)</f>
        <v>107336.37</v>
      </c>
      <c r="DE2" s="42" t="s">
        <v>113</v>
      </c>
      <c r="DF2" s="84">
        <f>SUM(DF4:DF37)</f>
        <v>52018.07</v>
      </c>
      <c r="DG2" s="113" t="s">
        <v>116</v>
      </c>
      <c r="DH2" s="84">
        <f>DF2+DD2-DJ2</f>
        <v>13857.099</v>
      </c>
      <c r="DI2" s="48" t="s">
        <v>115</v>
      </c>
      <c r="DJ2" s="91">
        <f>SUM(DJ3:DJ44)</f>
        <v>145497.341</v>
      </c>
      <c r="DK2" s="42" t="s">
        <v>113</v>
      </c>
      <c r="DL2" s="84">
        <f>SUM(DL4:DL32)</f>
        <v>25874</v>
      </c>
      <c r="DM2" s="113" t="s">
        <v>116</v>
      </c>
      <c r="DN2" s="84">
        <f>DL2+DJ2-DP2</f>
        <v>21543</v>
      </c>
      <c r="DO2" s="48" t="s">
        <v>115</v>
      </c>
      <c r="DP2" s="91">
        <f>SUM(DP3:DP32)</f>
        <v>149828.341</v>
      </c>
      <c r="DQ2" s="42" t="s">
        <v>113</v>
      </c>
      <c r="DR2" s="84">
        <f>SUM(DR4:DR32)</f>
        <v>14337.81</v>
      </c>
      <c r="DS2" s="137" t="s">
        <v>116</v>
      </c>
      <c r="DT2" s="102">
        <f>DR2+DP2-DV2</f>
        <v>49619.18</v>
      </c>
      <c r="DU2" s="48" t="s">
        <v>115</v>
      </c>
      <c r="DV2" s="91">
        <f>SUM(DV3:DV33)</f>
        <v>114546.971</v>
      </c>
      <c r="DW2" s="15" t="s">
        <v>113</v>
      </c>
      <c r="DX2" s="18">
        <f>SUM(DX4:DX32)</f>
        <v>14150.08</v>
      </c>
      <c r="DY2" s="70" t="s">
        <v>116</v>
      </c>
      <c r="DZ2" s="102">
        <f>DX2+DV2-EB2</f>
        <v>4917.05</v>
      </c>
      <c r="EA2" s="15" t="s">
        <v>115</v>
      </c>
      <c r="EB2" s="43">
        <f>SUM(EB3:EB31)</f>
        <v>123780.001</v>
      </c>
      <c r="EC2" s="15" t="s">
        <v>113</v>
      </c>
      <c r="ED2" s="18">
        <f>SUM(ED4:ED30)</f>
        <v>14112.46</v>
      </c>
      <c r="EE2" s="70" t="s">
        <v>116</v>
      </c>
      <c r="EF2" s="102">
        <f>ED2+EB2-EI2</f>
        <v>5256.46999999997</v>
      </c>
      <c r="EG2" s="102"/>
      <c r="EH2" s="15" t="s">
        <v>115</v>
      </c>
      <c r="EI2" s="43">
        <f>SUM(EI3:EI28)</f>
        <v>132635.991</v>
      </c>
      <c r="EJ2" s="15" t="s">
        <v>113</v>
      </c>
      <c r="EK2" s="18">
        <f>SUM(EK4:EK31)</f>
        <v>14260.18</v>
      </c>
      <c r="EL2" s="70" t="s">
        <v>116</v>
      </c>
      <c r="EM2" s="102">
        <f>EK2+EI2-EO2</f>
        <v>5230.27000000002</v>
      </c>
      <c r="EN2" s="15" t="s">
        <v>115</v>
      </c>
      <c r="EO2" s="43">
        <f>SUM(EO3:EO29)</f>
        <v>141665.901</v>
      </c>
      <c r="EP2" s="15" t="s">
        <v>113</v>
      </c>
      <c r="EQ2" s="18">
        <f>SUM(EQ4:EQ32)</f>
        <v>14291.91</v>
      </c>
      <c r="ER2" s="70" t="s">
        <v>116</v>
      </c>
      <c r="ES2" s="102">
        <f>EQ2+EO2-EU2</f>
        <v>7270.45999999999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70" t="s">
        <v>116</v>
      </c>
      <c r="EY2" s="102">
        <f>EW2+EU2-FA2</f>
        <v>5474.511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16077.421</v>
      </c>
      <c r="FD2" s="70" t="s">
        <v>116</v>
      </c>
      <c r="FE2" s="102">
        <f>FC2+FA2-FG2</f>
        <v>5303.02100000001</v>
      </c>
      <c r="FF2" s="15" t="s">
        <v>115</v>
      </c>
      <c r="FG2" s="174">
        <f>SUM(FG3:FG41)</f>
        <v>168327.4</v>
      </c>
      <c r="FH2" s="15" t="s">
        <v>113</v>
      </c>
      <c r="FI2" s="18">
        <f>SUM(FI4:FI32)</f>
        <v>14233.91</v>
      </c>
      <c r="FJ2" s="70" t="s">
        <v>116</v>
      </c>
      <c r="FK2" s="102">
        <f>FI2+FG2-FM2</f>
        <v>5095.31</v>
      </c>
      <c r="FL2" s="15" t="s">
        <v>115</v>
      </c>
      <c r="FM2" s="174">
        <f>SUM(FM3:FM45)</f>
        <v>177466</v>
      </c>
      <c r="FN2" s="15" t="s">
        <v>113</v>
      </c>
      <c r="FO2" s="18">
        <f>SUM(FO4:FO37)</f>
        <v>40737.85</v>
      </c>
      <c r="FP2" s="70" t="s">
        <v>116</v>
      </c>
      <c r="FQ2" s="102">
        <f>FO2+FM2-FS2</f>
        <v>17561.82</v>
      </c>
      <c r="FR2" s="15" t="s">
        <v>115</v>
      </c>
      <c r="FS2" s="174">
        <f>SUM(FS3:FS35)</f>
        <v>200642.03</v>
      </c>
      <c r="FT2" s="15" t="s">
        <v>113</v>
      </c>
      <c r="FU2" s="18">
        <f>SUM(FU4:FU31)</f>
        <v>17790.671</v>
      </c>
      <c r="FV2" s="70" t="s">
        <v>116</v>
      </c>
      <c r="FW2" s="102">
        <f>FU2+FS2-FY3</f>
        <v>76722.171</v>
      </c>
      <c r="FX2" s="15" t="s">
        <v>1108</v>
      </c>
      <c r="FY2" s="43">
        <f>FY3+FW14</f>
        <v>201710.53</v>
      </c>
      <c r="GD2" s="15" t="s">
        <v>1108</v>
      </c>
      <c r="GE2" s="43">
        <f>GE3+(FY2-FY3+GC15)</f>
        <v>232108.07</v>
      </c>
      <c r="GP2" s="15" t="s">
        <v>1109</v>
      </c>
      <c r="GQ2" s="43">
        <f>GQ3-SUM(GQ38:GQ40)</f>
        <v>4523.68100000001</v>
      </c>
      <c r="GV2" s="15" t="s">
        <v>1109</v>
      </c>
      <c r="GW2" s="43">
        <f>GW3-SUM(GQ39:GQ40)</f>
        <v>16070.49</v>
      </c>
      <c r="GX2" s="15" t="s">
        <v>113</v>
      </c>
      <c r="GY2" s="18">
        <f>SUM(GY4:GY21)</f>
        <v>13970.54</v>
      </c>
      <c r="GZ2" s="70" t="s">
        <v>116</v>
      </c>
      <c r="HA2" s="102">
        <f>GY2+GW3-HC3</f>
        <v>10745.97</v>
      </c>
      <c r="HB2" s="15" t="s">
        <v>1109</v>
      </c>
      <c r="HC2" s="43">
        <f>HC3-SUM(GQ39:GQ40)</f>
        <v>19295.06</v>
      </c>
      <c r="HF2" s="70" t="s">
        <v>116</v>
      </c>
      <c r="HG2" s="102">
        <f>HE3+HC3-HI3</f>
        <v>27435.94</v>
      </c>
      <c r="HH2" s="15" t="s">
        <v>1109</v>
      </c>
      <c r="HI2" s="43">
        <f>HI3-(GQ39-HG38-HG37)</f>
        <v>27194.29</v>
      </c>
      <c r="HL2" s="70" t="s">
        <v>116</v>
      </c>
      <c r="HM2" s="91">
        <f>HK3+HI3-HO3</f>
        <v>27357.541</v>
      </c>
      <c r="HN2" s="15" t="s">
        <v>1109</v>
      </c>
      <c r="HO2" s="43">
        <f>HO3-(GQ39-HG38-HG37-HM36)</f>
        <v>34567.51</v>
      </c>
      <c r="HP2" s="15" t="s">
        <v>113</v>
      </c>
      <c r="HQ2" s="18">
        <f>SUM(HQ3:HQ12)</f>
        <v>14028.39</v>
      </c>
      <c r="HR2" s="70" t="s">
        <v>116</v>
      </c>
      <c r="HS2" s="91">
        <f>HQ2+HO3-HU3</f>
        <v>8266.70999999999</v>
      </c>
      <c r="HT2" s="15" t="s">
        <v>1109</v>
      </c>
      <c r="HU2" s="43">
        <f>HU3-(GQ39-HG38-HG37-HM36)</f>
        <v>40329.19</v>
      </c>
      <c r="HX2" s="70" t="s">
        <v>116</v>
      </c>
      <c r="HY2" s="91">
        <f>HW3+HU3-IA3</f>
        <v>198929.12</v>
      </c>
      <c r="HZ2" s="15" t="s">
        <v>1109</v>
      </c>
      <c r="IA2" s="43">
        <f>IA3-($GQ$39-$HG$38-$HG$37-$HM$36)</f>
        <v>535434.1</v>
      </c>
      <c r="IB2" s="15" t="s">
        <v>113</v>
      </c>
      <c r="IC2" s="219">
        <f>SUM(IC3:IC22)</f>
        <v>16754.071</v>
      </c>
      <c r="ID2" s="70" t="s">
        <v>116</v>
      </c>
      <c r="IE2" s="91">
        <f>IC2+IA3-IG2</f>
        <v>59936.5310000001</v>
      </c>
      <c r="IF2" s="15" t="s">
        <v>1110</v>
      </c>
      <c r="IG2" s="43">
        <f>SUM(IG3:IG33)</f>
        <v>496124.19</v>
      </c>
      <c r="IH2" s="15" t="s">
        <v>113</v>
      </c>
      <c r="II2" s="219">
        <f>SUM(II3:II30)</f>
        <v>15115.66</v>
      </c>
      <c r="IJ2" s="70" t="s">
        <v>116</v>
      </c>
      <c r="IK2" s="91">
        <f>II2+IG2-IM2</f>
        <v>13100.4199999999</v>
      </c>
      <c r="IL2" s="15" t="s">
        <v>1110</v>
      </c>
      <c r="IM2" s="43">
        <f>SUM(IM3:IM29)</f>
        <v>498139.43</v>
      </c>
      <c r="IN2" s="15" t="s">
        <v>113</v>
      </c>
      <c r="IO2" s="219">
        <f>SUM(IO3:IO26)</f>
        <v>14255.22</v>
      </c>
      <c r="IP2" s="70" t="s">
        <v>116</v>
      </c>
      <c r="IQ2" s="91">
        <f>IO2+IM2-IS2</f>
        <v>11408.6499999999</v>
      </c>
      <c r="IR2" s="15" t="s">
        <v>1110</v>
      </c>
      <c r="IS2" s="43">
        <f>SUM(IS3:IS31)</f>
        <v>500986</v>
      </c>
      <c r="IT2" s="15" t="s">
        <v>113</v>
      </c>
      <c r="IU2" s="219">
        <f>SUM(IU3:IU19)</f>
        <v>42025.25</v>
      </c>
      <c r="IV2" s="70" t="s">
        <v>116</v>
      </c>
      <c r="IW2" s="91">
        <f>IU2+IS2-IY2</f>
        <v>11439.987</v>
      </c>
      <c r="IX2" s="15" t="s">
        <v>1110</v>
      </c>
      <c r="IY2" s="43">
        <f>SUM(IY5:IY25)</f>
        <v>531571.263</v>
      </c>
      <c r="IZ2" s="15" t="s">
        <v>113</v>
      </c>
      <c r="JA2" s="219">
        <f>SUM(JA4:JA24)</f>
        <v>29637.581</v>
      </c>
      <c r="JB2" s="70" t="s">
        <v>116</v>
      </c>
      <c r="JC2" s="91">
        <f>JA2+IY2-JE2</f>
        <v>11138.844</v>
      </c>
      <c r="JD2" s="15" t="s">
        <v>1110</v>
      </c>
      <c r="JE2" s="43">
        <f>SUM(JE5:JE27)</f>
        <v>550070</v>
      </c>
      <c r="JF2" s="15" t="s">
        <v>113</v>
      </c>
      <c r="JG2" s="219">
        <f>SUM(JG4:JG26)</f>
        <v>16908.76</v>
      </c>
      <c r="JH2" s="70" t="s">
        <v>116</v>
      </c>
      <c r="JI2" s="91">
        <f>JG2+JE2-JK2</f>
        <v>166094.66</v>
      </c>
      <c r="JJ2" s="15" t="s">
        <v>1110</v>
      </c>
      <c r="JK2" s="43">
        <f>SUM(JK5:JK30)</f>
        <v>400884.1</v>
      </c>
      <c r="JL2" s="15" t="s">
        <v>113</v>
      </c>
      <c r="JM2" s="219">
        <f>SUM(JM4:JM25)</f>
        <v>16944.661</v>
      </c>
      <c r="JN2" s="70" t="s">
        <v>116</v>
      </c>
      <c r="JO2" s="91">
        <f>JM2+JK2-JQ2</f>
        <v>126904.961</v>
      </c>
      <c r="JP2" s="15" t="s">
        <v>1110</v>
      </c>
      <c r="JQ2" s="174">
        <f>SUM(JQ3:JQ34)</f>
        <v>290923.8</v>
      </c>
      <c r="JR2" s="15" t="s">
        <v>113</v>
      </c>
      <c r="JS2" s="219">
        <f>SUM(JS4:JS23)</f>
        <v>24019.19</v>
      </c>
      <c r="JT2" s="70" t="s">
        <v>116</v>
      </c>
      <c r="JU2" s="91">
        <f>JS2+JQ2-JW2</f>
        <v>13510.39</v>
      </c>
      <c r="JV2" s="15" t="s">
        <v>1110</v>
      </c>
      <c r="JW2" s="174">
        <f>SUM(JW3:JW27)</f>
        <v>301432.6</v>
      </c>
      <c r="JX2" s="15" t="s">
        <v>113</v>
      </c>
      <c r="JY2" s="219">
        <f>SUM(JY4:JY24)</f>
        <v>33121.27</v>
      </c>
      <c r="JZ2" s="70" t="s">
        <v>116</v>
      </c>
      <c r="KA2" s="91">
        <f>JY2+JW2-KC2</f>
        <v>20399.23</v>
      </c>
      <c r="KB2" s="15" t="s">
        <v>1110</v>
      </c>
      <c r="KC2" s="174">
        <f>SUM(KC3:KC27)</f>
        <v>314154.64</v>
      </c>
      <c r="KD2" s="15" t="s">
        <v>113</v>
      </c>
      <c r="KE2" s="219">
        <f>SUM(KE4:KE23)</f>
        <v>30546.945</v>
      </c>
      <c r="KF2" s="70" t="s">
        <v>116</v>
      </c>
      <c r="KG2" s="91">
        <f>KE2+KC2-KI4</f>
        <v>6905.14500000002</v>
      </c>
      <c r="KH2" s="15" t="s">
        <v>1111</v>
      </c>
      <c r="KI2" s="43">
        <f>KI4+KI3-SUM(KI5:KI6)</f>
        <v>80796.44</v>
      </c>
      <c r="KJ2" s="15" t="s">
        <v>1112</v>
      </c>
      <c r="KK2" s="219">
        <f>SUM(KK4:KK25)</f>
        <v>15018.65</v>
      </c>
      <c r="KL2" s="70" t="s">
        <v>116</v>
      </c>
      <c r="KM2" s="91">
        <f>KK2+KI4-KO4</f>
        <v>61259.4500000001</v>
      </c>
      <c r="KN2" s="15" t="s">
        <v>1111</v>
      </c>
      <c r="KO2" s="295">
        <f>SUM(KO3:KO4)-KO9</f>
        <v>44555.64</v>
      </c>
      <c r="KP2" s="15" t="s">
        <v>1112</v>
      </c>
      <c r="KQ2" s="219">
        <f>SUM(KQ4:KQ24)</f>
        <v>32279.33</v>
      </c>
      <c r="KR2" s="70" t="s">
        <v>116</v>
      </c>
      <c r="KS2" s="91">
        <f>KQ2+KO4-KU3</f>
        <v>9848.92999999999</v>
      </c>
      <c r="KT2" s="15" t="s">
        <v>1113</v>
      </c>
      <c r="KU2" s="43">
        <v>-50000</v>
      </c>
      <c r="KV2" s="15" t="s">
        <v>1112</v>
      </c>
      <c r="KW2" s="219">
        <f>SUM(KW4:KW36)</f>
        <v>22093.94</v>
      </c>
      <c r="KX2" s="70" t="s">
        <v>116</v>
      </c>
      <c r="KY2" s="91">
        <f>KW2+KU3-LA2</f>
        <v>10341.4899999999</v>
      </c>
      <c r="KZ2" s="15" t="s">
        <v>1114</v>
      </c>
      <c r="LA2" s="174">
        <f>SUM(LA7:LA33)</f>
        <v>325738.49</v>
      </c>
      <c r="LB2" s="15" t="s">
        <v>1112</v>
      </c>
      <c r="LC2" s="219">
        <f>SUM(LC4:LC29)</f>
        <v>18590.251</v>
      </c>
      <c r="LD2" s="70" t="s">
        <v>116</v>
      </c>
      <c r="LE2" s="91">
        <f>LC2+LA2-LG2</f>
        <v>28572.121</v>
      </c>
      <c r="LF2" s="15" t="s">
        <v>1114</v>
      </c>
      <c r="LG2" s="174">
        <f>SUM(LG6:LG32)</f>
        <v>315756.62</v>
      </c>
      <c r="LH2" s="15" t="s">
        <v>1112</v>
      </c>
      <c r="LI2" s="219">
        <f>SUM(LI4:LI27)</f>
        <v>49081.44</v>
      </c>
      <c r="LJ2" s="70" t="s">
        <v>116</v>
      </c>
      <c r="LK2" s="91">
        <f>LI2+LG2-LM2</f>
        <v>8817.15000000002</v>
      </c>
      <c r="LL2" s="15" t="s">
        <v>1114</v>
      </c>
      <c r="LM2" s="43">
        <f>SUM(LM6:LM35)</f>
        <v>356020.91</v>
      </c>
      <c r="LN2" s="15" t="s">
        <v>1112</v>
      </c>
      <c r="LO2" s="219">
        <f>SUM(LO3:LO28)</f>
        <v>41120.021</v>
      </c>
      <c r="LP2" s="310" t="s">
        <v>1115</v>
      </c>
      <c r="LQ2" s="320">
        <f>LO2+LM2-LS2</f>
        <v>16626.741</v>
      </c>
      <c r="LR2" s="15" t="s">
        <v>1114</v>
      </c>
      <c r="LS2" s="43">
        <f>SUM(LS7:LS36)</f>
        <v>380514.19</v>
      </c>
      <c r="LT2" s="15" t="s">
        <v>1112</v>
      </c>
      <c r="LU2" s="38">
        <f>SUM(LU4:LU29)</f>
        <v>20337.371</v>
      </c>
      <c r="LV2" s="70" t="s">
        <v>116</v>
      </c>
      <c r="LW2" s="91">
        <f>LU2+LS2-LY2</f>
        <v>97634.561</v>
      </c>
      <c r="LX2" s="15" t="s">
        <v>1116</v>
      </c>
      <c r="LY2" s="43">
        <f>SUM(LY6:LY36)</f>
        <v>303217</v>
      </c>
      <c r="LZ2" s="15" t="s">
        <v>1112</v>
      </c>
      <c r="MA2" s="38">
        <f>SUM(MA4:MA30)</f>
        <v>9673.191</v>
      </c>
      <c r="MB2" s="70" t="s">
        <v>116</v>
      </c>
      <c r="MC2" s="91">
        <f>MA2+LY2-ME2</f>
        <v>7093.19099999999</v>
      </c>
      <c r="MD2" s="15" t="s">
        <v>1116</v>
      </c>
      <c r="ME2" s="43">
        <f>SUM(ME5:ME33)</f>
        <v>305797</v>
      </c>
      <c r="MF2" s="15" t="s">
        <v>1112</v>
      </c>
      <c r="MG2" s="38">
        <f>SUM(MG4:MG39)</f>
        <v>20163.811</v>
      </c>
      <c r="MH2" s="70" t="s">
        <v>116</v>
      </c>
      <c r="MI2" s="91">
        <f>MG2+ME2-MK2</f>
        <v>16441.441</v>
      </c>
      <c r="MJ2" s="15" t="s">
        <v>1116</v>
      </c>
      <c r="MK2" s="43">
        <f>SUM(MK7:MK39)</f>
        <v>309519.37</v>
      </c>
      <c r="ML2" s="15" t="s">
        <v>1112</v>
      </c>
      <c r="MM2" s="38">
        <f>SUM(MM4:MM33)</f>
        <v>20140.731</v>
      </c>
      <c r="MN2" s="70" t="s">
        <v>116</v>
      </c>
      <c r="MO2" s="91">
        <f>MM2+MK2-MQ2</f>
        <v>9604.261</v>
      </c>
      <c r="MP2" s="15" t="s">
        <v>1116</v>
      </c>
      <c r="MQ2" s="43">
        <f>SUM(MQ7:MQ38)</f>
        <v>320055.84</v>
      </c>
      <c r="MR2" s="15" t="s">
        <v>1112</v>
      </c>
      <c r="MS2" s="38">
        <f>SUM(MS4:MS31)</f>
        <v>27767.351</v>
      </c>
      <c r="MT2" s="70" t="s">
        <v>116</v>
      </c>
      <c r="MU2" s="91">
        <f>MS2+MQ2-MW2</f>
        <v>19307.35</v>
      </c>
      <c r="MV2" s="15" t="s">
        <v>1116</v>
      </c>
      <c r="MW2" s="43">
        <f>SUM(MW6:MW36)</f>
        <v>328515.841</v>
      </c>
      <c r="MX2" s="15" t="s">
        <v>1112</v>
      </c>
      <c r="MY2" s="38">
        <f>SUM(MY4:MY27)</f>
        <v>20893.791</v>
      </c>
      <c r="MZ2" s="70" t="s">
        <v>116</v>
      </c>
      <c r="NA2" s="91">
        <f>MY2+MW2-NC2</f>
        <v>5333.99199999997</v>
      </c>
      <c r="NB2" s="15" t="s">
        <v>1116</v>
      </c>
      <c r="NC2" s="43">
        <f>SUM(NC8:NC34)</f>
        <v>344075.64</v>
      </c>
      <c r="ND2" s="15" t="s">
        <v>1112</v>
      </c>
      <c r="NE2" s="38">
        <f>SUM(NE4:NE25)</f>
        <v>31290.461</v>
      </c>
      <c r="NF2" s="70" t="s">
        <v>116</v>
      </c>
      <c r="NG2" s="91">
        <f>NE2+NC2-NI2</f>
        <v>50452.291</v>
      </c>
      <c r="NH2" s="15" t="s">
        <v>1116</v>
      </c>
      <c r="NI2" s="43">
        <f>SUM(NI7:NI30)</f>
        <v>324913.81</v>
      </c>
      <c r="NJ2" s="15" t="s">
        <v>1112</v>
      </c>
      <c r="NK2" s="38">
        <f>SUM(NK3:NK21)</f>
        <v>32433.861</v>
      </c>
      <c r="NL2" s="70" t="s">
        <v>116</v>
      </c>
      <c r="NM2" s="91">
        <f>NK2+NI2-NO2</f>
        <v>4796.01099999994</v>
      </c>
      <c r="NN2" s="15" t="s">
        <v>1116</v>
      </c>
      <c r="NO2" s="43">
        <f>SUM(NO9:NO35)</f>
        <v>352551.66</v>
      </c>
      <c r="NP2" s="15" t="s">
        <v>1112</v>
      </c>
      <c r="NQ2" s="38">
        <f>SUM(NQ4:NQ21)</f>
        <v>25979.96</v>
      </c>
      <c r="NR2" s="70" t="s">
        <v>116</v>
      </c>
      <c r="NS2" s="91">
        <f>NQ2+NO2-NU2</f>
        <v>80131.36</v>
      </c>
      <c r="NT2" s="15" t="s">
        <v>1116</v>
      </c>
      <c r="NU2" s="43">
        <f>SUM(NU4:NU32)</f>
        <v>298400.26</v>
      </c>
      <c r="NV2" s="15" t="s">
        <v>1112</v>
      </c>
      <c r="NW2" s="38">
        <f>SUM(NW4:NW23)</f>
        <v>24019.87</v>
      </c>
      <c r="NX2" s="70" t="s">
        <v>116</v>
      </c>
      <c r="NY2" s="91">
        <f>NW2+NU2-OA2</f>
        <v>19688.13</v>
      </c>
      <c r="NZ2" s="15" t="s">
        <v>1116</v>
      </c>
      <c r="OA2" s="43">
        <f>SUM(OA4:OA26)</f>
        <v>302732</v>
      </c>
      <c r="OB2" s="15" t="s">
        <v>1112</v>
      </c>
      <c r="OC2" s="38">
        <f>SUM(OC4:OC26)</f>
        <v>8308.94</v>
      </c>
      <c r="OD2" s="70" t="s">
        <v>116</v>
      </c>
      <c r="OE2" s="91">
        <f>OC2+OA2-OG2</f>
        <v>62107.94</v>
      </c>
      <c r="OF2" s="15" t="s">
        <v>1116</v>
      </c>
      <c r="OG2" s="43">
        <f>SUM(OG4:OG31)</f>
        <v>248933</v>
      </c>
    </row>
    <row r="3" spans="1:398">
      <c r="A3" s="52" t="s">
        <v>1117</v>
      </c>
      <c r="B3" s="52"/>
      <c r="E3" s="53" t="s">
        <v>123</v>
      </c>
      <c r="F3" s="51">
        <f>F2-F4</f>
        <v>17</v>
      </c>
      <c r="G3" s="52" t="s">
        <v>1117</v>
      </c>
      <c r="H3" s="52"/>
      <c r="K3" s="53" t="s">
        <v>123</v>
      </c>
      <c r="L3" s="18">
        <f>L2-L4</f>
        <v>43.9809999999998</v>
      </c>
      <c r="M3" s="54" t="s">
        <v>1118</v>
      </c>
      <c r="N3" s="55"/>
      <c r="Q3" s="50" t="s">
        <v>1119</v>
      </c>
      <c r="R3" s="18">
        <f>R2-R7</f>
        <v>1290.81</v>
      </c>
      <c r="S3" s="54" t="s">
        <v>1118</v>
      </c>
      <c r="T3" s="55"/>
      <c r="W3" s="50" t="s">
        <v>1119</v>
      </c>
      <c r="X3" s="18">
        <f>X2-X7</f>
        <v>3163.549</v>
      </c>
      <c r="Y3" s="54" t="s">
        <v>1118</v>
      </c>
      <c r="Z3" s="55"/>
      <c r="AC3" s="50" t="s">
        <v>1119</v>
      </c>
      <c r="AD3" s="18">
        <f>AD2-AD6</f>
        <v>1487.761</v>
      </c>
      <c r="AE3" s="54" t="s">
        <v>1118</v>
      </c>
      <c r="AF3" s="55"/>
      <c r="AI3" s="50" t="s">
        <v>1119</v>
      </c>
      <c r="AJ3" s="18">
        <f>AJ2-AJ6</f>
        <v>1545.67000000001</v>
      </c>
      <c r="AK3" s="54" t="s">
        <v>1118</v>
      </c>
      <c r="AL3" s="55"/>
      <c r="AO3" s="50" t="s">
        <v>1119</v>
      </c>
      <c r="AP3" s="18">
        <f>AP2-AP6</f>
        <v>7455.051</v>
      </c>
      <c r="AQ3" s="54" t="s">
        <v>1118</v>
      </c>
      <c r="AR3" s="55"/>
      <c r="AU3" s="53" t="s">
        <v>1119</v>
      </c>
      <c r="AV3" s="18">
        <f>AV2-AV6</f>
        <v>2205.87899999999</v>
      </c>
      <c r="AW3" s="54" t="s">
        <v>1118</v>
      </c>
      <c r="AX3" s="55"/>
      <c r="AY3" s="53"/>
      <c r="AZ3" s="18"/>
      <c r="BA3" s="54" t="s">
        <v>1118</v>
      </c>
      <c r="BB3" s="55"/>
      <c r="BE3" s="53" t="s">
        <v>1119</v>
      </c>
      <c r="BF3" s="18">
        <f>BF2-BF6</f>
        <v>3846.32100000001</v>
      </c>
      <c r="BG3" s="54" t="s">
        <v>1118</v>
      </c>
      <c r="BH3" s="55"/>
      <c r="BK3" s="85" t="s">
        <v>1119</v>
      </c>
      <c r="BL3" s="84">
        <f>BL2-BL6</f>
        <v>1986.34999999999</v>
      </c>
      <c r="BM3" s="54" t="s">
        <v>1118</v>
      </c>
      <c r="BN3" s="55"/>
      <c r="BQ3" s="85" t="s">
        <v>1119</v>
      </c>
      <c r="BR3" s="84">
        <f>BR2-BR6</f>
        <v>2641.12000000001</v>
      </c>
      <c r="BS3" s="54" t="s">
        <v>1118</v>
      </c>
      <c r="BT3" s="23"/>
      <c r="BW3" s="85" t="s">
        <v>1119</v>
      </c>
      <c r="BX3" s="84">
        <f>BX2-BX6</f>
        <v>2767.62900000001</v>
      </c>
      <c r="BY3" s="54" t="s">
        <v>1118</v>
      </c>
      <c r="BZ3" s="55"/>
      <c r="CC3" s="85" t="s">
        <v>1119</v>
      </c>
      <c r="CD3" s="84">
        <f>CD2-CD6</f>
        <v>2896.23</v>
      </c>
      <c r="CE3" s="54" t="s">
        <v>1118</v>
      </c>
      <c r="CF3" s="55"/>
      <c r="CI3" s="85" t="s">
        <v>1119</v>
      </c>
      <c r="CJ3" s="84">
        <f>CJ2-CJ6</f>
        <v>3338.70099999998</v>
      </c>
      <c r="CK3" s="54" t="s">
        <v>1118</v>
      </c>
      <c r="CL3" s="55"/>
      <c r="CO3" s="85" t="s">
        <v>1119</v>
      </c>
      <c r="CP3" s="84">
        <f>CP2-CP6</f>
        <v>2095.66000000001</v>
      </c>
      <c r="CQ3" s="54" t="s">
        <v>1118</v>
      </c>
      <c r="CR3" s="55"/>
      <c r="CU3" s="85" t="s">
        <v>1119</v>
      </c>
      <c r="CV3" s="84">
        <f>CV2-CV6</f>
        <v>3172.94000000001</v>
      </c>
      <c r="CW3" s="54" t="s">
        <v>1118</v>
      </c>
      <c r="CX3" s="55"/>
      <c r="DA3" s="42" t="s">
        <v>1119</v>
      </c>
      <c r="DB3" s="84">
        <f>DB2-DB6</f>
        <v>4604.66000000001</v>
      </c>
      <c r="DC3" s="54" t="s">
        <v>1118</v>
      </c>
      <c r="DD3" s="55"/>
      <c r="DG3" s="42" t="s">
        <v>1119</v>
      </c>
      <c r="DH3" s="44">
        <f>DH2-DH6</f>
        <v>6875.04899999999</v>
      </c>
      <c r="DI3" s="54" t="s">
        <v>1118</v>
      </c>
      <c r="DJ3" s="55"/>
      <c r="DM3" s="42" t="s">
        <v>1119</v>
      </c>
      <c r="DN3" s="44">
        <f>DN2-DN6</f>
        <v>4726.74</v>
      </c>
      <c r="DO3" s="54" t="s">
        <v>1120</v>
      </c>
      <c r="DP3" s="55">
        <v>1597</v>
      </c>
      <c r="DS3" s="61" t="s">
        <v>1119</v>
      </c>
      <c r="DT3" s="102">
        <f>DT2-DT7</f>
        <v>12719.12</v>
      </c>
      <c r="DU3" s="54" t="s">
        <v>1121</v>
      </c>
      <c r="DV3" s="55">
        <v>784</v>
      </c>
      <c r="DY3" s="15" t="s">
        <v>1119</v>
      </c>
      <c r="DZ3" s="102">
        <f>DZ2-DZ6</f>
        <v>2984</v>
      </c>
      <c r="EA3" s="54" t="s">
        <v>1121</v>
      </c>
      <c r="EB3" s="22">
        <v>1433</v>
      </c>
      <c r="EE3" s="15" t="s">
        <v>1119</v>
      </c>
      <c r="EF3" s="102">
        <f>EF2-EF6</f>
        <v>2794.43999999997</v>
      </c>
      <c r="EG3" s="102"/>
      <c r="EH3" s="48" t="s">
        <v>1122</v>
      </c>
      <c r="EI3" s="48">
        <v>-360</v>
      </c>
      <c r="EL3" s="15" t="s">
        <v>1119</v>
      </c>
      <c r="EM3" s="102">
        <f>EM2-EM6</f>
        <v>3430.20000000002</v>
      </c>
      <c r="EN3" s="48" t="s">
        <v>1122</v>
      </c>
      <c r="EO3" s="48">
        <v>-1059</v>
      </c>
      <c r="ER3" s="15" t="s">
        <v>1123</v>
      </c>
      <c r="ES3" s="102">
        <f>ES2-ES6</f>
        <v>5040.37999999999</v>
      </c>
      <c r="ET3" s="48" t="s">
        <v>1122</v>
      </c>
      <c r="EU3" s="48">
        <v>-2168</v>
      </c>
      <c r="EX3" s="15" t="s">
        <v>1124</v>
      </c>
      <c r="EY3" s="102">
        <f>EY2-EY6</f>
        <v>3574.421</v>
      </c>
      <c r="EZ3" s="48" t="s">
        <v>1122</v>
      </c>
      <c r="FA3" s="48">
        <v>-1778</v>
      </c>
      <c r="FD3" s="15" t="s">
        <v>1124</v>
      </c>
      <c r="FE3" s="102">
        <f>FE2-FE6</f>
        <v>3502.92100000001</v>
      </c>
      <c r="FF3" s="48" t="s">
        <v>1122</v>
      </c>
      <c r="FG3" s="48">
        <v>-1252</v>
      </c>
      <c r="FJ3" s="15" t="s">
        <v>1124</v>
      </c>
      <c r="FK3" s="102">
        <f>FK2-FK6</f>
        <v>3295.2</v>
      </c>
      <c r="FL3" s="15" t="s">
        <v>1125</v>
      </c>
      <c r="FM3" s="43">
        <v>160000</v>
      </c>
      <c r="FP3" s="15" t="s">
        <v>1124</v>
      </c>
      <c r="FQ3" s="102">
        <f>FQ2-FQ7-FQ6</f>
        <v>4761.70000000001</v>
      </c>
      <c r="FR3" s="15" t="s">
        <v>1125</v>
      </c>
      <c r="FS3" s="43">
        <v>198000</v>
      </c>
      <c r="FV3" s="15" t="s">
        <v>1124</v>
      </c>
      <c r="FW3" s="102">
        <f>FW2-FW7-FW6</f>
        <v>5622.161</v>
      </c>
      <c r="FX3" s="15" t="s">
        <v>1110</v>
      </c>
      <c r="FY3" s="174">
        <f>SUM(FY4:FY33)</f>
        <v>141710.53</v>
      </c>
      <c r="FZ3" s="15" t="s">
        <v>113</v>
      </c>
      <c r="GA3" s="18">
        <f>SUM(GA6:GA27)</f>
        <v>35944.74</v>
      </c>
      <c r="GB3" s="70" t="s">
        <v>116</v>
      </c>
      <c r="GC3" s="102">
        <f>GA3+FY3-GE3</f>
        <v>69024.74</v>
      </c>
      <c r="GD3" s="15" t="s">
        <v>1110</v>
      </c>
      <c r="GE3" s="174">
        <f>SUM(GE4:GE33)</f>
        <v>108630.53</v>
      </c>
      <c r="GF3" s="15" t="s">
        <v>113</v>
      </c>
      <c r="GG3" s="18">
        <f>SUM(GG6:GG25)</f>
        <v>25255.31</v>
      </c>
      <c r="GH3" s="70" t="s">
        <v>116</v>
      </c>
      <c r="GI3" s="102">
        <f>GG3+GE3-GK3</f>
        <v>9655.13899999998</v>
      </c>
      <c r="GJ3" s="15" t="s">
        <v>1110</v>
      </c>
      <c r="GK3" s="174">
        <f>SUM(GK4:GK37)</f>
        <v>124230.701</v>
      </c>
      <c r="GL3" s="15" t="s">
        <v>113</v>
      </c>
      <c r="GM3" s="18">
        <f>SUM(GM5:GM22)</f>
        <v>16267.07</v>
      </c>
      <c r="GN3" s="70" t="s">
        <v>116</v>
      </c>
      <c r="GO3" s="102">
        <f>GM3+GK3-GQ3</f>
        <v>5724.09</v>
      </c>
      <c r="GP3" s="15" t="s">
        <v>1126</v>
      </c>
      <c r="GQ3" s="174">
        <f>SUM(GQ4:GQ34)</f>
        <v>134773.681</v>
      </c>
      <c r="GR3" s="15" t="s">
        <v>113</v>
      </c>
      <c r="GS3" s="18">
        <f>SUM(GS5:GS26)</f>
        <v>18281.17</v>
      </c>
      <c r="GT3" s="70" t="s">
        <v>116</v>
      </c>
      <c r="GU3" s="102">
        <f>GS3+GQ3-GW3</f>
        <v>90984.361</v>
      </c>
      <c r="GV3" s="15" t="s">
        <v>1126</v>
      </c>
      <c r="GW3" s="174">
        <f>SUM(GW4:GW32)</f>
        <v>62070.49</v>
      </c>
      <c r="GZ3" s="15" t="s">
        <v>1124</v>
      </c>
      <c r="HA3" s="102">
        <f>HA2-HA7-HA6</f>
        <v>6840.97666666666</v>
      </c>
      <c r="HB3" s="15" t="s">
        <v>1126</v>
      </c>
      <c r="HC3" s="174">
        <f>SUM(HC4:HC37)</f>
        <v>65295.06</v>
      </c>
      <c r="HD3" s="15" t="s">
        <v>113</v>
      </c>
      <c r="HE3" s="18">
        <f>SUM(HE5:HE25)</f>
        <v>13967.72</v>
      </c>
      <c r="HF3" s="15" t="s">
        <v>1127</v>
      </c>
      <c r="HG3" s="18">
        <f>HG2-HG8-HG7</f>
        <v>22350.9366666667</v>
      </c>
      <c r="HH3" s="15" t="s">
        <v>1126</v>
      </c>
      <c r="HI3" s="174">
        <f>SUM(HI4:HI33)</f>
        <v>51826.84</v>
      </c>
      <c r="HJ3" s="15" t="s">
        <v>113</v>
      </c>
      <c r="HK3" s="18">
        <f>SUM(HK4:HK13)</f>
        <v>13970.761</v>
      </c>
      <c r="HL3" s="15" t="s">
        <v>1127</v>
      </c>
      <c r="HM3" s="43">
        <f>HM2-HK25-HK24</f>
        <v>23006.9276666667</v>
      </c>
      <c r="HN3" s="15" t="s">
        <v>1128</v>
      </c>
      <c r="HO3" s="174">
        <f>SUM(HO4:HO29)</f>
        <v>38440.06</v>
      </c>
      <c r="HP3" s="15" t="s">
        <v>624</v>
      </c>
      <c r="HQ3" s="15">
        <v>15123.78</v>
      </c>
      <c r="HR3" s="15" t="s">
        <v>1124</v>
      </c>
      <c r="HS3" s="91">
        <f>HS2-HQ28-HQ27-HS38</f>
        <v>3995.28666666666</v>
      </c>
      <c r="HT3" s="15" t="s">
        <v>1126</v>
      </c>
      <c r="HU3" s="174">
        <f>SUM(HU4:HU32)</f>
        <v>44201.74</v>
      </c>
      <c r="HV3" s="15" t="s">
        <v>113</v>
      </c>
      <c r="HW3" s="18">
        <f>SUM(HW4:HW20)</f>
        <v>694034.03</v>
      </c>
      <c r="HX3" s="15" t="s">
        <v>1129</v>
      </c>
      <c r="HY3" s="91"/>
      <c r="HZ3" s="15" t="s">
        <v>1130</v>
      </c>
      <c r="IA3" s="174">
        <f>SUM(IA6:IA39)</f>
        <v>539306.65</v>
      </c>
      <c r="IB3" s="15" t="s">
        <v>624</v>
      </c>
      <c r="IC3" s="219">
        <v>15104.63</v>
      </c>
      <c r="ID3" s="70" t="s">
        <v>1127</v>
      </c>
      <c r="IE3" s="91">
        <f>IE2-IC26-IC27</f>
        <v>6802.67433333347</v>
      </c>
      <c r="IF3" s="15" t="s">
        <v>1131</v>
      </c>
      <c r="IG3" s="43">
        <f>$IA$6</f>
        <v>0</v>
      </c>
      <c r="IH3" s="15" t="s">
        <v>624</v>
      </c>
      <c r="II3" s="219">
        <v>15104.63</v>
      </c>
      <c r="IJ3" s="15" t="s">
        <v>1123</v>
      </c>
      <c r="IK3" s="91">
        <f>IK2-II44-II42</f>
        <v>9220.55333333326</v>
      </c>
      <c r="IL3" s="15" t="s">
        <v>1131</v>
      </c>
      <c r="IM3" s="43">
        <f>$IA$6</f>
        <v>0</v>
      </c>
      <c r="IN3" s="15" t="s">
        <v>624</v>
      </c>
      <c r="IO3" s="242">
        <v>15104.63</v>
      </c>
      <c r="IP3" s="15" t="s">
        <v>1132</v>
      </c>
      <c r="IQ3" s="91">
        <f>IQ2-IO34-IO33</f>
        <v>5631.89333333324</v>
      </c>
      <c r="IR3" s="15" t="s">
        <v>1131</v>
      </c>
      <c r="IS3" s="43">
        <f>$IA$6</f>
        <v>0</v>
      </c>
      <c r="IT3" s="15" t="s">
        <v>624</v>
      </c>
      <c r="IU3" s="242">
        <v>43151.3</v>
      </c>
      <c r="IV3" s="15" t="s">
        <v>1132</v>
      </c>
      <c r="IW3" s="91">
        <f>IW2-IU24-IU23</f>
        <v>5412.0003333333</v>
      </c>
      <c r="IY3" s="174"/>
      <c r="JA3" s="219"/>
      <c r="JB3" s="15" t="s">
        <v>1132</v>
      </c>
      <c r="JC3" s="91">
        <f>JC2-JA30-JA29</f>
        <v>5095.83300000004</v>
      </c>
      <c r="JE3" s="174"/>
      <c r="JG3" s="219"/>
      <c r="JH3" s="15" t="s">
        <v>1132</v>
      </c>
      <c r="JI3" s="91">
        <f>JI2-JG29-JG28</f>
        <v>5318.75587397264</v>
      </c>
      <c r="JK3" s="174"/>
      <c r="JM3" s="219"/>
      <c r="JN3" s="15" t="s">
        <v>1132</v>
      </c>
      <c r="JO3" s="91">
        <f>JO2-JM28-JM27</f>
        <v>7527.18900000002</v>
      </c>
      <c r="JP3" s="15" t="s">
        <v>1133</v>
      </c>
      <c r="JQ3" s="41">
        <f>$IA$6</f>
        <v>0</v>
      </c>
      <c r="JS3" s="219"/>
      <c r="JT3" s="15" t="s">
        <v>1132</v>
      </c>
      <c r="JU3" s="91">
        <f>JU2-JS26-JS25</f>
        <v>4220.09400000002</v>
      </c>
      <c r="JV3" s="15" t="s">
        <v>1131</v>
      </c>
      <c r="JW3" s="41">
        <f>$IA$6</f>
        <v>0</v>
      </c>
      <c r="JY3" s="219"/>
      <c r="JZ3" s="15" t="s">
        <v>1134</v>
      </c>
      <c r="KA3" s="91"/>
      <c r="KB3" s="15" t="s">
        <v>1135</v>
      </c>
      <c r="KC3" s="43">
        <v>-71000</v>
      </c>
      <c r="KE3" s="219"/>
      <c r="KF3" s="15" t="s">
        <v>1132</v>
      </c>
      <c r="KG3" s="91">
        <f>KG2-KE30-KE29</f>
        <v>2530.50500000002</v>
      </c>
      <c r="KH3" s="15" t="s">
        <v>1136</v>
      </c>
      <c r="KI3" s="43">
        <v>-100000</v>
      </c>
      <c r="KK3" s="219"/>
      <c r="KL3" s="15" t="s">
        <v>1132</v>
      </c>
      <c r="KM3" s="91">
        <f>KM2-KK37-KK36</f>
        <v>5293.51000000007</v>
      </c>
      <c r="KN3" s="15" t="s">
        <v>1113</v>
      </c>
      <c r="KO3" s="43">
        <v>-50000</v>
      </c>
      <c r="KQ3" s="219"/>
      <c r="KR3" s="15" t="s">
        <v>1132</v>
      </c>
      <c r="KS3" s="91">
        <f>KS2-KQ37-KQ36</f>
        <v>4415.23999999999</v>
      </c>
      <c r="KT3" s="15" t="s">
        <v>1114</v>
      </c>
      <c r="KU3" s="174">
        <f>SUM(KU10:KU34)</f>
        <v>313986.04</v>
      </c>
      <c r="KW3" s="219"/>
      <c r="KX3" s="15" t="s">
        <v>1137</v>
      </c>
      <c r="KY3" s="91"/>
      <c r="KZ3" s="296">
        <v>7000</v>
      </c>
      <c r="LA3" s="297">
        <v>45342</v>
      </c>
      <c r="LC3" s="219"/>
      <c r="LD3" s="15" t="s">
        <v>1138</v>
      </c>
      <c r="LE3" s="91"/>
      <c r="LF3" s="296">
        <v>7000</v>
      </c>
      <c r="LG3" s="297">
        <v>45342</v>
      </c>
      <c r="LI3" s="219"/>
      <c r="LJ3" s="15" t="s">
        <v>1132</v>
      </c>
      <c r="LK3" s="91">
        <f>LK2-LI31-LI30</f>
        <v>5582.87000000002</v>
      </c>
      <c r="LL3" s="296">
        <v>7000</v>
      </c>
      <c r="LM3" s="297">
        <v>45342</v>
      </c>
      <c r="LN3" s="15" t="s">
        <v>1139</v>
      </c>
      <c r="LO3" s="242">
        <v>32291.73</v>
      </c>
      <c r="LP3" s="15" t="s">
        <v>1140</v>
      </c>
      <c r="LQ3" s="91"/>
      <c r="LR3" s="15" t="s">
        <v>1141</v>
      </c>
      <c r="LS3" s="43">
        <f>-50000-135000-71200</f>
        <v>-256200</v>
      </c>
      <c r="LU3" s="38"/>
      <c r="LV3" s="15" t="s">
        <v>1132</v>
      </c>
      <c r="LW3" s="91">
        <f>LW2-LU33-LU32</f>
        <v>4287.13099999998</v>
      </c>
      <c r="LX3" s="15" t="s">
        <v>1142</v>
      </c>
      <c r="LY3" s="43">
        <f>SUM(LY7:LY8)</f>
        <v>-195975</v>
      </c>
      <c r="MA3" s="38"/>
      <c r="MB3" s="15" t="s">
        <v>1132</v>
      </c>
      <c r="MC3" s="91">
        <f>MC2-MA34-MA33</f>
        <v>4750.31099999999</v>
      </c>
      <c r="MD3" s="15" t="s">
        <v>1142</v>
      </c>
      <c r="ME3" s="43">
        <f>SUM(ME10:ME11)</f>
        <v>-191076</v>
      </c>
      <c r="MG3" s="38"/>
      <c r="MH3" s="15" t="s">
        <v>1132</v>
      </c>
      <c r="MI3" s="91">
        <f>MI2-MG43-MG42</f>
        <v>8811.74099999999</v>
      </c>
      <c r="MJ3" s="15" t="s">
        <v>1142</v>
      </c>
      <c r="MK3" s="43">
        <f>SUM(MK12:MK13)</f>
        <v>-186264.63</v>
      </c>
      <c r="MM3" s="38"/>
      <c r="MN3" s="15" t="s">
        <v>1132</v>
      </c>
      <c r="MO3" s="91">
        <f>MO2-MM36-MM35</f>
        <v>5811.871</v>
      </c>
      <c r="MP3" s="15" t="s">
        <v>1142</v>
      </c>
      <c r="MQ3" s="43">
        <f>SUM(MQ12:MQ13)</f>
        <v>-181579</v>
      </c>
      <c r="MS3" s="38"/>
      <c r="MT3" s="15" t="s">
        <v>1143</v>
      </c>
      <c r="MU3" s="91">
        <f>MU2-MS34-MS33</f>
        <v>4396.67000000004</v>
      </c>
      <c r="MV3" s="15" t="s">
        <v>1142</v>
      </c>
      <c r="MW3" s="43">
        <f>SUM(MW12:MW13)</f>
        <v>-176810</v>
      </c>
      <c r="MY3" s="38"/>
      <c r="MZ3" s="15" t="s">
        <v>1143</v>
      </c>
      <c r="NA3" s="91">
        <f>NA2-MY30-MY29</f>
        <v>3296.80199999997</v>
      </c>
      <c r="NB3" s="15" t="s">
        <v>1144</v>
      </c>
      <c r="NC3" s="15" t="s">
        <v>1145</v>
      </c>
      <c r="NE3" s="38"/>
      <c r="NF3" s="15" t="s">
        <v>1143</v>
      </c>
      <c r="NG3" s="91">
        <f>NG2-NE27-NE26</f>
        <v>6463.29100000003</v>
      </c>
      <c r="NH3" s="15" t="s">
        <v>1144</v>
      </c>
      <c r="NI3" s="15" t="s">
        <v>1146</v>
      </c>
      <c r="NJ3" s="15" t="s">
        <v>1139</v>
      </c>
      <c r="NK3" s="119">
        <v>18607.38</v>
      </c>
      <c r="NL3" s="15" t="s">
        <v>1143</v>
      </c>
      <c r="NM3" s="91">
        <f>NM2-NK25-NK24</f>
        <v>2842.29099999994</v>
      </c>
      <c r="NN3" s="15" t="s">
        <v>1144</v>
      </c>
      <c r="NO3" s="15" t="s">
        <v>1147</v>
      </c>
      <c r="NQ3" s="38"/>
      <c r="NR3" s="15" t="s">
        <v>1143</v>
      </c>
      <c r="NS3" s="91">
        <f>NS2-NQ31-NQ30</f>
        <v>3331.13000000004</v>
      </c>
      <c r="NT3" s="15" t="s">
        <v>1144</v>
      </c>
      <c r="NU3" s="15" t="s">
        <v>1148</v>
      </c>
      <c r="NW3" s="38"/>
      <c r="NX3" s="15" t="s">
        <v>1143</v>
      </c>
      <c r="NY3" s="91">
        <f>NY2-NW47-NW46</f>
        <v>4985.21</v>
      </c>
      <c r="NZ3" s="15" t="s">
        <v>1144</v>
      </c>
      <c r="OA3" s="15">
        <v>6458</v>
      </c>
      <c r="OC3" s="38"/>
      <c r="OD3" s="15" t="s">
        <v>1143</v>
      </c>
      <c r="OE3" s="91">
        <f>OE2-OC34-OC33</f>
        <v>1333.39</v>
      </c>
      <c r="OF3" s="15" t="s">
        <v>1144</v>
      </c>
      <c r="OG3" s="15" t="s">
        <v>1149</v>
      </c>
      <c r="OH3" s="25"/>
    </row>
    <row r="4" ht="12.75" customHeight="1" spans="1:397">
      <c r="A4" s="52"/>
      <c r="B4" s="52"/>
      <c r="E4" s="53" t="s">
        <v>134</v>
      </c>
      <c r="F4" s="51">
        <f>SUM(F14:F57)</f>
        <v>12750</v>
      </c>
      <c r="G4" s="52"/>
      <c r="H4" s="52"/>
      <c r="K4" s="53" t="s">
        <v>134</v>
      </c>
      <c r="L4" s="18">
        <f>SUM(L14:L44)</f>
        <v>3738.02</v>
      </c>
      <c r="M4" s="54" t="s">
        <v>187</v>
      </c>
      <c r="N4" s="55">
        <v>966</v>
      </c>
      <c r="Q4" s="53" t="s">
        <v>123</v>
      </c>
      <c r="R4" s="18">
        <f>R2-R5</f>
        <v>0.559999999999491</v>
      </c>
      <c r="S4" s="54" t="s">
        <v>187</v>
      </c>
      <c r="T4" s="55">
        <v>1716</v>
      </c>
      <c r="W4" s="53" t="s">
        <v>123</v>
      </c>
      <c r="X4" s="18">
        <f>X2-X5</f>
        <v>44.6279999999988</v>
      </c>
      <c r="Y4" s="54" t="s">
        <v>187</v>
      </c>
      <c r="Z4" s="55">
        <v>832.07</v>
      </c>
      <c r="AC4" s="53" t="s">
        <v>123</v>
      </c>
      <c r="AD4" s="18">
        <f>AD2-AD5</f>
        <v>124.409999999999</v>
      </c>
      <c r="AE4" s="54" t="s">
        <v>187</v>
      </c>
      <c r="AF4" s="55">
        <v>1274</v>
      </c>
      <c r="AI4" s="53" t="s">
        <v>123</v>
      </c>
      <c r="AJ4" s="18">
        <f>AJ2-AJ5</f>
        <v>17.6700000000055</v>
      </c>
      <c r="AK4" s="54" t="s">
        <v>187</v>
      </c>
      <c r="AL4" s="55">
        <v>1460</v>
      </c>
      <c r="AO4" s="53" t="s">
        <v>1150</v>
      </c>
      <c r="AP4" s="18">
        <f>AP2-AP5</f>
        <v>5.35099999999875</v>
      </c>
      <c r="AQ4" s="54" t="s">
        <v>187</v>
      </c>
      <c r="AR4" s="55">
        <v>1096</v>
      </c>
      <c r="AU4" s="53" t="s">
        <v>1150</v>
      </c>
      <c r="AV4" s="18">
        <f>AV2-AV5</f>
        <v>48.818999999994</v>
      </c>
      <c r="AW4" s="54" t="s">
        <v>187</v>
      </c>
      <c r="AX4" s="55">
        <v>1425</v>
      </c>
      <c r="AY4" s="53"/>
      <c r="AZ4" s="18"/>
      <c r="BA4" s="54" t="s">
        <v>187</v>
      </c>
      <c r="BB4" s="55">
        <f>AX4</f>
        <v>1425</v>
      </c>
      <c r="BE4" s="53" t="s">
        <v>1150</v>
      </c>
      <c r="BF4" s="18">
        <f>BF2-BF5</f>
        <v>18.9410000000112</v>
      </c>
      <c r="BG4" s="54" t="s">
        <v>187</v>
      </c>
      <c r="BH4" s="55">
        <v>916</v>
      </c>
      <c r="BK4" s="85" t="s">
        <v>1150</v>
      </c>
      <c r="BL4" s="84">
        <f>BL2-BL5</f>
        <v>9.82999999998674</v>
      </c>
      <c r="BM4" s="54" t="s">
        <v>187</v>
      </c>
      <c r="BN4" s="55">
        <v>1684</v>
      </c>
      <c r="BQ4" s="85" t="s">
        <v>1150</v>
      </c>
      <c r="BR4" s="84">
        <f>BR2-BR5</f>
        <v>7.5800000000072</v>
      </c>
      <c r="BS4" s="54" t="s">
        <v>187</v>
      </c>
      <c r="BT4" s="23">
        <v>1251</v>
      </c>
      <c r="BW4" s="85" t="s">
        <v>1150</v>
      </c>
      <c r="BX4" s="84">
        <f>BX2-BX5</f>
        <v>2.08900000000722</v>
      </c>
      <c r="BY4" s="54" t="s">
        <v>187</v>
      </c>
      <c r="BZ4" s="55">
        <v>1449</v>
      </c>
      <c r="CC4" s="85" t="s">
        <v>1150</v>
      </c>
      <c r="CD4" s="84">
        <f>CD2-CD5</f>
        <v>0.79899999999725</v>
      </c>
      <c r="CE4" s="54" t="s">
        <v>187</v>
      </c>
      <c r="CF4" s="55">
        <v>883</v>
      </c>
      <c r="CG4" s="42" t="s">
        <v>624</v>
      </c>
      <c r="CH4" s="84">
        <v>13645.36</v>
      </c>
      <c r="CI4" s="85" t="s">
        <v>1150</v>
      </c>
      <c r="CJ4" s="84">
        <f>CJ2-CJ5</f>
        <v>15.9299999999821</v>
      </c>
      <c r="CK4" s="54" t="s">
        <v>187</v>
      </c>
      <c r="CL4" s="55">
        <v>1216</v>
      </c>
      <c r="CM4" s="42" t="s">
        <v>624</v>
      </c>
      <c r="CN4" s="84">
        <v>13645.36</v>
      </c>
      <c r="CO4" s="85" t="s">
        <v>1150</v>
      </c>
      <c r="CP4" s="84">
        <f>CP2-CP5</f>
        <v>6.33900000000949</v>
      </c>
      <c r="CQ4" s="54" t="s">
        <v>187</v>
      </c>
      <c r="CR4" s="55">
        <v>1275</v>
      </c>
      <c r="CS4" s="42" t="s">
        <v>624</v>
      </c>
      <c r="CT4" s="84">
        <v>13638.04</v>
      </c>
      <c r="CU4" s="85" t="s">
        <v>1150</v>
      </c>
      <c r="CV4" s="84">
        <f>CV2-CV5</f>
        <v>76.5480000000107</v>
      </c>
      <c r="CW4" s="54" t="s">
        <v>187</v>
      </c>
      <c r="CX4" s="55">
        <v>1086</v>
      </c>
      <c r="CY4" s="42" t="s">
        <v>624</v>
      </c>
      <c r="CZ4" s="84">
        <v>13638.04</v>
      </c>
      <c r="DA4" s="42" t="s">
        <v>1150</v>
      </c>
      <c r="DB4" s="84">
        <f>DB2-DB5</f>
        <v>31.7300000000032</v>
      </c>
      <c r="DC4" s="54" t="s">
        <v>187</v>
      </c>
      <c r="DD4" s="55">
        <v>937</v>
      </c>
      <c r="DE4" s="42" t="s">
        <v>624</v>
      </c>
      <c r="DF4" s="84">
        <v>13638.04</v>
      </c>
      <c r="DG4" s="42" t="s">
        <v>1150</v>
      </c>
      <c r="DH4" s="44">
        <f>DH2-DH5</f>
        <v>97.9489999999878</v>
      </c>
      <c r="DI4" s="54" t="s">
        <v>187</v>
      </c>
      <c r="DJ4" s="55">
        <v>716</v>
      </c>
      <c r="DK4" s="42" t="s">
        <v>624</v>
      </c>
      <c r="DL4" s="84">
        <v>25684</v>
      </c>
      <c r="DM4" s="42" t="s">
        <v>1150</v>
      </c>
      <c r="DN4" s="44">
        <f>DN2-DN5</f>
        <v>10.8199999999997</v>
      </c>
      <c r="DO4" s="54" t="s">
        <v>1151</v>
      </c>
      <c r="DP4" s="55">
        <v>11789</v>
      </c>
      <c r="DQ4" s="42" t="s">
        <v>624</v>
      </c>
      <c r="DR4" s="84">
        <v>14054.71</v>
      </c>
      <c r="DS4" s="61" t="s">
        <v>1152</v>
      </c>
      <c r="DT4" s="80">
        <f>DT3-DT24</f>
        <v>2378.57000000003</v>
      </c>
      <c r="DU4" s="54" t="s">
        <v>1151</v>
      </c>
      <c r="DV4" s="55">
        <v>2251</v>
      </c>
      <c r="DW4" s="15" t="s">
        <v>624</v>
      </c>
      <c r="DX4" s="18">
        <v>14054.71</v>
      </c>
      <c r="DY4" s="15" t="s">
        <v>1150</v>
      </c>
      <c r="DZ4" s="102">
        <f>DZ2-DZ5</f>
        <v>2.1700000000028</v>
      </c>
      <c r="EA4" s="54" t="s">
        <v>1151</v>
      </c>
      <c r="EB4" s="22">
        <v>9686</v>
      </c>
      <c r="EC4" s="15" t="s">
        <v>624</v>
      </c>
      <c r="ED4" s="18">
        <v>14054.71</v>
      </c>
      <c r="EE4" s="15" t="s">
        <v>1150</v>
      </c>
      <c r="EF4" s="102">
        <f>EF2-EF5</f>
        <v>5.13999999997213</v>
      </c>
      <c r="EG4" s="102"/>
      <c r="EH4" s="48" t="s">
        <v>1153</v>
      </c>
      <c r="EI4" s="48">
        <v>0.001</v>
      </c>
      <c r="EJ4" s="15" t="s">
        <v>624</v>
      </c>
      <c r="EK4" s="18">
        <v>14054.71</v>
      </c>
      <c r="EL4" s="15" t="s">
        <v>1150</v>
      </c>
      <c r="EM4" s="102">
        <f>EM2-EM5</f>
        <v>2.17000000002008</v>
      </c>
      <c r="EN4" s="48" t="s">
        <v>1153</v>
      </c>
      <c r="EO4" s="48">
        <v>0.001</v>
      </c>
      <c r="EP4" s="15" t="s">
        <v>624</v>
      </c>
      <c r="EQ4" s="18">
        <v>14054.71</v>
      </c>
      <c r="ER4" s="15" t="s">
        <v>1150</v>
      </c>
      <c r="ES4" s="102">
        <f>ES2-ES5</f>
        <v>3.90999999999258</v>
      </c>
      <c r="ET4" s="48" t="s">
        <v>1153</v>
      </c>
      <c r="EU4" s="48">
        <v>0.001</v>
      </c>
      <c r="EV4" s="15" t="s">
        <v>624</v>
      </c>
      <c r="EW4" s="18">
        <v>14054.71</v>
      </c>
      <c r="EX4" s="15" t="s">
        <v>1150</v>
      </c>
      <c r="EY4" s="102">
        <f>EY2-EY5</f>
        <v>-1.16900000000078</v>
      </c>
      <c r="EZ4" s="48" t="s">
        <v>1153</v>
      </c>
      <c r="FA4" s="173">
        <v>9</v>
      </c>
      <c r="FB4" s="15" t="s">
        <v>624</v>
      </c>
      <c r="FC4" s="18">
        <v>14054.71</v>
      </c>
      <c r="FD4" s="15" t="s">
        <v>1150</v>
      </c>
      <c r="FE4" s="102">
        <f>FE2-FE5</f>
        <v>6.00000000000909</v>
      </c>
      <c r="FF4" s="48" t="s">
        <v>1153</v>
      </c>
      <c r="FG4" s="173">
        <v>7</v>
      </c>
      <c r="FH4" s="15" t="s">
        <v>624</v>
      </c>
      <c r="FI4" s="18">
        <v>14040</v>
      </c>
      <c r="FJ4" s="15" t="s">
        <v>1150</v>
      </c>
      <c r="FK4" s="102">
        <f>FK2-FK5</f>
        <v>8.33999999999833</v>
      </c>
      <c r="FL4" s="48" t="s">
        <v>1122</v>
      </c>
      <c r="FM4" s="15">
        <v>-1400</v>
      </c>
      <c r="FN4" s="15" t="s">
        <v>624</v>
      </c>
      <c r="FO4" s="18">
        <v>14040.45</v>
      </c>
      <c r="FP4" s="15" t="s">
        <v>1150</v>
      </c>
      <c r="FQ4" s="102">
        <f>FQ2-FQ5</f>
        <v>6.05000000001382</v>
      </c>
      <c r="FR4" s="48" t="s">
        <v>1122</v>
      </c>
      <c r="FS4" s="15">
        <v>-3496</v>
      </c>
      <c r="FT4" s="15" t="s">
        <v>624</v>
      </c>
      <c r="FU4" s="18">
        <v>14040.45</v>
      </c>
      <c r="FV4" s="15" t="s">
        <v>1150</v>
      </c>
      <c r="FW4" s="102">
        <f>FW2-FW5</f>
        <v>-4.24899999999616</v>
      </c>
      <c r="FX4" s="15" t="s">
        <v>1154</v>
      </c>
      <c r="FY4" s="43">
        <v>180000</v>
      </c>
      <c r="GB4" s="15" t="s">
        <v>1124</v>
      </c>
      <c r="GC4" s="102">
        <f>GC3-GC8-GC7</f>
        <v>2747.17999999999</v>
      </c>
      <c r="GD4" s="15" t="s">
        <v>1154</v>
      </c>
      <c r="GE4" s="43">
        <v>145000</v>
      </c>
      <c r="GH4" s="15" t="s">
        <v>1124</v>
      </c>
      <c r="GI4" s="102">
        <f>GI3-GI8-GI7</f>
        <v>5855.10899999998</v>
      </c>
      <c r="GJ4" s="15" t="s">
        <v>1154</v>
      </c>
      <c r="GK4" s="43">
        <v>164000</v>
      </c>
      <c r="GN4" s="15" t="s">
        <v>1124</v>
      </c>
      <c r="GO4" s="102">
        <f>GO3-GO8-GO7</f>
        <v>4720.09</v>
      </c>
      <c r="GP4" s="15" t="s">
        <v>1154</v>
      </c>
      <c r="GQ4" s="43">
        <v>176000</v>
      </c>
      <c r="GT4" s="15" t="s">
        <v>1124</v>
      </c>
      <c r="GU4" s="102">
        <f>GU3-GU8-GU7</f>
        <v>2094.12100000003</v>
      </c>
      <c r="GV4" s="15" t="s">
        <v>1154</v>
      </c>
      <c r="GW4" s="43">
        <v>105000</v>
      </c>
      <c r="GX4" s="15" t="s">
        <v>624</v>
      </c>
      <c r="GY4" s="15">
        <v>15123.78</v>
      </c>
      <c r="GZ4" s="15" t="s">
        <v>1150</v>
      </c>
      <c r="HA4" s="102">
        <f>HA2-HA5</f>
        <v>0.607999999992899</v>
      </c>
      <c r="HB4" s="15" t="s">
        <v>1154</v>
      </c>
      <c r="HC4" s="43">
        <v>103000</v>
      </c>
      <c r="HF4" s="15" t="s">
        <v>1155</v>
      </c>
      <c r="HG4" s="102">
        <f>HG3-SUM(HG37:HG38)</f>
        <v>1983.48666666666</v>
      </c>
      <c r="HH4" s="15" t="s">
        <v>1154</v>
      </c>
      <c r="HI4" s="43">
        <v>85000</v>
      </c>
      <c r="HJ4" s="15" t="s">
        <v>624</v>
      </c>
      <c r="HK4" s="15">
        <v>15123.78</v>
      </c>
      <c r="HL4" s="15" t="s">
        <v>1155</v>
      </c>
      <c r="HM4" s="91">
        <f>HM3-HM36</f>
        <v>2246.92766666668</v>
      </c>
      <c r="HN4" s="15" t="s">
        <v>1154</v>
      </c>
      <c r="HO4" s="43">
        <v>78000</v>
      </c>
      <c r="HP4" s="15" t="s">
        <v>1156</v>
      </c>
      <c r="HQ4" s="15">
        <v>-1437.02</v>
      </c>
      <c r="HR4" s="15" t="s">
        <v>1150</v>
      </c>
      <c r="HS4" s="102">
        <f>HS2-HS5</f>
        <v>-0.410000000008949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1127</v>
      </c>
      <c r="HY4" s="43">
        <f>HY2-HW25-HW24</f>
        <v>11602.4566666668</v>
      </c>
      <c r="HZ4" s="15" t="s">
        <v>1157</v>
      </c>
      <c r="IA4" s="174"/>
      <c r="IB4" s="15" t="s">
        <v>1158</v>
      </c>
      <c r="IC4" s="219">
        <v>-1437.02</v>
      </c>
      <c r="ID4" s="15" t="s">
        <v>1159</v>
      </c>
      <c r="IE4" s="91">
        <f>IE3-IE59</f>
        <v>3490.88433333347</v>
      </c>
      <c r="IF4" s="48" t="s">
        <v>1122</v>
      </c>
      <c r="IG4" s="15">
        <v>-192</v>
      </c>
      <c r="IH4" s="15" t="s">
        <v>1160</v>
      </c>
      <c r="II4" s="219">
        <v>-1437.02</v>
      </c>
      <c r="IJ4" s="15" t="s">
        <v>1161</v>
      </c>
      <c r="IK4" s="91">
        <f>IK3-II45</f>
        <v>5752.80333333326</v>
      </c>
      <c r="IL4" s="48" t="s">
        <v>1162</v>
      </c>
      <c r="IM4" s="94">
        <v>-75000</v>
      </c>
      <c r="IN4" s="15" t="s">
        <v>1160</v>
      </c>
      <c r="IO4" s="219">
        <v>-1437.02</v>
      </c>
      <c r="IP4" s="15" t="s">
        <v>1150</v>
      </c>
      <c r="IQ4" s="102">
        <f>IQ2-IQ5</f>
        <v>2.9699999999084</v>
      </c>
      <c r="IR4" s="48" t="s">
        <v>1162</v>
      </c>
      <c r="IS4" s="94">
        <v>-75000</v>
      </c>
      <c r="IT4" s="15" t="s">
        <v>1163</v>
      </c>
      <c r="IU4" s="242">
        <v>-1437.02</v>
      </c>
      <c r="IV4" s="15" t="s">
        <v>1161</v>
      </c>
      <c r="IW4" s="91">
        <f>IW3-IU25</f>
        <v>2897.9403333333</v>
      </c>
      <c r="IY4" s="174"/>
      <c r="IZ4" s="15" t="s">
        <v>624</v>
      </c>
      <c r="JA4" s="242">
        <v>30921.3</v>
      </c>
      <c r="JB4" s="15" t="s">
        <v>1161</v>
      </c>
      <c r="JC4" s="91">
        <f>JC3-JA31</f>
        <v>3741.51300000004</v>
      </c>
      <c r="JE4" s="174"/>
      <c r="JF4" s="15" t="s">
        <v>1139</v>
      </c>
      <c r="JG4" s="242">
        <v>17271.3</v>
      </c>
      <c r="JH4" s="15" t="s">
        <v>1150</v>
      </c>
      <c r="JI4" s="102">
        <f>JI2-JI5</f>
        <v>-0.594126027339371</v>
      </c>
      <c r="JK4" s="43"/>
      <c r="JL4" s="15" t="s">
        <v>1139</v>
      </c>
      <c r="JM4" s="242">
        <v>17271.3</v>
      </c>
      <c r="JN4" s="15" t="s">
        <v>1150</v>
      </c>
      <c r="JO4" s="102">
        <f>JO2-JO5</f>
        <v>-0.219999999986612</v>
      </c>
      <c r="JP4" s="15" t="s">
        <v>1164</v>
      </c>
      <c r="JQ4" s="43">
        <f>-71000-140000</f>
        <v>-211000</v>
      </c>
      <c r="JR4" s="15" t="s">
        <v>1139</v>
      </c>
      <c r="JS4" s="242">
        <v>17271.3</v>
      </c>
      <c r="JT4" s="15" t="s">
        <v>1150</v>
      </c>
      <c r="JU4" s="102">
        <f>JU2-JU5</f>
        <v>-0.0899999999855936</v>
      </c>
      <c r="JV4" s="15" t="s">
        <v>1164</v>
      </c>
      <c r="JW4" s="43">
        <f>$JQ$4</f>
        <v>-211000</v>
      </c>
      <c r="JX4" s="15" t="s">
        <v>1165</v>
      </c>
      <c r="JY4" s="242">
        <f>17271.3*2</f>
        <v>34542.6</v>
      </c>
      <c r="JZ4" s="15" t="s">
        <v>1132</v>
      </c>
      <c r="KA4" s="91">
        <f>KA2-JY41-JY40</f>
        <v>6486.80999999998</v>
      </c>
      <c r="KB4" s="15" t="s">
        <v>1166</v>
      </c>
      <c r="KC4" s="43">
        <f>-140000</f>
        <v>-140000</v>
      </c>
      <c r="KD4" s="15" t="s">
        <v>1139</v>
      </c>
      <c r="KE4" s="242">
        <v>17271.3</v>
      </c>
      <c r="KF4" s="15" t="s">
        <v>1150</v>
      </c>
      <c r="KG4" s="102">
        <f>KG2-KG5</f>
        <v>-0.175999999981286</v>
      </c>
      <c r="KH4" s="15" t="s">
        <v>1167</v>
      </c>
      <c r="KI4" s="43">
        <f>SUM(KI5:KI36)</f>
        <v>337796.44</v>
      </c>
      <c r="KJ4" s="15" t="s">
        <v>1139</v>
      </c>
      <c r="KK4" s="242">
        <v>17211.3</v>
      </c>
      <c r="KL4" s="15" t="s">
        <v>1150</v>
      </c>
      <c r="KM4" s="102">
        <f>KM2-KM5</f>
        <v>0.450000000062573</v>
      </c>
      <c r="KN4" s="15" t="s">
        <v>1168</v>
      </c>
      <c r="KO4" s="174">
        <f>SUM(KO9:KO38)</f>
        <v>291555.64</v>
      </c>
      <c r="KP4" s="15" t="s">
        <v>1139</v>
      </c>
      <c r="KQ4" s="242">
        <v>17451.73</v>
      </c>
      <c r="KR4" s="15" t="s">
        <v>1150</v>
      </c>
      <c r="KS4" s="102">
        <f>KS2-KS5</f>
        <v>0.609999999996944</v>
      </c>
      <c r="KT4" s="296">
        <v>7000</v>
      </c>
      <c r="KU4" s="297">
        <v>45342</v>
      </c>
      <c r="KV4" s="15" t="s">
        <v>1139</v>
      </c>
      <c r="KW4" s="242">
        <v>17211.73</v>
      </c>
      <c r="KX4" s="15" t="s">
        <v>1132</v>
      </c>
      <c r="KY4" s="91">
        <f>KY2-KW44-KW43</f>
        <v>6876.27999999993</v>
      </c>
      <c r="KZ4" s="298">
        <v>150000</v>
      </c>
      <c r="LA4" s="299">
        <v>45356</v>
      </c>
      <c r="LB4" s="15" t="s">
        <v>1139</v>
      </c>
      <c r="LC4" s="242">
        <v>17211.73</v>
      </c>
      <c r="LD4" s="15" t="s">
        <v>1132</v>
      </c>
      <c r="LE4" s="91">
        <f>LE2-LC37-LC36</f>
        <v>6881.25100000004</v>
      </c>
      <c r="LF4" s="304" t="s">
        <v>1169</v>
      </c>
      <c r="LG4" s="299" t="s">
        <v>1170</v>
      </c>
      <c r="LH4" s="15" t="s">
        <v>1139</v>
      </c>
      <c r="LI4" s="242">
        <v>46381.73</v>
      </c>
      <c r="LJ4" s="15" t="s">
        <v>1150</v>
      </c>
      <c r="LK4" s="303">
        <f>LK2-LK5</f>
        <v>-0.0899999999764987</v>
      </c>
      <c r="LL4" s="304" t="s">
        <v>1169</v>
      </c>
      <c r="LM4" s="299" t="s">
        <v>1170</v>
      </c>
      <c r="LN4" s="61" t="s">
        <v>1156</v>
      </c>
      <c r="LO4" s="242">
        <v>-200</v>
      </c>
      <c r="LP4" s="15" t="s">
        <v>1132</v>
      </c>
      <c r="LQ4" s="91">
        <f>LQ2-LO32-LO31</f>
        <v>7980.85099999998</v>
      </c>
      <c r="LR4" s="296">
        <v>150000</v>
      </c>
      <c r="LS4" s="297">
        <v>45356</v>
      </c>
      <c r="LT4" s="15" t="s">
        <v>1139</v>
      </c>
      <c r="LU4" s="119">
        <v>18611.73</v>
      </c>
      <c r="LV4" s="15" t="s">
        <v>1171</v>
      </c>
      <c r="LW4" s="303">
        <f>LW2-LW5</f>
        <v>0.320999999967171</v>
      </c>
      <c r="LX4" s="106" t="s">
        <v>1172</v>
      </c>
      <c r="LY4" s="324">
        <f>SUM(LY12:LY23)+LY3</f>
        <v>252047</v>
      </c>
      <c r="LZ4" s="15" t="s">
        <v>1139</v>
      </c>
      <c r="MA4" s="119">
        <v>18611.73</v>
      </c>
      <c r="MB4" s="15" t="s">
        <v>1171</v>
      </c>
      <c r="MC4" s="303">
        <f>MC2-MC5</f>
        <v>0.870999999993728</v>
      </c>
      <c r="MD4" s="296">
        <v>20000</v>
      </c>
      <c r="ME4" s="297">
        <v>45412</v>
      </c>
      <c r="MF4" s="15" t="s">
        <v>1139</v>
      </c>
      <c r="MG4" s="119">
        <v>18611.73</v>
      </c>
      <c r="MH4" s="15" t="s">
        <v>1171</v>
      </c>
      <c r="MI4" s="303">
        <f>MI2-MI5</f>
        <v>-0.299000000009983</v>
      </c>
      <c r="MJ4" s="296">
        <v>5000</v>
      </c>
      <c r="MK4" s="297">
        <v>45454</v>
      </c>
      <c r="ML4" s="15" t="s">
        <v>1139</v>
      </c>
      <c r="MM4" s="119">
        <v>18611.73</v>
      </c>
      <c r="MN4" s="15" t="s">
        <v>1171</v>
      </c>
      <c r="MO4" s="303">
        <f>MO2-MO5</f>
        <v>-0.119000000000597</v>
      </c>
      <c r="MP4" s="296"/>
      <c r="MQ4" s="297"/>
      <c r="MR4" s="15" t="s">
        <v>1139</v>
      </c>
      <c r="MS4" s="119">
        <v>18611.73</v>
      </c>
      <c r="MT4" s="15" t="s">
        <v>1173</v>
      </c>
      <c r="MU4" s="303">
        <f>MU2-MU5</f>
        <v>0.450000000037107</v>
      </c>
      <c r="MV4" s="298">
        <v>5000</v>
      </c>
      <c r="MW4" s="299">
        <v>45524</v>
      </c>
      <c r="MX4" s="15" t="s">
        <v>1139</v>
      </c>
      <c r="MY4" s="119">
        <v>18611.73</v>
      </c>
      <c r="MZ4" s="15" t="s">
        <v>1173</v>
      </c>
      <c r="NA4" s="303">
        <f>NA2-NA5</f>
        <v>-0.0180000000309519</v>
      </c>
      <c r="NB4" s="296">
        <v>5000</v>
      </c>
      <c r="NC4" s="297">
        <v>45538</v>
      </c>
      <c r="ND4" s="15" t="s">
        <v>1139</v>
      </c>
      <c r="NE4" s="119">
        <v>18611.73</v>
      </c>
      <c r="NF4" s="15" t="s">
        <v>1173</v>
      </c>
      <c r="NG4" s="303">
        <f>NG2-NG5</f>
        <v>0.321000000018103</v>
      </c>
      <c r="NH4" s="296">
        <v>8000</v>
      </c>
      <c r="NI4" s="297">
        <v>45580</v>
      </c>
      <c r="NJ4" s="61" t="s">
        <v>1163</v>
      </c>
      <c r="NK4" s="119">
        <v>-200</v>
      </c>
      <c r="NL4" s="15" t="s">
        <v>1173</v>
      </c>
      <c r="NM4" s="303">
        <f>NM2-NM5</f>
        <v>0.0709999999389765</v>
      </c>
      <c r="NN4" s="296">
        <v>6000</v>
      </c>
      <c r="NO4" s="297">
        <v>45608</v>
      </c>
      <c r="NP4" s="15" t="s">
        <v>1139</v>
      </c>
      <c r="NQ4" s="119">
        <v>18607.38</v>
      </c>
      <c r="NR4" s="15" t="s">
        <v>1173</v>
      </c>
      <c r="NS4" s="303">
        <f>NS2-NS5</f>
        <v>-0.349999999976717</v>
      </c>
      <c r="NT4" s="339">
        <v>45636</v>
      </c>
      <c r="NU4" s="93">
        <v>6000</v>
      </c>
      <c r="NV4" s="15" t="s">
        <v>1139</v>
      </c>
      <c r="NW4" s="119">
        <v>18607.38</v>
      </c>
      <c r="NX4" s="15" t="s">
        <v>1174</v>
      </c>
      <c r="NY4" s="303">
        <f>NY2-NY5</f>
        <v>-0.229999999999563</v>
      </c>
      <c r="NZ4" s="339">
        <v>45664</v>
      </c>
      <c r="OA4" s="93">
        <v>12000</v>
      </c>
      <c r="OB4" s="15" t="s">
        <v>1139</v>
      </c>
      <c r="OC4" s="119"/>
      <c r="OD4" s="15" t="s">
        <v>1174</v>
      </c>
      <c r="OE4" s="303">
        <f>OE2-OE5</f>
        <v>0.439999999995052</v>
      </c>
      <c r="OF4" s="345">
        <v>45678</v>
      </c>
      <c r="OG4" s="346">
        <v>18000</v>
      </c>
    </row>
    <row r="5" spans="1:398">
      <c r="A5" s="54" t="s">
        <v>1118</v>
      </c>
      <c r="B5" s="55"/>
      <c r="E5" s="53"/>
      <c r="F5" s="53"/>
      <c r="G5" s="54" t="s">
        <v>1118</v>
      </c>
      <c r="H5" s="55"/>
      <c r="I5" s="15" t="s">
        <v>1175</v>
      </c>
      <c r="J5" s="15">
        <v>12933</v>
      </c>
      <c r="K5" s="53"/>
      <c r="M5" s="54" t="s">
        <v>196</v>
      </c>
      <c r="N5" s="55">
        <v>15505</v>
      </c>
      <c r="O5" s="15" t="s">
        <v>1139</v>
      </c>
      <c r="P5" s="15">
        <v>0</v>
      </c>
      <c r="Q5" s="53" t="s">
        <v>134</v>
      </c>
      <c r="R5" s="18">
        <f>SUM(R14:R41)</f>
        <v>7490.44</v>
      </c>
      <c r="S5" s="54" t="s">
        <v>196</v>
      </c>
      <c r="T5" s="55">
        <v>4922</v>
      </c>
      <c r="U5" s="15" t="s">
        <v>1139</v>
      </c>
      <c r="V5" s="15">
        <v>13664</v>
      </c>
      <c r="W5" s="53" t="s">
        <v>134</v>
      </c>
      <c r="X5" s="18">
        <f>SUM(X13:X46)</f>
        <v>5719.031</v>
      </c>
      <c r="Y5" s="54" t="s">
        <v>196</v>
      </c>
      <c r="Z5" s="55">
        <v>3694.13</v>
      </c>
      <c r="AA5" s="15" t="s">
        <v>1139</v>
      </c>
      <c r="AB5" s="15">
        <v>13664.29</v>
      </c>
      <c r="AC5" s="53" t="s">
        <v>134</v>
      </c>
      <c r="AD5" s="18">
        <f>SUM(AD12:AD33)</f>
        <v>3864.551</v>
      </c>
      <c r="AE5" s="54" t="s">
        <v>196</v>
      </c>
      <c r="AF5" s="55">
        <v>17678</v>
      </c>
      <c r="AG5" s="15" t="s">
        <v>1139</v>
      </c>
      <c r="AH5" s="15">
        <v>13642</v>
      </c>
      <c r="AI5" s="53" t="s">
        <v>134</v>
      </c>
      <c r="AJ5" s="18">
        <f>SUM(AJ12:AJ35)</f>
        <v>1528</v>
      </c>
      <c r="AK5" s="54" t="s">
        <v>196</v>
      </c>
      <c r="AL5" s="55">
        <v>4218</v>
      </c>
      <c r="AM5" s="15" t="s">
        <v>1176</v>
      </c>
      <c r="AN5" s="15">
        <v>17376</v>
      </c>
      <c r="AO5" s="53" t="s">
        <v>134</v>
      </c>
      <c r="AP5" s="18">
        <f>SUM(AP12:AP56)</f>
        <v>15349.7</v>
      </c>
      <c r="AQ5" s="54" t="s">
        <v>196</v>
      </c>
      <c r="AR5" s="55">
        <v>4900.57</v>
      </c>
      <c r="AS5" s="15" t="s">
        <v>1176</v>
      </c>
      <c r="AT5" s="15">
        <v>15242</v>
      </c>
      <c r="AU5" s="53" t="s">
        <v>134</v>
      </c>
      <c r="AV5" s="18">
        <f>SUM(AV11:AV50)</f>
        <v>6657.13</v>
      </c>
      <c r="AW5" s="54" t="s">
        <v>196</v>
      </c>
      <c r="AX5" s="55">
        <v>10293</v>
      </c>
      <c r="AY5" s="53"/>
      <c r="AZ5" s="18"/>
      <c r="BA5" s="54" t="s">
        <v>196</v>
      </c>
      <c r="BB5" s="55">
        <f t="shared" ref="BB5:BB22" si="0">AX5</f>
        <v>10293</v>
      </c>
      <c r="BC5" s="15" t="s">
        <v>624</v>
      </c>
      <c r="BD5" s="15">
        <v>13642</v>
      </c>
      <c r="BE5" s="53" t="s">
        <v>134</v>
      </c>
      <c r="BF5" s="18">
        <f>SUM(BF11:BF43)</f>
        <v>3927.38</v>
      </c>
      <c r="BG5" s="54" t="s">
        <v>196</v>
      </c>
      <c r="BH5" s="55">
        <v>17276</v>
      </c>
      <c r="BI5" s="42" t="s">
        <v>624</v>
      </c>
      <c r="BJ5" s="42">
        <v>13642</v>
      </c>
      <c r="BK5" s="85" t="s">
        <v>134</v>
      </c>
      <c r="BL5" s="84">
        <f>SUM(BL11:BL37)</f>
        <v>3876.57</v>
      </c>
      <c r="BM5" s="54" t="s">
        <v>196</v>
      </c>
      <c r="BN5" s="55">
        <v>4941</v>
      </c>
      <c r="BO5" s="42" t="s">
        <v>624</v>
      </c>
      <c r="BP5" s="42">
        <v>13642.36</v>
      </c>
      <c r="BQ5" s="85" t="s">
        <v>134</v>
      </c>
      <c r="BR5" s="84">
        <f>SUM(BR11:BR38)</f>
        <v>4533.6</v>
      </c>
      <c r="BS5" s="54" t="s">
        <v>196</v>
      </c>
      <c r="BT5" s="23">
        <v>4481</v>
      </c>
      <c r="BU5" s="42" t="s">
        <v>624</v>
      </c>
      <c r="BV5" s="42">
        <v>13642.36</v>
      </c>
      <c r="BW5" s="85" t="s">
        <v>134</v>
      </c>
      <c r="BX5" s="84">
        <f>SUM(BX11:BX45)</f>
        <v>4665.61</v>
      </c>
      <c r="BY5" s="54" t="s">
        <v>196</v>
      </c>
      <c r="BZ5" s="55">
        <v>1093</v>
      </c>
      <c r="CA5" s="42" t="s">
        <v>624</v>
      </c>
      <c r="CB5" s="42">
        <v>13642</v>
      </c>
      <c r="CC5" s="85" t="s">
        <v>134</v>
      </c>
      <c r="CD5" s="84">
        <f>SUM(CD11:CD44)</f>
        <v>4795.511</v>
      </c>
      <c r="CE5" s="54" t="s">
        <v>196</v>
      </c>
      <c r="CF5" s="55">
        <v>3628</v>
      </c>
      <c r="CH5" s="61"/>
      <c r="CI5" s="85" t="s">
        <v>134</v>
      </c>
      <c r="CJ5" s="84">
        <f>SUM(CJ11:CJ46)</f>
        <v>6322.861</v>
      </c>
      <c r="CK5" s="54" t="s">
        <v>196</v>
      </c>
      <c r="CL5" s="55">
        <v>2249</v>
      </c>
      <c r="CN5" s="61"/>
      <c r="CO5" s="85" t="s">
        <v>134</v>
      </c>
      <c r="CP5" s="84">
        <f>SUM(CP11:CP44)</f>
        <v>3989.421</v>
      </c>
      <c r="CQ5" s="54" t="s">
        <v>196</v>
      </c>
      <c r="CR5" s="55">
        <v>1723</v>
      </c>
      <c r="CT5" s="61"/>
      <c r="CU5" s="85" t="s">
        <v>134</v>
      </c>
      <c r="CV5" s="84">
        <f>SUM(CV11:CV45)</f>
        <v>5030.402</v>
      </c>
      <c r="CW5" s="54" t="s">
        <v>196</v>
      </c>
      <c r="CX5" s="55">
        <v>4843</v>
      </c>
      <c r="CZ5" s="61"/>
      <c r="DA5" s="42" t="s">
        <v>134</v>
      </c>
      <c r="DB5" s="84">
        <f>SUM(DB11:DB45)</f>
        <v>6503.15</v>
      </c>
      <c r="DC5" s="54" t="s">
        <v>196</v>
      </c>
      <c r="DD5" s="55">
        <v>2708</v>
      </c>
      <c r="DE5" s="42" t="s">
        <v>624</v>
      </c>
      <c r="DF5" s="102">
        <v>36454.71</v>
      </c>
      <c r="DG5" s="42" t="s">
        <v>134</v>
      </c>
      <c r="DH5" s="44">
        <f>SUM(DH12:DH65)</f>
        <v>13759.15</v>
      </c>
      <c r="DI5" s="54" t="s">
        <v>196</v>
      </c>
      <c r="DJ5" s="55">
        <v>7372</v>
      </c>
      <c r="DL5" s="102"/>
      <c r="DM5" s="42" t="s">
        <v>134</v>
      </c>
      <c r="DN5" s="128">
        <f>SUM(DN12:DN61)</f>
        <v>21532.18</v>
      </c>
      <c r="DO5" s="54" t="s">
        <v>1177</v>
      </c>
      <c r="DP5" s="55" t="s">
        <v>694</v>
      </c>
      <c r="DR5" s="102"/>
      <c r="DS5" s="61" t="s">
        <v>1150</v>
      </c>
      <c r="DT5" s="57">
        <f>DT2-DT6</f>
        <v>31.5290000000314</v>
      </c>
      <c r="DU5" s="54" t="s">
        <v>1178</v>
      </c>
      <c r="DV5" s="55">
        <v>-10</v>
      </c>
      <c r="DX5" s="18"/>
      <c r="DY5" s="15" t="s">
        <v>134</v>
      </c>
      <c r="DZ5" s="138">
        <f>SUM(DZ11:DZ48)</f>
        <v>4914.88</v>
      </c>
      <c r="EA5" s="15" t="s">
        <v>1179</v>
      </c>
      <c r="EB5" s="15">
        <v>441</v>
      </c>
      <c r="EE5" s="15" t="s">
        <v>134</v>
      </c>
      <c r="EF5" s="138">
        <f>SUM(EF11:EF38)</f>
        <v>5251.33</v>
      </c>
      <c r="EG5" s="138"/>
      <c r="EH5" s="63" t="s">
        <v>1121</v>
      </c>
      <c r="EI5" s="48">
        <v>967</v>
      </c>
      <c r="EL5" s="15" t="s">
        <v>134</v>
      </c>
      <c r="EM5" s="138">
        <f>SUM(EM11:EM51)</f>
        <v>5228.1</v>
      </c>
      <c r="EN5" s="63" t="s">
        <v>1121</v>
      </c>
      <c r="EO5" s="48">
        <v>891</v>
      </c>
      <c r="ER5" s="15" t="s">
        <v>134</v>
      </c>
      <c r="ES5" s="138">
        <f>SUM(ES11:ES49)</f>
        <v>7266.55</v>
      </c>
      <c r="ET5" s="63" t="s">
        <v>1121</v>
      </c>
      <c r="EU5" s="48">
        <v>556</v>
      </c>
      <c r="EX5" s="15" t="s">
        <v>134</v>
      </c>
      <c r="EY5" s="138">
        <f>SUM(EY11:EY51)</f>
        <v>5475.68</v>
      </c>
      <c r="EZ5" s="63" t="s">
        <v>1121</v>
      </c>
      <c r="FA5" s="15">
        <v>1233</v>
      </c>
      <c r="FD5" s="15" t="s">
        <v>134</v>
      </c>
      <c r="FE5" s="102">
        <f>SUM(FE11:FE46)</f>
        <v>5297.021</v>
      </c>
      <c r="FF5" s="63" t="s">
        <v>1121</v>
      </c>
      <c r="FG5" s="15">
        <v>1591</v>
      </c>
      <c r="FH5" s="15" t="s">
        <v>1180</v>
      </c>
      <c r="FJ5" s="15" t="s">
        <v>134</v>
      </c>
      <c r="FK5" s="102">
        <f>SUM(FK11:FK46)</f>
        <v>5086.97</v>
      </c>
      <c r="FL5" s="48" t="s">
        <v>1153</v>
      </c>
      <c r="FM5" s="173">
        <v>97</v>
      </c>
      <c r="FN5" s="15" t="s">
        <v>1181</v>
      </c>
      <c r="FO5" s="18"/>
      <c r="FP5" s="15" t="s">
        <v>134</v>
      </c>
      <c r="FQ5" s="102">
        <f>SUM(FQ12:FQ58)</f>
        <v>17555.77</v>
      </c>
      <c r="FR5" s="48" t="s">
        <v>1153</v>
      </c>
      <c r="FS5" s="173">
        <v>97.53</v>
      </c>
      <c r="FT5" s="15" t="s">
        <v>1182</v>
      </c>
      <c r="FU5" s="18">
        <v>558</v>
      </c>
      <c r="FV5" s="15" t="s">
        <v>134</v>
      </c>
      <c r="FW5" s="102">
        <f>SUM(FW12:FW49)</f>
        <v>76726.42</v>
      </c>
      <c r="FX5" s="15" t="s">
        <v>1183</v>
      </c>
      <c r="FY5" s="43">
        <v>-12000</v>
      </c>
      <c r="FZ5" s="15" t="s">
        <v>1184</v>
      </c>
      <c r="GB5" s="15" t="s">
        <v>1150</v>
      </c>
      <c r="GC5" s="102">
        <f>GC3-GC6</f>
        <v>1.26999999998952</v>
      </c>
      <c r="GD5" s="15" t="s">
        <v>1183</v>
      </c>
      <c r="GE5" s="43">
        <v>-11000</v>
      </c>
      <c r="GF5" s="15" t="s">
        <v>1185</v>
      </c>
      <c r="GH5" s="15" t="s">
        <v>1150</v>
      </c>
      <c r="GI5" s="102">
        <f>GI3-GI6</f>
        <v>-1.8210000000181</v>
      </c>
      <c r="GJ5" s="15" t="s">
        <v>1186</v>
      </c>
      <c r="GK5" s="43">
        <v>-10000</v>
      </c>
      <c r="GL5" s="15" t="s">
        <v>624</v>
      </c>
      <c r="GM5" s="15">
        <v>15123.78</v>
      </c>
      <c r="GN5" s="15" t="s">
        <v>1150</v>
      </c>
      <c r="GO5" s="102">
        <f>GO3-GO6</f>
        <v>-4.76000000000295</v>
      </c>
      <c r="GP5" s="15" t="s">
        <v>1186</v>
      </c>
      <c r="GQ5" s="43">
        <v>-9000</v>
      </c>
      <c r="GR5" s="15" t="s">
        <v>624</v>
      </c>
      <c r="GS5" s="15">
        <v>15123.78</v>
      </c>
      <c r="GT5" s="15" t="s">
        <v>1150</v>
      </c>
      <c r="GU5" s="102">
        <f>GU3-GU6</f>
        <v>-0.27899999996589</v>
      </c>
      <c r="GV5" s="15" t="s">
        <v>1186</v>
      </c>
      <c r="GW5" s="43">
        <v>-9000</v>
      </c>
      <c r="GX5" s="15" t="s">
        <v>1187</v>
      </c>
      <c r="GY5" s="15">
        <v>-1437.02</v>
      </c>
      <c r="GZ5" s="15" t="s">
        <v>134</v>
      </c>
      <c r="HA5" s="102">
        <f>SUM(HA12:HA51)</f>
        <v>10745.362</v>
      </c>
      <c r="HB5" s="15" t="s">
        <v>1186</v>
      </c>
      <c r="HC5" s="43">
        <v>-6000</v>
      </c>
      <c r="HD5" s="15" t="s">
        <v>624</v>
      </c>
      <c r="HE5" s="15">
        <v>15123.78</v>
      </c>
      <c r="HF5" s="15" t="s">
        <v>1150</v>
      </c>
      <c r="HG5" s="102">
        <f>HG2-HG6</f>
        <v>-2.2200000000048</v>
      </c>
      <c r="HH5" s="15" t="s">
        <v>1186</v>
      </c>
      <c r="HI5" s="43">
        <v>-6000</v>
      </c>
      <c r="HJ5" s="15" t="s">
        <v>1187</v>
      </c>
      <c r="HK5" s="15">
        <v>-1437.02</v>
      </c>
      <c r="HL5" s="15" t="s">
        <v>1150</v>
      </c>
      <c r="HM5" s="102">
        <f>HM2-HM6</f>
        <v>-0.189999999987776</v>
      </c>
      <c r="HN5" s="15" t="s">
        <v>1186</v>
      </c>
      <c r="HO5" s="43">
        <v>-6000</v>
      </c>
      <c r="HP5" s="15" t="s">
        <v>1188</v>
      </c>
      <c r="HQ5" s="15">
        <v>51</v>
      </c>
      <c r="HR5" s="15" t="s">
        <v>134</v>
      </c>
      <c r="HS5" s="91">
        <f>SUM(HS6:HS45)</f>
        <v>8267.12</v>
      </c>
      <c r="HT5" s="206" t="s">
        <v>1186</v>
      </c>
      <c r="HU5" s="207">
        <f>HO5-HT7</f>
        <v>-13000</v>
      </c>
      <c r="HV5" s="15" t="s">
        <v>1189</v>
      </c>
      <c r="HW5" s="18">
        <v>-1437.02</v>
      </c>
      <c r="HX5" s="15" t="s">
        <v>1190</v>
      </c>
      <c r="HY5" s="91">
        <f>HY4-HY55</f>
        <v>4272.95666666682</v>
      </c>
      <c r="HZ5" s="15" t="s">
        <v>1191</v>
      </c>
      <c r="IA5" s="174"/>
      <c r="IB5" s="15" t="s">
        <v>1192</v>
      </c>
      <c r="IC5" s="219"/>
      <c r="ID5" s="15" t="s">
        <v>1150</v>
      </c>
      <c r="IE5" s="102">
        <f>IE2-IE6</f>
        <v>-0.928999999872758</v>
      </c>
      <c r="IF5" s="61" t="s">
        <v>1193</v>
      </c>
      <c r="IG5" s="173">
        <v>14.67</v>
      </c>
      <c r="IH5" s="15" t="s">
        <v>1194</v>
      </c>
      <c r="II5" s="219">
        <v>100</v>
      </c>
      <c r="IJ5" s="15" t="s">
        <v>1150</v>
      </c>
      <c r="IK5" s="102">
        <f>IK2-IK6</f>
        <v>1.00999999992746</v>
      </c>
      <c r="IL5" s="63" t="s">
        <v>1195</v>
      </c>
      <c r="IM5" s="43">
        <v>0</v>
      </c>
      <c r="IO5" s="219"/>
      <c r="IP5" s="15" t="s">
        <v>134</v>
      </c>
      <c r="IQ5" s="91">
        <f>SUM(IQ6:IQ59)</f>
        <v>11405.68</v>
      </c>
      <c r="IR5" s="63" t="s">
        <v>1195</v>
      </c>
      <c r="IS5" s="43">
        <v>0</v>
      </c>
      <c r="IT5" s="15" t="s">
        <v>1196</v>
      </c>
      <c r="IU5" s="219">
        <f>-11-12-13</f>
        <v>-36</v>
      </c>
      <c r="IV5" s="15" t="s">
        <v>1150</v>
      </c>
      <c r="IW5" s="102">
        <f>IW2-IW6</f>
        <v>0.486999999960972</v>
      </c>
      <c r="IX5" s="15" t="s">
        <v>1131</v>
      </c>
      <c r="IY5" s="43">
        <f>$IA$6</f>
        <v>0</v>
      </c>
      <c r="IZ5" s="15" t="s">
        <v>1163</v>
      </c>
      <c r="JA5" s="242">
        <v>-71</v>
      </c>
      <c r="JB5" s="15" t="s">
        <v>1150</v>
      </c>
      <c r="JC5" s="102">
        <f>JC2-JC6</f>
        <v>-3.90799999995579</v>
      </c>
      <c r="JD5" s="15" t="s">
        <v>1131</v>
      </c>
      <c r="JE5" s="43">
        <f>$IA$6</f>
        <v>0</v>
      </c>
      <c r="JF5" s="15" t="s">
        <v>1163</v>
      </c>
      <c r="JG5" s="242">
        <v>-5.95</v>
      </c>
      <c r="JH5" s="15" t="s">
        <v>134</v>
      </c>
      <c r="JI5" s="91">
        <f>SUM(JI6:JI47)</f>
        <v>166095.254126027</v>
      </c>
      <c r="JJ5" s="15" t="s">
        <v>1131</v>
      </c>
      <c r="JK5" s="41">
        <f>$IA$6</f>
        <v>0</v>
      </c>
      <c r="JL5" s="15" t="s">
        <v>1196</v>
      </c>
      <c r="JM5" s="219">
        <v>-1400</v>
      </c>
      <c r="JN5" s="15" t="s">
        <v>134</v>
      </c>
      <c r="JO5" s="91">
        <f>SUM(JO6:JO51)</f>
        <v>126905.181</v>
      </c>
      <c r="JP5" s="48" t="s">
        <v>1197</v>
      </c>
      <c r="JQ5" s="94">
        <v>-80000</v>
      </c>
      <c r="JR5" s="15" t="s">
        <v>1198</v>
      </c>
      <c r="JS5" s="242">
        <v>-30</v>
      </c>
      <c r="JT5" s="15" t="s">
        <v>134</v>
      </c>
      <c r="JU5" s="91">
        <f>SUM(JU6:JU50)</f>
        <v>13510.48</v>
      </c>
      <c r="JV5" s="48" t="s">
        <v>1197</v>
      </c>
      <c r="JW5" s="94">
        <v>-77000</v>
      </c>
      <c r="JX5" s="15" t="s">
        <v>1199</v>
      </c>
      <c r="JY5" s="242">
        <v>-30</v>
      </c>
      <c r="JZ5" s="15" t="s">
        <v>1150</v>
      </c>
      <c r="KA5" s="102">
        <f>KA2-KA6</f>
        <v>0.448568717623857</v>
      </c>
      <c r="KB5" s="15" t="s">
        <v>1200</v>
      </c>
      <c r="KC5" s="43">
        <f>-135000</f>
        <v>-135000</v>
      </c>
      <c r="KD5" s="15" t="s">
        <v>1201</v>
      </c>
      <c r="KE5" s="242">
        <v>-107.13</v>
      </c>
      <c r="KF5" s="15" t="s">
        <v>134</v>
      </c>
      <c r="KG5" s="91">
        <f>SUM(KG6:KG46)</f>
        <v>6905.321</v>
      </c>
      <c r="KH5" s="61" t="s">
        <v>1202</v>
      </c>
      <c r="KI5" s="94">
        <v>7000</v>
      </c>
      <c r="KJ5" s="15" t="s">
        <v>1163</v>
      </c>
      <c r="KK5" s="242">
        <v>-132.12</v>
      </c>
      <c r="KL5" s="15" t="s">
        <v>134</v>
      </c>
      <c r="KM5" s="91">
        <f>SUM(KM6:KM51)</f>
        <v>61259</v>
      </c>
      <c r="KN5" s="296">
        <v>7000</v>
      </c>
      <c r="KO5" s="297">
        <v>45342</v>
      </c>
      <c r="KP5" s="15" t="s">
        <v>1203</v>
      </c>
      <c r="KQ5" s="219">
        <v>-30</v>
      </c>
      <c r="KR5" s="15" t="s">
        <v>134</v>
      </c>
      <c r="KS5" s="91">
        <f>SUM(KS6:KS52)</f>
        <v>9848.32</v>
      </c>
      <c r="KT5" s="298">
        <v>150000</v>
      </c>
      <c r="KU5" s="299">
        <v>45356</v>
      </c>
      <c r="KV5" s="61" t="s">
        <v>1163</v>
      </c>
      <c r="KW5" s="242">
        <v>-200</v>
      </c>
      <c r="KX5" s="15" t="s">
        <v>1150</v>
      </c>
      <c r="KY5" s="303">
        <f>KY2-KY6</f>
        <v>0.0299999999351712</v>
      </c>
      <c r="KZ5" s="304" t="s">
        <v>1169</v>
      </c>
      <c r="LA5" s="299" t="s">
        <v>1170</v>
      </c>
      <c r="LB5" s="61" t="s">
        <v>1163</v>
      </c>
      <c r="LC5" s="242">
        <v>-200</v>
      </c>
      <c r="LD5" s="15" t="s">
        <v>1150</v>
      </c>
      <c r="LE5" s="303">
        <f>LE2-LE6</f>
        <v>0.271000000047934</v>
      </c>
      <c r="LF5" s="298">
        <v>5000</v>
      </c>
      <c r="LG5" s="299">
        <v>45468</v>
      </c>
      <c r="LH5" s="61" t="s">
        <v>1163</v>
      </c>
      <c r="LI5" s="242">
        <v>-200</v>
      </c>
      <c r="LJ5" s="15" t="s">
        <v>134</v>
      </c>
      <c r="LK5" s="91">
        <f>SUM(LK6:LK55)</f>
        <v>8817.24</v>
      </c>
      <c r="LL5" s="298">
        <v>5000</v>
      </c>
      <c r="LM5" s="299">
        <v>45496</v>
      </c>
      <c r="LN5" s="61"/>
      <c r="LO5" s="242"/>
      <c r="LP5" s="15" t="s">
        <v>1204</v>
      </c>
      <c r="LQ5" s="303">
        <f>LQ2-LQ6</f>
        <v>-0.0790000000160944</v>
      </c>
      <c r="LR5" s="304" t="s">
        <v>1169</v>
      </c>
      <c r="LS5" s="299" t="s">
        <v>1170</v>
      </c>
      <c r="LT5" s="61" t="s">
        <v>1156</v>
      </c>
      <c r="LU5" s="119">
        <v>-200</v>
      </c>
      <c r="LV5" s="15" t="s">
        <v>134</v>
      </c>
      <c r="LW5" s="91">
        <f>SUM(LW6:LW52)</f>
        <v>97634.24</v>
      </c>
      <c r="LX5" s="298">
        <v>20000</v>
      </c>
      <c r="LY5" s="299">
        <v>45384</v>
      </c>
      <c r="LZ5" s="61" t="s">
        <v>1163</v>
      </c>
      <c r="MA5" s="119">
        <v>-200</v>
      </c>
      <c r="MB5" s="15" t="s">
        <v>134</v>
      </c>
      <c r="MC5" s="91">
        <f>SUM(MC6:MC54)</f>
        <v>7092.32</v>
      </c>
      <c r="MD5" s="298" t="s">
        <v>1205</v>
      </c>
      <c r="ME5" s="325">
        <v>104000</v>
      </c>
      <c r="MF5" s="61" t="s">
        <v>1163</v>
      </c>
      <c r="MG5" s="119">
        <v>-200</v>
      </c>
      <c r="MH5" s="15" t="s">
        <v>134</v>
      </c>
      <c r="MI5" s="91">
        <f>SUM(MI6:MI59)</f>
        <v>16441.74</v>
      </c>
      <c r="MJ5" s="298">
        <v>5000</v>
      </c>
      <c r="MK5" s="299">
        <v>45468</v>
      </c>
      <c r="ML5" s="61" t="s">
        <v>1163</v>
      </c>
      <c r="MM5" s="119">
        <v>-200</v>
      </c>
      <c r="MN5" s="15" t="s">
        <v>134</v>
      </c>
      <c r="MO5" s="91">
        <f>SUM(MO6:MO49)</f>
        <v>9604.38</v>
      </c>
      <c r="MP5" s="298">
        <v>5000</v>
      </c>
      <c r="MQ5" s="299">
        <v>45482</v>
      </c>
      <c r="MR5" s="61" t="s">
        <v>1163</v>
      </c>
      <c r="MS5" s="119">
        <v>-200</v>
      </c>
      <c r="MT5" s="15" t="s">
        <v>134</v>
      </c>
      <c r="MU5" s="91">
        <f>SUM(MU6:MU47)</f>
        <v>19306.9</v>
      </c>
      <c r="MV5" s="298">
        <v>5000</v>
      </c>
      <c r="MW5" s="299">
        <v>45538</v>
      </c>
      <c r="MX5" s="61" t="s">
        <v>1163</v>
      </c>
      <c r="MY5" s="119">
        <v>-200</v>
      </c>
      <c r="MZ5" s="15" t="s">
        <v>134</v>
      </c>
      <c r="NA5" s="91">
        <f>SUM(NA6:NA42)</f>
        <v>5334.01</v>
      </c>
      <c r="NB5" s="298">
        <v>12000</v>
      </c>
      <c r="NC5" s="299">
        <v>45552</v>
      </c>
      <c r="ND5" s="61" t="s">
        <v>1163</v>
      </c>
      <c r="NE5" s="119">
        <v>-200</v>
      </c>
      <c r="NF5" s="15" t="s">
        <v>134</v>
      </c>
      <c r="NG5" s="91">
        <f>SUM(NG6:NG38)</f>
        <v>50451.97</v>
      </c>
      <c r="NH5" s="298">
        <v>5000</v>
      </c>
      <c r="NI5" s="299">
        <v>45594</v>
      </c>
      <c r="NJ5" s="15" t="s">
        <v>1206</v>
      </c>
      <c r="NK5" s="41">
        <v>121</v>
      </c>
      <c r="NL5" s="15" t="s">
        <v>134</v>
      </c>
      <c r="NM5" s="91">
        <f>SUM(NM6:NM36)</f>
        <v>4795.94</v>
      </c>
      <c r="NN5" s="298">
        <v>6000</v>
      </c>
      <c r="NO5" s="299">
        <v>45636</v>
      </c>
      <c r="NP5" s="61" t="s">
        <v>1163</v>
      </c>
      <c r="NQ5" s="119">
        <v>-200</v>
      </c>
      <c r="NR5" s="15" t="s">
        <v>134</v>
      </c>
      <c r="NS5" s="91">
        <f>SUM(NS6:NS42)</f>
        <v>80131.71</v>
      </c>
      <c r="NT5" s="340">
        <v>45650</v>
      </c>
      <c r="NU5" s="325">
        <v>8000</v>
      </c>
      <c r="NV5" s="61" t="s">
        <v>1163</v>
      </c>
      <c r="NW5" s="119">
        <v>-200</v>
      </c>
      <c r="NX5" s="15" t="s">
        <v>134</v>
      </c>
      <c r="NY5" s="91">
        <f>SUM(NY6:NY58)</f>
        <v>19688.36</v>
      </c>
      <c r="NZ5" s="341">
        <v>45678</v>
      </c>
      <c r="OA5" s="300">
        <v>18000</v>
      </c>
      <c r="OB5" s="61" t="s">
        <v>1163</v>
      </c>
      <c r="OC5" s="119">
        <v>-200</v>
      </c>
      <c r="OD5" s="15" t="s">
        <v>134</v>
      </c>
      <c r="OE5" s="91">
        <f>SUM(OE6:OE45)</f>
        <v>62107.5</v>
      </c>
      <c r="OF5" s="63" t="s">
        <v>1207</v>
      </c>
      <c r="OG5" s="43">
        <v>-4000</v>
      </c>
      <c r="OH5" s="347"/>
    </row>
    <row r="6" spans="1:398">
      <c r="A6" s="54" t="s">
        <v>187</v>
      </c>
      <c r="B6" s="55">
        <v>1309</v>
      </c>
      <c r="E6" s="15" t="s">
        <v>194</v>
      </c>
      <c r="F6" s="15">
        <f>SUM(F7:F14)</f>
        <v>12750</v>
      </c>
      <c r="G6" s="54" t="s">
        <v>187</v>
      </c>
      <c r="H6" s="55">
        <v>1298</v>
      </c>
      <c r="I6" s="15" t="s">
        <v>1208</v>
      </c>
      <c r="J6" s="15">
        <v>0</v>
      </c>
      <c r="K6" s="15" t="s">
        <v>194</v>
      </c>
      <c r="L6" s="15">
        <f>L14</f>
        <v>0</v>
      </c>
      <c r="M6" s="54"/>
      <c r="N6" s="55"/>
      <c r="O6" s="15" t="s">
        <v>1208</v>
      </c>
      <c r="Q6" s="53"/>
      <c r="S6" s="54"/>
      <c r="T6" s="55"/>
      <c r="U6" s="15" t="s">
        <v>1209</v>
      </c>
      <c r="V6" s="15">
        <v>0</v>
      </c>
      <c r="W6" s="53"/>
      <c r="Y6" s="54"/>
      <c r="Z6" s="55"/>
      <c r="AA6" s="15" t="s">
        <v>1210</v>
      </c>
      <c r="AB6" s="15">
        <v>0</v>
      </c>
      <c r="AC6" s="15" t="s">
        <v>194</v>
      </c>
      <c r="AD6" s="15">
        <f>SUM(AD12:AD12)</f>
        <v>2501.2</v>
      </c>
      <c r="AE6" s="54"/>
      <c r="AF6" s="55"/>
      <c r="AG6" s="15" t="s">
        <v>1210</v>
      </c>
      <c r="AH6" s="15">
        <v>90</v>
      </c>
      <c r="AI6" s="15" t="s">
        <v>194</v>
      </c>
      <c r="AJ6" s="15">
        <f>SUM(AJ12:AJ12)</f>
        <v>0</v>
      </c>
      <c r="AK6" s="54" t="s">
        <v>1211</v>
      </c>
      <c r="AL6" s="55">
        <v>36000</v>
      </c>
      <c r="AM6" s="15" t="s">
        <v>1212</v>
      </c>
      <c r="AN6" s="15">
        <v>28</v>
      </c>
      <c r="AO6" s="15" t="s">
        <v>194</v>
      </c>
      <c r="AP6" s="15">
        <f>SUM(AP12:AP16)</f>
        <v>7900</v>
      </c>
      <c r="AQ6" s="54" t="s">
        <v>1211</v>
      </c>
      <c r="AR6" s="55">
        <v>15000</v>
      </c>
      <c r="AS6" s="15" t="s">
        <v>1213</v>
      </c>
      <c r="AT6" s="15">
        <v>482</v>
      </c>
      <c r="AU6" s="15" t="s">
        <v>194</v>
      </c>
      <c r="AV6" s="15">
        <f>SUM(AV11:AV17)</f>
        <v>4500.07</v>
      </c>
      <c r="AW6" s="54" t="s">
        <v>1211</v>
      </c>
      <c r="AX6" s="55">
        <v>9933</v>
      </c>
      <c r="BA6" s="54" t="s">
        <v>1211</v>
      </c>
      <c r="BB6" s="55">
        <f t="shared" si="0"/>
        <v>9933</v>
      </c>
      <c r="BC6" s="15" t="s">
        <v>1210</v>
      </c>
      <c r="BD6" s="15" t="s">
        <v>646</v>
      </c>
      <c r="BE6" s="15" t="s">
        <v>194</v>
      </c>
      <c r="BF6" s="15">
        <f>SUM(BF12:BF15)</f>
        <v>100</v>
      </c>
      <c r="BG6" s="54" t="s">
        <v>1211</v>
      </c>
      <c r="BH6" s="55">
        <v>15854</v>
      </c>
      <c r="BI6" s="42" t="s">
        <v>1210</v>
      </c>
      <c r="BJ6" s="42" t="s">
        <v>646</v>
      </c>
      <c r="BK6" s="42" t="s">
        <v>194</v>
      </c>
      <c r="BL6" s="42">
        <f>SUM(BL12:BL15)</f>
        <v>1900.05</v>
      </c>
      <c r="BM6" s="54" t="s">
        <v>1211</v>
      </c>
      <c r="BN6" s="55">
        <v>36824</v>
      </c>
      <c r="BO6" s="42" t="s">
        <v>1210</v>
      </c>
      <c r="BP6" s="61" t="s">
        <v>646</v>
      </c>
      <c r="BQ6" s="42" t="s">
        <v>194</v>
      </c>
      <c r="BR6" s="42">
        <f>SUM(BR12:BR15)</f>
        <v>1900.06</v>
      </c>
      <c r="BS6" s="54" t="s">
        <v>1211</v>
      </c>
      <c r="BT6" s="23">
        <v>37000</v>
      </c>
      <c r="BU6" s="42" t="s">
        <v>1210</v>
      </c>
      <c r="BV6" s="61" t="s">
        <v>646</v>
      </c>
      <c r="BW6" s="42" t="s">
        <v>194</v>
      </c>
      <c r="BX6" s="42">
        <f>SUM(BX12:BX15)</f>
        <v>1900.07</v>
      </c>
      <c r="BY6" s="54" t="s">
        <v>1211</v>
      </c>
      <c r="BZ6" s="55">
        <v>34967</v>
      </c>
      <c r="CA6" s="42" t="s">
        <v>1214</v>
      </c>
      <c r="CB6" s="61">
        <v>0</v>
      </c>
      <c r="CC6" s="42" t="s">
        <v>194</v>
      </c>
      <c r="CD6" s="42">
        <f>SUM(CD12:CD15)</f>
        <v>1900.08</v>
      </c>
      <c r="CE6" s="54" t="s">
        <v>1211</v>
      </c>
      <c r="CF6" s="55">
        <v>42940</v>
      </c>
      <c r="CG6" s="61"/>
      <c r="CI6" s="42" t="s">
        <v>194</v>
      </c>
      <c r="CJ6" s="42">
        <f>SUM(CJ12:CJ16)</f>
        <v>3000.09</v>
      </c>
      <c r="CK6" s="54" t="s">
        <v>1211</v>
      </c>
      <c r="CL6" s="55">
        <v>50905</v>
      </c>
      <c r="CM6" s="61"/>
      <c r="CO6" s="42" t="s">
        <v>194</v>
      </c>
      <c r="CP6" s="42">
        <f>SUM(CP12:CP15)</f>
        <v>1900.1</v>
      </c>
      <c r="CQ6" s="54" t="s">
        <v>1211</v>
      </c>
      <c r="CR6" s="55">
        <v>50071</v>
      </c>
      <c r="CS6" s="61"/>
      <c r="CU6" s="42" t="s">
        <v>194</v>
      </c>
      <c r="CV6" s="42">
        <f>SUM(CV12:CV15)</f>
        <v>1934.01</v>
      </c>
      <c r="CW6" s="54" t="s">
        <v>1211</v>
      </c>
      <c r="CX6" s="55">
        <v>54757</v>
      </c>
      <c r="CY6" s="61"/>
      <c r="DA6" s="114" t="s">
        <v>194</v>
      </c>
      <c r="DB6" s="42">
        <f>SUM(DB12:DB15)</f>
        <v>1930.22</v>
      </c>
      <c r="DC6" s="54" t="s">
        <v>1211</v>
      </c>
      <c r="DD6" s="55">
        <v>39905</v>
      </c>
      <c r="DE6" s="61"/>
      <c r="DG6" s="114" t="s">
        <v>194</v>
      </c>
      <c r="DH6" s="44">
        <f>SUM(DH12:DH22)</f>
        <v>6982.05</v>
      </c>
      <c r="DI6" s="54" t="s">
        <v>1211</v>
      </c>
      <c r="DJ6" s="55">
        <v>68</v>
      </c>
      <c r="DK6" s="61"/>
      <c r="DM6" s="114" t="s">
        <v>194</v>
      </c>
      <c r="DN6" s="128">
        <f>SUM(DN12:DN18)</f>
        <v>16816.26</v>
      </c>
      <c r="DO6" s="129" t="s">
        <v>1178</v>
      </c>
      <c r="DP6" s="55">
        <v>-10</v>
      </c>
      <c r="DQ6" s="61"/>
      <c r="DS6" s="61" t="s">
        <v>134</v>
      </c>
      <c r="DT6" s="138">
        <f>SUM(DT13:DT54)</f>
        <v>49587.651</v>
      </c>
      <c r="DU6" s="48" t="s">
        <v>1179</v>
      </c>
      <c r="DV6" s="57">
        <v>441</v>
      </c>
      <c r="DY6" s="72" t="s">
        <v>194</v>
      </c>
      <c r="DZ6" s="149">
        <f>SUM(DZ11:DZ12)</f>
        <v>1933.05</v>
      </c>
      <c r="EA6" s="64" t="s">
        <v>1215</v>
      </c>
      <c r="EB6" s="15">
        <v>0</v>
      </c>
      <c r="EC6" s="614" t="s">
        <v>1216</v>
      </c>
      <c r="EE6" s="72" t="s">
        <v>194</v>
      </c>
      <c r="EF6" s="149">
        <f>SUM(EF11:EF12)</f>
        <v>2462.03</v>
      </c>
      <c r="EG6" s="149"/>
      <c r="EH6" s="63" t="s">
        <v>1151</v>
      </c>
      <c r="EI6" s="48">
        <v>10718</v>
      </c>
      <c r="EJ6" s="15" t="s">
        <v>1217</v>
      </c>
      <c r="EK6" s="15">
        <v>9.99</v>
      </c>
      <c r="EL6" s="72" t="s">
        <v>194</v>
      </c>
      <c r="EM6" s="149">
        <f>SUM(EM11:EM13)</f>
        <v>1800.07</v>
      </c>
      <c r="EN6" s="63" t="s">
        <v>1151</v>
      </c>
      <c r="EO6" s="48">
        <v>9753</v>
      </c>
      <c r="EP6" s="614" t="s">
        <v>1216</v>
      </c>
      <c r="ER6" s="167" t="s">
        <v>1218</v>
      </c>
      <c r="ES6" s="149">
        <f>SUM(ES11:ES12)</f>
        <v>2230.08</v>
      </c>
      <c r="ET6" s="63" t="s">
        <v>1151</v>
      </c>
      <c r="EU6" s="48">
        <v>4177</v>
      </c>
      <c r="EV6" s="614" t="s">
        <v>1216</v>
      </c>
      <c r="EX6" s="167" t="s">
        <v>1218</v>
      </c>
      <c r="EY6" s="149">
        <f>SUM(EY11:EY12)</f>
        <v>1900.09</v>
      </c>
      <c r="EZ6" s="63" t="s">
        <v>1151</v>
      </c>
      <c r="FA6" s="15">
        <v>3507</v>
      </c>
      <c r="FB6" s="614" t="s">
        <v>1216</v>
      </c>
      <c r="FD6" s="167" t="s">
        <v>1218</v>
      </c>
      <c r="FE6" s="102">
        <f>SUM(FE11:FE11)</f>
        <v>1800.1</v>
      </c>
      <c r="FF6" s="63" t="s">
        <v>1151</v>
      </c>
      <c r="FG6" s="15">
        <v>9685</v>
      </c>
      <c r="FJ6" s="167" t="s">
        <v>1218</v>
      </c>
      <c r="FK6" s="102">
        <f>SUM(FK11:FK11)</f>
        <v>1800.11</v>
      </c>
      <c r="FL6" s="63" t="s">
        <v>1121</v>
      </c>
      <c r="FM6" s="15">
        <v>818</v>
      </c>
      <c r="FN6" s="15" t="s">
        <v>1219</v>
      </c>
      <c r="FO6" s="18">
        <v>3740</v>
      </c>
      <c r="FP6" s="167" t="s">
        <v>1220</v>
      </c>
      <c r="FQ6" s="102">
        <f>FQ12</f>
        <v>1800.12</v>
      </c>
      <c r="FR6" s="61" t="s">
        <v>1221</v>
      </c>
      <c r="FS6" s="15">
        <v>3740</v>
      </c>
      <c r="FT6" s="164" t="s">
        <v>1222</v>
      </c>
      <c r="FU6" s="15">
        <v>15</v>
      </c>
      <c r="FV6" s="167" t="s">
        <v>1220</v>
      </c>
      <c r="FW6" s="102">
        <f>FW12</f>
        <v>1800.01</v>
      </c>
      <c r="FX6" s="15" t="s">
        <v>1223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2">
        <f>SUM(GC13:GC51)</f>
        <v>69023.47</v>
      </c>
      <c r="GD6" s="15" t="s">
        <v>1223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2">
        <f>SUM(GI13:GI49)</f>
        <v>9656.96</v>
      </c>
      <c r="GJ6" s="15" t="s">
        <v>1223</v>
      </c>
      <c r="GK6" s="43">
        <v>-80000</v>
      </c>
      <c r="GM6" s="18"/>
      <c r="GN6" s="15" t="s">
        <v>134</v>
      </c>
      <c r="GO6" s="102">
        <f>SUM(GO13:GO58)</f>
        <v>5728.85</v>
      </c>
      <c r="GP6" s="15" t="s">
        <v>1223</v>
      </c>
      <c r="GQ6" s="43">
        <v>-81000</v>
      </c>
      <c r="GR6" s="15" t="s">
        <v>1187</v>
      </c>
      <c r="GS6" s="15">
        <v>-1437.02</v>
      </c>
      <c r="GT6" s="15" t="s">
        <v>134</v>
      </c>
      <c r="GU6" s="102">
        <f>SUM(GU13:GU56)</f>
        <v>90984.64</v>
      </c>
      <c r="GV6" s="15" t="s">
        <v>1223</v>
      </c>
      <c r="GW6" s="43">
        <v>-82000</v>
      </c>
      <c r="GY6" s="18"/>
      <c r="GZ6" s="167" t="s">
        <v>1220</v>
      </c>
      <c r="HA6" s="102">
        <f>SUM(HA12:HA12)</f>
        <v>1800.06</v>
      </c>
      <c r="HB6" s="15" t="s">
        <v>1224</v>
      </c>
      <c r="HC6" s="43"/>
      <c r="HD6" s="15" t="s">
        <v>1187</v>
      </c>
      <c r="HE6" s="15">
        <v>-1437.02</v>
      </c>
      <c r="HF6" s="15" t="s">
        <v>134</v>
      </c>
      <c r="HG6" s="102">
        <f>SUM(HG13:HG45)</f>
        <v>27438.16</v>
      </c>
      <c r="HH6" s="15" t="s">
        <v>1223</v>
      </c>
      <c r="HI6" s="43">
        <v>-82000</v>
      </c>
      <c r="HJ6" s="15" t="s">
        <v>1188</v>
      </c>
      <c r="HK6" s="15">
        <f>50+15</f>
        <v>65</v>
      </c>
      <c r="HL6" s="15" t="s">
        <v>134</v>
      </c>
      <c r="HM6" s="91">
        <f>SUM(HM7:HM39)</f>
        <v>27357.731</v>
      </c>
      <c r="HN6" s="15" t="s">
        <v>1223</v>
      </c>
      <c r="HO6" s="43">
        <v>-77000</v>
      </c>
      <c r="HP6" s="15" t="s">
        <v>1225</v>
      </c>
      <c r="HQ6" s="15">
        <v>215.57</v>
      </c>
      <c r="HR6" s="169" t="s">
        <v>1226</v>
      </c>
      <c r="HS6" s="15">
        <v>1900.09</v>
      </c>
      <c r="HT6" s="208" t="s">
        <v>1227</v>
      </c>
      <c r="HU6" s="209">
        <f>HO6+HT7</f>
        <v>-70000</v>
      </c>
      <c r="HV6" s="15" t="s">
        <v>1228</v>
      </c>
      <c r="HW6" s="18">
        <v>679999</v>
      </c>
      <c r="HX6" s="15" t="s">
        <v>1150</v>
      </c>
      <c r="HY6" s="102">
        <f>HY2-HY7</f>
        <v>0.610000000102445</v>
      </c>
      <c r="HZ6" s="15" t="s">
        <v>1131</v>
      </c>
      <c r="IA6" s="41">
        <v>0</v>
      </c>
      <c r="IB6" s="15" t="s">
        <v>1229</v>
      </c>
      <c r="IC6" s="219">
        <v>17.8</v>
      </c>
      <c r="ID6" s="15" t="s">
        <v>134</v>
      </c>
      <c r="IE6" s="91">
        <f>SUM(IE7:IE59)</f>
        <v>59937.46</v>
      </c>
      <c r="IF6" s="48" t="s">
        <v>1153</v>
      </c>
      <c r="IG6" s="193">
        <v>0.08</v>
      </c>
      <c r="IH6" s="15" t="s">
        <v>1230</v>
      </c>
      <c r="II6" s="219">
        <v>150</v>
      </c>
      <c r="IJ6" s="15" t="s">
        <v>134</v>
      </c>
      <c r="IK6" s="91">
        <f>SUM(IK7:IK61)</f>
        <v>13099.41</v>
      </c>
      <c r="IL6" s="15" t="s">
        <v>1231</v>
      </c>
      <c r="IM6" s="43">
        <v>235000</v>
      </c>
      <c r="IO6" s="219"/>
      <c r="IP6" s="169" t="s">
        <v>1232</v>
      </c>
      <c r="IQ6" s="41">
        <v>26</v>
      </c>
      <c r="IR6" s="15" t="s">
        <v>1231</v>
      </c>
      <c r="IS6" s="43">
        <v>305005</v>
      </c>
      <c r="IT6" s="15" t="s">
        <v>1233</v>
      </c>
      <c r="IU6" s="219">
        <v>-30</v>
      </c>
      <c r="IV6" s="15" t="s">
        <v>1234</v>
      </c>
      <c r="IW6" s="91">
        <f>SUM(IW7:IW40)</f>
        <v>11439.5</v>
      </c>
      <c r="IX6" s="15" t="s">
        <v>1235</v>
      </c>
      <c r="IY6" s="248">
        <v>0.133</v>
      </c>
      <c r="IZ6" s="15" t="s">
        <v>1196</v>
      </c>
      <c r="JA6" s="219">
        <f>-1300</f>
        <v>-1300</v>
      </c>
      <c r="JB6" s="15" t="s">
        <v>1234</v>
      </c>
      <c r="JC6" s="91">
        <f>SUM(JC7:JC49)</f>
        <v>11142.752</v>
      </c>
      <c r="JD6" s="15" t="s">
        <v>1164</v>
      </c>
      <c r="JE6" s="43">
        <f>-140000-71000</f>
        <v>-211000</v>
      </c>
      <c r="JF6" s="15" t="s">
        <v>1196</v>
      </c>
      <c r="JG6" s="219">
        <v>-1401</v>
      </c>
      <c r="JH6" s="71" t="s">
        <v>1236</v>
      </c>
      <c r="JI6" s="15">
        <v>2000.06</v>
      </c>
      <c r="JJ6" s="15" t="s">
        <v>1164</v>
      </c>
      <c r="JK6" s="43">
        <v>-71000</v>
      </c>
      <c r="JM6" s="219"/>
      <c r="JN6" s="71" t="s">
        <v>1237</v>
      </c>
      <c r="JO6" s="15">
        <v>1000.07</v>
      </c>
      <c r="JP6" s="61" t="s">
        <v>1238</v>
      </c>
      <c r="JQ6" s="94"/>
      <c r="JR6" s="15" t="s">
        <v>1163</v>
      </c>
      <c r="JS6" s="242" t="s">
        <v>1239</v>
      </c>
      <c r="JT6" s="255" t="s">
        <v>1240</v>
      </c>
      <c r="JU6" s="275">
        <v>2000</v>
      </c>
      <c r="JV6" s="63" t="s">
        <v>1241</v>
      </c>
      <c r="JW6" s="43">
        <v>-4000</v>
      </c>
      <c r="JX6" s="15" t="s">
        <v>1196</v>
      </c>
      <c r="JY6" s="219">
        <v>-1800</v>
      </c>
      <c r="JZ6" s="15" t="s">
        <v>1234</v>
      </c>
      <c r="KA6" s="91">
        <f>SUM(KA7:KA72)</f>
        <v>20398.7814312824</v>
      </c>
      <c r="KB6" s="48" t="s">
        <v>1197</v>
      </c>
      <c r="KC6" s="94">
        <v>-82000</v>
      </c>
      <c r="KE6" s="219"/>
      <c r="KF6" s="255" t="s">
        <v>1226</v>
      </c>
      <c r="KG6" s="15">
        <v>1900.09</v>
      </c>
      <c r="KH6" s="61" t="s">
        <v>1242</v>
      </c>
      <c r="KI6" s="94">
        <v>150000</v>
      </c>
      <c r="KJ6" s="15" t="s">
        <v>1203</v>
      </c>
      <c r="KK6" s="219">
        <v>-5.01</v>
      </c>
      <c r="KL6" s="184" t="s">
        <v>1226</v>
      </c>
      <c r="KM6" s="186">
        <v>1900.1</v>
      </c>
      <c r="KN6" s="298">
        <v>150000</v>
      </c>
      <c r="KO6" s="299">
        <v>45356</v>
      </c>
      <c r="KQ6" s="219"/>
      <c r="KR6" s="184" t="s">
        <v>1243</v>
      </c>
      <c r="KS6" s="186">
        <v>2000</v>
      </c>
      <c r="KT6" s="298">
        <v>20000</v>
      </c>
      <c r="KU6" s="299">
        <v>45370</v>
      </c>
      <c r="KV6" s="65" t="s">
        <v>1244</v>
      </c>
      <c r="KW6" s="41">
        <v>6.66</v>
      </c>
      <c r="KX6" s="15" t="s">
        <v>1234</v>
      </c>
      <c r="KY6" s="91">
        <f>SUM(KY7:KY63)</f>
        <v>10341.46</v>
      </c>
      <c r="KZ6" s="298">
        <v>10000</v>
      </c>
      <c r="LA6" s="299">
        <v>45440</v>
      </c>
      <c r="LB6" s="65" t="s">
        <v>1245</v>
      </c>
      <c r="LC6" s="41">
        <v>200</v>
      </c>
      <c r="LD6" s="15" t="s">
        <v>1234</v>
      </c>
      <c r="LE6" s="91">
        <f>SUM(LE7:LE54)</f>
        <v>28571.85</v>
      </c>
      <c r="LF6" s="261" t="s">
        <v>1246</v>
      </c>
      <c r="LG6" s="300">
        <v>272000</v>
      </c>
      <c r="LH6" s="61"/>
      <c r="LI6" s="242"/>
      <c r="LJ6" s="311" t="s">
        <v>1247</v>
      </c>
      <c r="LK6" s="312"/>
      <c r="LL6" s="261" t="s">
        <v>1246</v>
      </c>
      <c r="LM6" s="300">
        <v>282000</v>
      </c>
      <c r="LN6" s="15" t="s">
        <v>1248</v>
      </c>
      <c r="LO6" s="242">
        <v>70600</v>
      </c>
      <c r="LP6" s="15" t="s">
        <v>134</v>
      </c>
      <c r="LQ6" s="91">
        <f>SUM(LQ7:LQ51)</f>
        <v>16626.82</v>
      </c>
      <c r="LR6" s="298">
        <v>5000</v>
      </c>
      <c r="LS6" s="299">
        <v>45524</v>
      </c>
      <c r="LT6" s="61"/>
      <c r="LU6" s="119"/>
      <c r="LV6" s="311" t="s">
        <v>1249</v>
      </c>
      <c r="LW6" s="312"/>
      <c r="LX6" s="261" t="s">
        <v>1246</v>
      </c>
      <c r="LY6" s="300">
        <v>141000</v>
      </c>
      <c r="LZ6" s="61" t="s">
        <v>1156</v>
      </c>
      <c r="MA6" s="119">
        <f>-5-5524.9-5000</f>
        <v>-10529.9</v>
      </c>
      <c r="MB6" s="114" t="s">
        <v>1250</v>
      </c>
      <c r="MC6" s="57"/>
      <c r="MD6" s="261" t="s">
        <v>1251</v>
      </c>
      <c r="ME6" s="300">
        <v>0</v>
      </c>
      <c r="MF6" s="61"/>
      <c r="MG6" s="119"/>
      <c r="MH6" s="114" t="s">
        <v>1250</v>
      </c>
      <c r="MI6" s="57"/>
      <c r="MJ6" s="298">
        <v>5000</v>
      </c>
      <c r="MK6" s="299">
        <v>45482</v>
      </c>
      <c r="ML6" s="61"/>
      <c r="MM6" s="119"/>
      <c r="MN6" s="114" t="s">
        <v>1252</v>
      </c>
      <c r="MO6" s="57">
        <v>60</v>
      </c>
      <c r="MP6" s="298">
        <v>5000</v>
      </c>
      <c r="MQ6" s="299">
        <v>45496</v>
      </c>
      <c r="MR6" s="61" t="s">
        <v>1253</v>
      </c>
      <c r="MS6" s="119"/>
      <c r="MT6" s="114" t="s">
        <v>1254</v>
      </c>
      <c r="MU6" s="41">
        <v>1900.08</v>
      </c>
      <c r="MV6" s="298" t="s">
        <v>1205</v>
      </c>
      <c r="MW6" s="325">
        <v>99000</v>
      </c>
      <c r="MX6" s="321" t="s">
        <v>1255</v>
      </c>
      <c r="MY6" s="328">
        <v>731.39</v>
      </c>
      <c r="MZ6" s="114" t="s">
        <v>1254</v>
      </c>
      <c r="NA6" s="41">
        <v>1900.09</v>
      </c>
      <c r="NB6" s="298">
        <v>14000</v>
      </c>
      <c r="NC6" s="299">
        <v>45566</v>
      </c>
      <c r="NF6" s="114" t="s">
        <v>1256</v>
      </c>
      <c r="NG6" s="41">
        <v>5000</v>
      </c>
      <c r="NH6" s="298">
        <v>6000</v>
      </c>
      <c r="NI6" s="299">
        <v>45608</v>
      </c>
      <c r="NJ6" s="15" t="s">
        <v>1257</v>
      </c>
      <c r="NK6" s="41">
        <v>200</v>
      </c>
      <c r="NL6" s="335" t="s">
        <v>1258</v>
      </c>
      <c r="NM6" s="41">
        <v>1900.1</v>
      </c>
      <c r="NN6" s="298">
        <v>8000</v>
      </c>
      <c r="NO6" s="299">
        <v>45650</v>
      </c>
      <c r="NP6" s="15" t="s">
        <v>1259</v>
      </c>
      <c r="NR6" s="335" t="s">
        <v>1258</v>
      </c>
      <c r="NS6" s="41">
        <v>1900.11</v>
      </c>
      <c r="NT6" s="340">
        <v>45664</v>
      </c>
      <c r="NU6" s="325">
        <v>12000</v>
      </c>
      <c r="NV6" s="61" t="s">
        <v>1260</v>
      </c>
      <c r="NW6" s="119">
        <v>200</v>
      </c>
      <c r="NX6" s="335" t="s">
        <v>1258</v>
      </c>
      <c r="NY6" s="41">
        <v>1200.01</v>
      </c>
      <c r="NZ6" s="63" t="s">
        <v>1207</v>
      </c>
      <c r="OA6" s="43">
        <v>-4000</v>
      </c>
      <c r="OB6" s="61" t="s">
        <v>1261</v>
      </c>
      <c r="OC6" s="119">
        <v>-30.3</v>
      </c>
      <c r="OD6" s="335" t="s">
        <v>1258</v>
      </c>
      <c r="OE6" s="41"/>
      <c r="OF6" s="48" t="s">
        <v>1262</v>
      </c>
      <c r="OG6" s="94">
        <v>-100000</v>
      </c>
      <c r="OH6" s="347"/>
    </row>
    <row r="7" spans="1:398">
      <c r="A7" s="54" t="s">
        <v>196</v>
      </c>
      <c r="B7" s="55">
        <v>18723</v>
      </c>
      <c r="E7" s="15" t="s">
        <v>1263</v>
      </c>
      <c r="G7" s="54" t="s">
        <v>196</v>
      </c>
      <c r="H7" s="55">
        <v>6223</v>
      </c>
      <c r="K7" s="15" t="s">
        <v>1263</v>
      </c>
      <c r="M7" s="54"/>
      <c r="N7" s="55"/>
      <c r="P7" s="15">
        <v>652</v>
      </c>
      <c r="Q7" s="15" t="s">
        <v>194</v>
      </c>
      <c r="R7" s="15">
        <f>SUM(R14:R16)</f>
        <v>6200.19</v>
      </c>
      <c r="S7" s="54"/>
      <c r="T7" s="55"/>
      <c r="W7" s="15" t="s">
        <v>194</v>
      </c>
      <c r="X7" s="15">
        <f>SUM(X13:X14)</f>
        <v>2600.11</v>
      </c>
      <c r="Y7" s="54"/>
      <c r="Z7" s="55"/>
      <c r="AC7" s="15" t="s">
        <v>1263</v>
      </c>
      <c r="AD7" s="15">
        <f>SUM(AD18:AD22)</f>
        <v>316.351</v>
      </c>
      <c r="AE7" s="54"/>
      <c r="AF7" s="55"/>
      <c r="AG7" s="15" t="s">
        <v>1264</v>
      </c>
      <c r="AH7" s="15">
        <v>15</v>
      </c>
      <c r="AI7" s="15" t="s">
        <v>1263</v>
      </c>
      <c r="AJ7" s="15">
        <f>SUM(AJ18:AJ22)</f>
        <v>520</v>
      </c>
      <c r="AK7" s="74"/>
      <c r="AL7" s="75"/>
      <c r="AO7" s="15" t="s">
        <v>1263</v>
      </c>
      <c r="AP7" s="15">
        <f>SUM(AP25:AP31)</f>
        <v>527.4</v>
      </c>
      <c r="AQ7" s="74" t="s">
        <v>1265</v>
      </c>
      <c r="AR7" s="75">
        <v>-154</v>
      </c>
      <c r="AU7" s="15" t="s">
        <v>1263</v>
      </c>
      <c r="AV7" s="15">
        <f>SUM(AV25:AV31)</f>
        <v>466.23</v>
      </c>
      <c r="AW7" s="74" t="s">
        <v>1265</v>
      </c>
      <c r="AX7" s="75">
        <v>-152</v>
      </c>
      <c r="BA7" s="74" t="s">
        <v>1265</v>
      </c>
      <c r="BB7" s="55">
        <f t="shared" si="0"/>
        <v>-152</v>
      </c>
      <c r="BE7" s="15" t="s">
        <v>1263</v>
      </c>
      <c r="BF7" s="15">
        <f>SUM(BF23:BF29)</f>
        <v>337.28</v>
      </c>
      <c r="BG7" s="74" t="s">
        <v>1265</v>
      </c>
      <c r="BH7" s="75">
        <v>-5</v>
      </c>
      <c r="BK7" s="42" t="s">
        <v>1263</v>
      </c>
      <c r="BL7" s="42">
        <f>SUM(BL23:BL29)</f>
        <v>216.62</v>
      </c>
      <c r="BM7" s="74" t="s">
        <v>1178</v>
      </c>
      <c r="BN7" s="75">
        <v>-33</v>
      </c>
      <c r="BQ7" s="42" t="s">
        <v>1263</v>
      </c>
      <c r="BR7" s="42">
        <f>SUM(BR23:BR29)</f>
        <v>409.54</v>
      </c>
      <c r="BS7" s="74" t="s">
        <v>1178</v>
      </c>
      <c r="BT7" s="92">
        <v>-25</v>
      </c>
      <c r="BW7" s="42" t="s">
        <v>1263</v>
      </c>
      <c r="BX7" s="42">
        <f>SUM(BX23:BX29)</f>
        <v>325.44</v>
      </c>
      <c r="BY7" s="74" t="s">
        <v>1178</v>
      </c>
      <c r="BZ7" s="75">
        <v>-22</v>
      </c>
      <c r="CA7" s="61" t="s">
        <v>1266</v>
      </c>
      <c r="CB7" s="42">
        <v>300</v>
      </c>
      <c r="CC7" s="42" t="s">
        <v>1263</v>
      </c>
      <c r="CD7" s="42">
        <f>SUM(CD23:CD29)</f>
        <v>454.331</v>
      </c>
      <c r="CE7" s="74" t="s">
        <v>1178</v>
      </c>
      <c r="CF7" s="75">
        <v>-12</v>
      </c>
      <c r="CG7" s="42" t="s">
        <v>1267</v>
      </c>
      <c r="CI7" s="42" t="s">
        <v>1263</v>
      </c>
      <c r="CJ7" s="42">
        <f>SUM(CJ22:CJ29)</f>
        <v>567.421</v>
      </c>
      <c r="CK7" s="74" t="s">
        <v>1178</v>
      </c>
      <c r="CL7" s="75">
        <v>-15</v>
      </c>
      <c r="CM7" s="42" t="s">
        <v>1267</v>
      </c>
      <c r="CO7" s="42" t="s">
        <v>1263</v>
      </c>
      <c r="CP7" s="42">
        <f>SUM(CP21:CP27)</f>
        <v>440.991</v>
      </c>
      <c r="CQ7" s="74" t="s">
        <v>1178</v>
      </c>
      <c r="CR7" s="75">
        <v>-21</v>
      </c>
      <c r="CS7" s="42" t="s">
        <v>1267</v>
      </c>
      <c r="CU7" s="42" t="s">
        <v>1263</v>
      </c>
      <c r="CV7" s="42">
        <f>SUM(CV19:CV25)</f>
        <v>450.451</v>
      </c>
      <c r="CW7" s="54" t="s">
        <v>1178</v>
      </c>
      <c r="CX7" s="55">
        <v>-18</v>
      </c>
      <c r="CY7" s="42" t="s">
        <v>1267</v>
      </c>
      <c r="DA7" s="115" t="s">
        <v>1268</v>
      </c>
      <c r="DB7" s="42">
        <f>DB16</f>
        <v>288.75</v>
      </c>
      <c r="DC7" s="54" t="s">
        <v>1269</v>
      </c>
      <c r="DD7" s="55">
        <v>15000</v>
      </c>
      <c r="DE7" s="42" t="s">
        <v>1267</v>
      </c>
      <c r="DG7" s="115" t="s">
        <v>1268</v>
      </c>
      <c r="DH7" s="44">
        <f>SUM(DH23:DH25)</f>
        <v>566.44</v>
      </c>
      <c r="DI7" s="54" t="s">
        <v>1269</v>
      </c>
      <c r="DJ7" s="75">
        <v>0</v>
      </c>
      <c r="DK7" s="42" t="s">
        <v>1267</v>
      </c>
      <c r="DM7" s="115" t="s">
        <v>1268</v>
      </c>
      <c r="DN7" s="44">
        <f>SUM(DN19:DN20)</f>
        <v>2874.05</v>
      </c>
      <c r="DO7" s="48" t="s">
        <v>1179</v>
      </c>
      <c r="DP7" s="57">
        <v>2140.8</v>
      </c>
      <c r="DQ7" s="631" t="s">
        <v>1216</v>
      </c>
      <c r="DS7" s="139" t="s">
        <v>194</v>
      </c>
      <c r="DT7" s="138">
        <f>SUM(DT13:DT17)</f>
        <v>36900.06</v>
      </c>
      <c r="DU7" s="65" t="s">
        <v>1215</v>
      </c>
      <c r="DV7" s="57" t="s">
        <v>1270</v>
      </c>
      <c r="DW7" s="614" t="s">
        <v>1216</v>
      </c>
      <c r="DY7" s="150" t="s">
        <v>1268</v>
      </c>
      <c r="DZ7" s="15">
        <f>SUM(DZ13:DZ13)</f>
        <v>0</v>
      </c>
      <c r="EA7" s="22" t="s">
        <v>1271</v>
      </c>
      <c r="EB7" s="22"/>
      <c r="EC7" s="15" t="s">
        <v>1272</v>
      </c>
      <c r="ED7" s="15">
        <v>42</v>
      </c>
      <c r="EE7" s="150" t="s">
        <v>1268</v>
      </c>
      <c r="EF7" s="15">
        <f>SUM(EF13:EF13)</f>
        <v>0</v>
      </c>
      <c r="EH7" s="15" t="s">
        <v>1179</v>
      </c>
      <c r="EI7" s="61">
        <v>441</v>
      </c>
      <c r="EJ7" s="15" t="s">
        <v>1273</v>
      </c>
      <c r="EL7" s="160" t="s">
        <v>1268</v>
      </c>
      <c r="EM7" s="15">
        <f>SUM(EM14:EM14)</f>
        <v>1476</v>
      </c>
      <c r="EN7" s="15" t="s">
        <v>1179</v>
      </c>
      <c r="EO7" s="61">
        <v>441</v>
      </c>
      <c r="EP7" s="15" t="s">
        <v>1272</v>
      </c>
      <c r="EQ7" s="15">
        <v>40</v>
      </c>
      <c r="ER7" s="168" t="s">
        <v>1274</v>
      </c>
      <c r="ES7" s="15">
        <f>SUM(ES16:ES23)</f>
        <v>368.38</v>
      </c>
      <c r="ET7" s="15" t="s">
        <v>1275</v>
      </c>
      <c r="EU7" s="61">
        <v>441</v>
      </c>
      <c r="EV7" s="15" t="s">
        <v>1272</v>
      </c>
      <c r="EW7" s="15">
        <v>38</v>
      </c>
      <c r="EX7" s="168" t="s">
        <v>1274</v>
      </c>
      <c r="EY7" s="15">
        <f>SUM(EY15:EY22)</f>
        <v>667.03</v>
      </c>
      <c r="EZ7" s="15" t="s">
        <v>1275</v>
      </c>
      <c r="FA7" s="61">
        <v>441</v>
      </c>
      <c r="FB7" s="15" t="s">
        <v>1272</v>
      </c>
      <c r="FC7" s="15">
        <v>45</v>
      </c>
      <c r="FD7" s="168" t="s">
        <v>1274</v>
      </c>
      <c r="FE7" s="15">
        <f>SUM(FE16:FE22)</f>
        <v>397.79</v>
      </c>
      <c r="FF7" s="15" t="s">
        <v>1275</v>
      </c>
      <c r="FG7" s="61">
        <f>333+1092</f>
        <v>1425</v>
      </c>
      <c r="FH7" s="614" t="s">
        <v>1216</v>
      </c>
      <c r="FJ7" s="168" t="s">
        <v>1274</v>
      </c>
      <c r="FK7" s="15">
        <f>SUM(FK15:FK22)</f>
        <v>474.23</v>
      </c>
      <c r="FL7" s="63" t="s">
        <v>1151</v>
      </c>
      <c r="FM7" s="15">
        <v>2818</v>
      </c>
      <c r="FN7" s="15" t="s">
        <v>1276</v>
      </c>
      <c r="FO7" s="18">
        <v>20000</v>
      </c>
      <c r="FP7" s="177" t="s">
        <v>1277</v>
      </c>
      <c r="FQ7" s="102">
        <f>SUM(FQ13:FQ14)</f>
        <v>11000</v>
      </c>
      <c r="FR7" s="63" t="s">
        <v>1121</v>
      </c>
      <c r="FS7" s="15">
        <v>1240</v>
      </c>
      <c r="FT7" s="15" t="s">
        <v>1278</v>
      </c>
      <c r="FU7" s="18"/>
      <c r="FV7" s="177" t="s">
        <v>1277</v>
      </c>
      <c r="FW7" s="102">
        <f>SUM(FW13:FW15)</f>
        <v>69300</v>
      </c>
      <c r="FX7" s="48" t="s">
        <v>1122</v>
      </c>
      <c r="FY7" s="15">
        <v>-907</v>
      </c>
      <c r="FZ7" s="15" t="s">
        <v>186</v>
      </c>
      <c r="GA7" s="18">
        <f>25200*0.8</f>
        <v>20160</v>
      </c>
      <c r="GB7" s="167" t="s">
        <v>1220</v>
      </c>
      <c r="GC7" s="102">
        <f>SUM(GC13:GC14)</f>
        <v>2800.02</v>
      </c>
      <c r="GD7" s="48" t="s">
        <v>1122</v>
      </c>
      <c r="GE7" s="15">
        <v>-1216</v>
      </c>
      <c r="GF7" s="15" t="s">
        <v>186</v>
      </c>
      <c r="GG7" s="18">
        <f>10800-4800*0.2</f>
        <v>9840</v>
      </c>
      <c r="GH7" s="167" t="s">
        <v>1220</v>
      </c>
      <c r="GI7" s="102">
        <f>SUM(GI13:GI14)</f>
        <v>3800.03</v>
      </c>
      <c r="GJ7" s="48" t="s">
        <v>1122</v>
      </c>
      <c r="GK7" s="15">
        <v>-958</v>
      </c>
      <c r="GL7" s="15" t="s">
        <v>1279</v>
      </c>
      <c r="GN7" s="167" t="s">
        <v>1220</v>
      </c>
      <c r="GO7" s="102">
        <f>SUM(GO13:GO13)</f>
        <v>1004</v>
      </c>
      <c r="GP7" s="48" t="s">
        <v>1122</v>
      </c>
      <c r="GQ7" s="15">
        <v>-1572</v>
      </c>
      <c r="GS7" s="18"/>
      <c r="GT7" s="167" t="s">
        <v>1220</v>
      </c>
      <c r="GU7" s="102">
        <f>SUM(GU13:GU15)</f>
        <v>4635.24</v>
      </c>
      <c r="GV7" s="48" t="s">
        <v>1122</v>
      </c>
      <c r="GW7" s="15">
        <v>-1226</v>
      </c>
      <c r="GZ7" s="177" t="s">
        <v>1277</v>
      </c>
      <c r="HA7" s="102">
        <f>SUM(HA13:HA13)</f>
        <v>2104.93333333333</v>
      </c>
      <c r="HB7" s="15" t="s">
        <v>1223</v>
      </c>
      <c r="HC7" s="43">
        <v>-82000</v>
      </c>
      <c r="HF7" s="167" t="s">
        <v>1220</v>
      </c>
      <c r="HG7" s="102">
        <f>SUM(HG13:HG13)</f>
        <v>1900.07</v>
      </c>
      <c r="HH7" s="48" t="s">
        <v>1122</v>
      </c>
      <c r="HI7" s="15">
        <v>-1696</v>
      </c>
      <c r="HJ7" s="15" t="s">
        <v>1280</v>
      </c>
      <c r="HK7" s="15">
        <v>30.001</v>
      </c>
      <c r="HL7" s="169" t="s">
        <v>1226</v>
      </c>
      <c r="HM7" s="15">
        <v>1900.08</v>
      </c>
      <c r="HN7" s="15" t="s">
        <v>1281</v>
      </c>
      <c r="HO7" s="43"/>
      <c r="HQ7" s="18"/>
      <c r="HR7" s="163" t="s">
        <v>1282</v>
      </c>
      <c r="HS7" s="15">
        <v>1059.3</v>
      </c>
      <c r="HT7" s="210">
        <v>7000</v>
      </c>
      <c r="HU7" s="211" t="s">
        <v>1283</v>
      </c>
      <c r="HV7" s="15" t="s">
        <v>1188</v>
      </c>
      <c r="HW7" s="18">
        <v>41</v>
      </c>
      <c r="HX7" s="15" t="s">
        <v>134</v>
      </c>
      <c r="HY7" s="91">
        <f>SUM(HY8:HY55)</f>
        <v>198928.51</v>
      </c>
      <c r="HZ7" s="48" t="s">
        <v>1122</v>
      </c>
      <c r="IA7" s="15">
        <v>-889</v>
      </c>
      <c r="IB7" s="15" t="s">
        <v>1284</v>
      </c>
      <c r="IC7" s="219">
        <v>24.9</v>
      </c>
      <c r="ID7" s="169" t="s">
        <v>1226</v>
      </c>
      <c r="IE7" s="15">
        <v>1900.11</v>
      </c>
      <c r="IF7" s="61" t="s">
        <v>1285</v>
      </c>
      <c r="IG7" s="173">
        <v>-8</v>
      </c>
      <c r="IH7" s="15" t="s">
        <v>1286</v>
      </c>
      <c r="II7" s="219">
        <v>2.27</v>
      </c>
      <c r="IJ7" s="169" t="s">
        <v>1287</v>
      </c>
      <c r="IK7" s="15">
        <v>15</v>
      </c>
      <c r="IL7" s="48" t="s">
        <v>1122</v>
      </c>
      <c r="IM7" s="15">
        <v>-2488</v>
      </c>
      <c r="IN7" s="15" t="s">
        <v>1288</v>
      </c>
      <c r="IO7" s="219"/>
      <c r="IP7" s="169" t="s">
        <v>1289</v>
      </c>
      <c r="IQ7" s="41">
        <v>17</v>
      </c>
      <c r="IR7" s="48" t="s">
        <v>1290</v>
      </c>
      <c r="IS7" s="193">
        <v>0</v>
      </c>
      <c r="IT7" s="15" t="s">
        <v>1291</v>
      </c>
      <c r="IU7" s="219">
        <v>100</v>
      </c>
      <c r="IV7" s="169" t="s">
        <v>1232</v>
      </c>
      <c r="IW7" s="41">
        <v>11</v>
      </c>
      <c r="IX7" s="48" t="s">
        <v>1197</v>
      </c>
      <c r="IY7" s="94">
        <v>-75000</v>
      </c>
      <c r="IZ7" s="15" t="s">
        <v>1233</v>
      </c>
      <c r="JA7" s="219">
        <v>-30</v>
      </c>
      <c r="JB7" s="71" t="s">
        <v>1226</v>
      </c>
      <c r="JC7" s="41">
        <v>1900.03</v>
      </c>
      <c r="JD7" s="48" t="s">
        <v>1197</v>
      </c>
      <c r="JE7" s="94">
        <v>-75000</v>
      </c>
      <c r="JG7" s="219"/>
      <c r="JH7" s="71" t="s">
        <v>1226</v>
      </c>
      <c r="JI7" s="41">
        <v>1900.04</v>
      </c>
      <c r="JJ7" s="48" t="s">
        <v>1197</v>
      </c>
      <c r="JK7" s="94">
        <v>-75000</v>
      </c>
      <c r="JL7" s="15" t="s">
        <v>1288</v>
      </c>
      <c r="JM7" s="219"/>
      <c r="JN7" s="71" t="s">
        <v>1226</v>
      </c>
      <c r="JO7" s="41">
        <v>1900.05</v>
      </c>
      <c r="JP7" s="63" t="s">
        <v>1241</v>
      </c>
      <c r="JQ7" s="43">
        <v>-4000</v>
      </c>
      <c r="JR7" s="15" t="s">
        <v>1292</v>
      </c>
      <c r="JS7" s="242">
        <v>236.43</v>
      </c>
      <c r="JT7" s="255" t="s">
        <v>1226</v>
      </c>
      <c r="JU7" s="15">
        <v>1900.06</v>
      </c>
      <c r="JV7" s="15" t="s">
        <v>1293</v>
      </c>
      <c r="JW7" s="43">
        <v>585077</v>
      </c>
      <c r="JY7" s="219"/>
      <c r="JZ7" s="255" t="s">
        <v>1294</v>
      </c>
      <c r="KA7" s="41">
        <v>1000.08</v>
      </c>
      <c r="KB7" s="63" t="s">
        <v>1241</v>
      </c>
      <c r="KC7" s="43">
        <v>-4000</v>
      </c>
      <c r="KD7" s="15" t="s">
        <v>1248</v>
      </c>
      <c r="KE7" s="286">
        <f>ABS(KC3+KC4)</f>
        <v>211000</v>
      </c>
      <c r="KF7" s="163" t="s">
        <v>1295</v>
      </c>
      <c r="KG7" s="15">
        <v>10.25</v>
      </c>
      <c r="KH7" s="15" t="s">
        <v>1296</v>
      </c>
      <c r="KI7" s="43">
        <v>-70600</v>
      </c>
      <c r="KJ7" s="15" t="s">
        <v>1297</v>
      </c>
      <c r="KK7" s="219">
        <v>-1800</v>
      </c>
      <c r="KL7" s="163" t="s">
        <v>1298</v>
      </c>
      <c r="KM7" s="15">
        <v>1112.4</v>
      </c>
      <c r="KN7" s="298">
        <v>20000</v>
      </c>
      <c r="KO7" s="299">
        <v>45370</v>
      </c>
      <c r="KP7" s="15" t="s">
        <v>1299</v>
      </c>
      <c r="KQ7" s="241"/>
      <c r="KR7" s="184" t="s">
        <v>1226</v>
      </c>
      <c r="KS7" s="186">
        <v>1900.11</v>
      </c>
      <c r="KT7" s="298">
        <v>20000</v>
      </c>
      <c r="KU7" s="299">
        <v>45384</v>
      </c>
      <c r="KV7" s="65"/>
      <c r="KW7" s="41"/>
      <c r="KX7" s="184" t="s">
        <v>1300</v>
      </c>
      <c r="KY7" s="91">
        <v>50</v>
      </c>
      <c r="KZ7" s="261" t="s">
        <v>1246</v>
      </c>
      <c r="LA7" s="300">
        <v>262000</v>
      </c>
      <c r="LB7" s="65"/>
      <c r="LC7" s="306"/>
      <c r="LD7" s="184" t="s">
        <v>1301</v>
      </c>
      <c r="LE7" s="91" t="s">
        <v>1302</v>
      </c>
      <c r="LF7" s="15" t="s">
        <v>1296</v>
      </c>
      <c r="LG7" s="43">
        <v>-70600</v>
      </c>
      <c r="LH7" s="65" t="s">
        <v>1303</v>
      </c>
      <c r="LI7" s="306">
        <v>793.69</v>
      </c>
      <c r="LJ7" s="184" t="s">
        <v>1304</v>
      </c>
      <c r="LK7" s="186">
        <v>1900.02</v>
      </c>
      <c r="LL7" s="15" t="s">
        <v>1296</v>
      </c>
      <c r="LM7" s="43">
        <v>-70600</v>
      </c>
      <c r="LN7" s="15" t="s">
        <v>1305</v>
      </c>
      <c r="LO7" s="219">
        <f>-(15000)</f>
        <v>-15000</v>
      </c>
      <c r="LP7" s="311" t="s">
        <v>1247</v>
      </c>
      <c r="LQ7" s="312"/>
      <c r="LR7" s="261" t="s">
        <v>1246</v>
      </c>
      <c r="LS7" s="300">
        <v>280000</v>
      </c>
      <c r="LT7" s="65" t="s">
        <v>1306</v>
      </c>
      <c r="LU7" s="41">
        <v>154.99</v>
      </c>
      <c r="LV7" s="184" t="s">
        <v>1307</v>
      </c>
      <c r="LW7" s="57">
        <v>40</v>
      </c>
      <c r="LX7" s="15" t="s">
        <v>1308</v>
      </c>
      <c r="LY7" s="43">
        <v>-68605</v>
      </c>
      <c r="LZ7" s="61"/>
      <c r="MA7" s="119"/>
      <c r="MB7" s="163" t="s">
        <v>1309</v>
      </c>
      <c r="MC7" s="41">
        <f>1000+1000</f>
        <v>2000</v>
      </c>
      <c r="MD7" s="63" t="s">
        <v>1310</v>
      </c>
      <c r="ME7" s="240">
        <v>50000</v>
      </c>
      <c r="MF7" s="326" t="s">
        <v>1311</v>
      </c>
      <c r="MG7" s="41">
        <v>449.92</v>
      </c>
      <c r="MH7" s="114" t="s">
        <v>1312</v>
      </c>
      <c r="MI7" s="41">
        <v>1900.05</v>
      </c>
      <c r="MJ7" s="298" t="s">
        <v>1205</v>
      </c>
      <c r="MK7" s="325">
        <v>75000</v>
      </c>
      <c r="ML7" s="15" t="s">
        <v>1299</v>
      </c>
      <c r="MM7" s="38"/>
      <c r="MN7" s="114" t="s">
        <v>1254</v>
      </c>
      <c r="MO7" s="41">
        <v>1900.07</v>
      </c>
      <c r="MP7" s="298" t="s">
        <v>1205</v>
      </c>
      <c r="MQ7" s="325">
        <v>79000</v>
      </c>
      <c r="MR7" s="61" t="s">
        <v>1313</v>
      </c>
      <c r="MS7" s="119">
        <v>3.99</v>
      </c>
      <c r="MT7" s="114" t="s">
        <v>1314</v>
      </c>
      <c r="MU7" s="41">
        <v>460</v>
      </c>
      <c r="MV7" s="261" t="s">
        <v>1251</v>
      </c>
      <c r="MW7" s="300">
        <v>0</v>
      </c>
      <c r="MX7" s="61" t="s">
        <v>1315</v>
      </c>
      <c r="MY7" s="119">
        <v>1.42</v>
      </c>
      <c r="MZ7" s="301" t="s">
        <v>1316</v>
      </c>
      <c r="NA7" s="41">
        <v>59.57</v>
      </c>
      <c r="NB7" s="298">
        <v>8000</v>
      </c>
      <c r="NC7" s="299">
        <v>45580</v>
      </c>
      <c r="ND7" s="15" t="s">
        <v>1317</v>
      </c>
      <c r="NE7" s="41">
        <v>3960.9</v>
      </c>
      <c r="NF7" s="163" t="s">
        <v>1318</v>
      </c>
      <c r="NG7" s="41">
        <v>12985</v>
      </c>
      <c r="NH7" s="336" t="s">
        <v>1205</v>
      </c>
      <c r="NI7" s="300">
        <v>77000</v>
      </c>
      <c r="NJ7" s="61"/>
      <c r="NL7" s="163" t="s">
        <v>1319</v>
      </c>
      <c r="NM7" s="41">
        <v>53.62</v>
      </c>
      <c r="NN7" s="298">
        <v>12000</v>
      </c>
      <c r="NO7" s="299">
        <v>45664</v>
      </c>
      <c r="NP7" s="15" t="s">
        <v>1320</v>
      </c>
      <c r="NQ7" s="41">
        <v>1840</v>
      </c>
      <c r="NR7" s="335" t="s">
        <v>1258</v>
      </c>
      <c r="NS7" s="41">
        <v>1900.12</v>
      </c>
      <c r="NT7" s="341">
        <v>45678</v>
      </c>
      <c r="NU7" s="300">
        <v>18000</v>
      </c>
      <c r="NV7" s="61" t="s">
        <v>1321</v>
      </c>
      <c r="NW7" s="41">
        <v>400</v>
      </c>
      <c r="NX7" s="335" t="s">
        <v>1322</v>
      </c>
      <c r="NY7" s="41">
        <v>2</v>
      </c>
      <c r="NZ7" s="48" t="s">
        <v>1262</v>
      </c>
      <c r="OA7" s="94">
        <v>-100000</v>
      </c>
      <c r="OB7" s="61"/>
      <c r="OD7" s="335" t="s">
        <v>1323</v>
      </c>
      <c r="OE7" s="41"/>
      <c r="OF7" s="63" t="s">
        <v>1324</v>
      </c>
      <c r="OG7" s="43">
        <v>226015</v>
      </c>
      <c r="OH7" s="347">
        <v>45669</v>
      </c>
    </row>
    <row r="8" ht="12.75" customHeight="1" spans="1:399">
      <c r="A8" s="54"/>
      <c r="B8" s="55"/>
      <c r="E8" s="15" t="s">
        <v>1325</v>
      </c>
      <c r="G8" s="54"/>
      <c r="H8" s="55"/>
      <c r="K8" s="15" t="s">
        <v>1325</v>
      </c>
      <c r="M8" s="48" t="s">
        <v>618</v>
      </c>
      <c r="N8" s="56">
        <v>100.001</v>
      </c>
      <c r="P8" s="15">
        <v>76</v>
      </c>
      <c r="Q8" s="15" t="s">
        <v>1263</v>
      </c>
      <c r="R8" s="15">
        <f>SUM(R30:R34)</f>
        <v>290.25</v>
      </c>
      <c r="S8" s="48" t="s">
        <v>1326</v>
      </c>
      <c r="T8" s="56">
        <v>200.001</v>
      </c>
      <c r="W8" s="15" t="s">
        <v>1263</v>
      </c>
      <c r="X8" s="15">
        <f>SUM(X25:X29)</f>
        <v>396.69</v>
      </c>
      <c r="Y8" s="48" t="s">
        <v>1326</v>
      </c>
      <c r="Z8" s="56">
        <v>150.001</v>
      </c>
      <c r="AA8" s="15" t="s">
        <v>1327</v>
      </c>
      <c r="AB8" s="15">
        <v>0</v>
      </c>
      <c r="AC8" s="15" t="s">
        <v>1325</v>
      </c>
      <c r="AD8" s="15">
        <f>SUM(AD14:AD17)</f>
        <v>0</v>
      </c>
      <c r="AE8" s="48" t="s">
        <v>1326</v>
      </c>
      <c r="AF8" s="56">
        <v>200.001</v>
      </c>
      <c r="AG8" s="15" t="s">
        <v>1327</v>
      </c>
      <c r="AH8" s="15">
        <v>0</v>
      </c>
      <c r="AI8" s="15" t="s">
        <v>1325</v>
      </c>
      <c r="AJ8" s="15">
        <f>SUM(AJ14:AJ17)</f>
        <v>0</v>
      </c>
      <c r="AK8" s="60" t="s">
        <v>1326</v>
      </c>
      <c r="AL8" s="76">
        <v>250</v>
      </c>
      <c r="AM8" s="15" t="s">
        <v>1328</v>
      </c>
      <c r="AN8" s="15">
        <v>80</v>
      </c>
      <c r="AO8" s="15" t="s">
        <v>1325</v>
      </c>
      <c r="AP8" s="15">
        <f>SUM(AP20:AP24)</f>
        <v>465</v>
      </c>
      <c r="AQ8" s="60" t="s">
        <v>1326</v>
      </c>
      <c r="AR8" s="76">
        <v>100</v>
      </c>
      <c r="AS8" s="15" t="s">
        <v>1267</v>
      </c>
      <c r="AU8" s="15" t="s">
        <v>1325</v>
      </c>
      <c r="AV8" s="15">
        <f>SUM(AV20:AV24)</f>
        <v>522</v>
      </c>
      <c r="AW8" s="60" t="s">
        <v>1326</v>
      </c>
      <c r="AX8" s="76">
        <v>200</v>
      </c>
      <c r="BA8" s="60" t="s">
        <v>1326</v>
      </c>
      <c r="BB8" s="55">
        <f t="shared" si="0"/>
        <v>200</v>
      </c>
      <c r="BC8" s="15" t="s">
        <v>1267</v>
      </c>
      <c r="BE8" s="15" t="s">
        <v>1325</v>
      </c>
      <c r="BF8" s="15">
        <f>SUM(BF18:BF22)</f>
        <v>1641.38</v>
      </c>
      <c r="BG8" s="60" t="s">
        <v>1326</v>
      </c>
      <c r="BH8" s="76">
        <v>150</v>
      </c>
      <c r="BI8" s="42" t="s">
        <v>1267</v>
      </c>
      <c r="BK8" s="42" t="s">
        <v>1325</v>
      </c>
      <c r="BL8" s="42">
        <f>SUM(BL18:BL22)</f>
        <v>387</v>
      </c>
      <c r="BM8" s="60" t="s">
        <v>1326</v>
      </c>
      <c r="BN8" s="76">
        <v>90</v>
      </c>
      <c r="BO8" s="42" t="s">
        <v>1267</v>
      </c>
      <c r="BQ8" s="42" t="s">
        <v>1325</v>
      </c>
      <c r="BR8" s="42">
        <f>SUM(BR18:BR22)</f>
        <v>452</v>
      </c>
      <c r="BS8" s="60" t="s">
        <v>1326</v>
      </c>
      <c r="BT8" s="93">
        <v>100</v>
      </c>
      <c r="BU8" s="42" t="s">
        <v>1267</v>
      </c>
      <c r="BW8" s="42" t="s">
        <v>1325</v>
      </c>
      <c r="BX8" s="42">
        <f>SUM(BX18:BX22)</f>
        <v>172</v>
      </c>
      <c r="BY8" s="60" t="s">
        <v>1326</v>
      </c>
      <c r="BZ8" s="98">
        <v>60</v>
      </c>
      <c r="CA8" s="42" t="s">
        <v>1267</v>
      </c>
      <c r="CC8" s="42" t="s">
        <v>1325</v>
      </c>
      <c r="CD8" s="42">
        <f>SUM(CD18:CD22)</f>
        <v>215</v>
      </c>
      <c r="CE8" s="60" t="s">
        <v>1326</v>
      </c>
      <c r="CF8" s="98">
        <v>110</v>
      </c>
      <c r="CG8" s="42" t="s">
        <v>1329</v>
      </c>
      <c r="CH8" s="42">
        <v>70</v>
      </c>
      <c r="CI8" s="42" t="s">
        <v>1325</v>
      </c>
      <c r="CJ8" s="42">
        <f>SUM(CJ19:CJ21)</f>
        <v>1488.1</v>
      </c>
      <c r="CK8" s="60" t="s">
        <v>1326</v>
      </c>
      <c r="CL8" s="98">
        <v>100</v>
      </c>
      <c r="CM8" s="42" t="s">
        <v>1329</v>
      </c>
      <c r="CN8" s="42">
        <v>63</v>
      </c>
      <c r="CO8" s="42" t="s">
        <v>1325</v>
      </c>
      <c r="CP8" s="42">
        <f>SUM(CP18:CP20)</f>
        <v>0</v>
      </c>
      <c r="CQ8" s="60" t="s">
        <v>1326</v>
      </c>
      <c r="CR8" s="98">
        <v>80</v>
      </c>
      <c r="CS8" s="42" t="s">
        <v>1330</v>
      </c>
      <c r="CT8" s="42">
        <v>60.96</v>
      </c>
      <c r="CU8" s="42" t="s">
        <v>1325</v>
      </c>
      <c r="CV8" s="42">
        <f>SUM(CV17:CV18)</f>
        <v>615.2</v>
      </c>
      <c r="CW8" s="48" t="s">
        <v>1179</v>
      </c>
      <c r="CX8" s="57">
        <v>2090.39</v>
      </c>
      <c r="CY8" s="42" t="s">
        <v>1330</v>
      </c>
      <c r="CZ8" s="42">
        <v>62</v>
      </c>
      <c r="DA8" s="116" t="s">
        <v>1325</v>
      </c>
      <c r="DB8" s="42">
        <f>SUM(DB17:DB17)</f>
        <v>1316.1</v>
      </c>
      <c r="DC8" s="54" t="s">
        <v>1178</v>
      </c>
      <c r="DD8" s="55">
        <v>-222</v>
      </c>
      <c r="DE8" s="42" t="s">
        <v>1330</v>
      </c>
      <c r="DF8" s="42">
        <v>67.11</v>
      </c>
      <c r="DG8" s="116" t="s">
        <v>1325</v>
      </c>
      <c r="DH8" s="44">
        <f>SUM(DH26:DH28)</f>
        <v>1232.13</v>
      </c>
      <c r="DI8" s="129" t="s">
        <v>1178</v>
      </c>
      <c r="DJ8" s="55">
        <v>0</v>
      </c>
      <c r="DK8" s="42" t="s">
        <v>1330</v>
      </c>
      <c r="DL8" s="42">
        <v>63</v>
      </c>
      <c r="DM8" s="116" t="s">
        <v>1331</v>
      </c>
      <c r="DN8" s="44">
        <f>SUM(DN21:DN23)</f>
        <v>189.2</v>
      </c>
      <c r="DO8" s="65" t="s">
        <v>1215</v>
      </c>
      <c r="DP8" s="57">
        <v>15108</v>
      </c>
      <c r="DQ8" s="42" t="s">
        <v>1272</v>
      </c>
      <c r="DR8" s="42">
        <v>64</v>
      </c>
      <c r="DS8" s="115" t="s">
        <v>1268</v>
      </c>
      <c r="DT8" s="44">
        <f>SUM(DT18:DT18)</f>
        <v>382</v>
      </c>
      <c r="DU8" s="22" t="s">
        <v>1271</v>
      </c>
      <c r="DV8" s="55"/>
      <c r="DW8" s="15" t="s">
        <v>1272</v>
      </c>
      <c r="DX8" s="15">
        <v>38</v>
      </c>
      <c r="DY8" s="68" t="s">
        <v>1331</v>
      </c>
      <c r="DZ8" s="15">
        <f>SUM(DZ14:DZ14)</f>
        <v>0</v>
      </c>
      <c r="EA8" s="22" t="s">
        <v>1332</v>
      </c>
      <c r="EB8" s="22">
        <v>-252</v>
      </c>
      <c r="EE8" s="68" t="s">
        <v>1331</v>
      </c>
      <c r="EF8" s="15">
        <f>SUM(EF14:EF14)</f>
        <v>0</v>
      </c>
      <c r="EH8" s="63" t="s">
        <v>1215</v>
      </c>
      <c r="EI8" s="61">
        <v>0</v>
      </c>
      <c r="EJ8" s="61" t="s">
        <v>1333</v>
      </c>
      <c r="EK8" s="15">
        <v>5</v>
      </c>
      <c r="EL8" s="161" t="s">
        <v>1334</v>
      </c>
      <c r="EM8" s="15">
        <f>SUM(EM15:EM15)</f>
        <v>28.12</v>
      </c>
      <c r="EN8" s="63" t="s">
        <v>1215</v>
      </c>
      <c r="EO8" s="61">
        <v>0</v>
      </c>
      <c r="ER8" s="162" t="s">
        <v>1335</v>
      </c>
      <c r="ES8" s="15">
        <f>SUM(ES24:ES24)</f>
        <v>0</v>
      </c>
      <c r="ET8" s="63" t="s">
        <v>1215</v>
      </c>
      <c r="EU8" s="61">
        <v>0</v>
      </c>
      <c r="EX8" s="162" t="s">
        <v>1335</v>
      </c>
      <c r="EY8" s="15">
        <f>SUM(EY23:EY25)</f>
        <v>59.95</v>
      </c>
      <c r="EZ8" s="63" t="s">
        <v>1215</v>
      </c>
      <c r="FA8" s="61">
        <v>0</v>
      </c>
      <c r="FD8" s="162" t="s">
        <v>1335</v>
      </c>
      <c r="FE8" s="15">
        <f>SUM(FE23:FE26)</f>
        <v>117.02</v>
      </c>
      <c r="FF8" s="63" t="s">
        <v>1215</v>
      </c>
      <c r="FG8" s="61">
        <v>0</v>
      </c>
      <c r="FH8" s="15" t="s">
        <v>1272</v>
      </c>
      <c r="FI8" s="15">
        <v>40</v>
      </c>
      <c r="FJ8" s="162" t="s">
        <v>1335</v>
      </c>
      <c r="FK8" s="15">
        <f>SUM(FK23:FK28)</f>
        <v>174.33</v>
      </c>
      <c r="FL8" s="15" t="s">
        <v>1275</v>
      </c>
      <c r="FM8" s="61">
        <f>283+1126</f>
        <v>1409</v>
      </c>
      <c r="FO8" s="18"/>
      <c r="FP8" s="168" t="s">
        <v>1274</v>
      </c>
      <c r="FQ8" s="15">
        <f>SUM(FQ18:FQ25)</f>
        <v>550.22</v>
      </c>
      <c r="FR8" s="63" t="s">
        <v>1151</v>
      </c>
      <c r="FS8" s="15">
        <v>3754</v>
      </c>
      <c r="FT8" s="15" t="s">
        <v>1336</v>
      </c>
      <c r="FU8" s="15">
        <v>148</v>
      </c>
      <c r="FV8" s="168" t="s">
        <v>1274</v>
      </c>
      <c r="FW8" s="15">
        <f>SUM(FW18:FW25)</f>
        <v>363.97</v>
      </c>
      <c r="FX8" s="61" t="s">
        <v>1193</v>
      </c>
      <c r="FY8" s="15">
        <v>-52</v>
      </c>
      <c r="GA8" s="18"/>
      <c r="GB8" s="177" t="s">
        <v>1277</v>
      </c>
      <c r="GC8" s="102">
        <f>SUM(GC15)</f>
        <v>63477.54</v>
      </c>
      <c r="GD8" s="61" t="s">
        <v>1193</v>
      </c>
      <c r="GE8" s="173">
        <v>30</v>
      </c>
      <c r="GF8" s="15" t="s">
        <v>1337</v>
      </c>
      <c r="GG8" s="18">
        <v>30</v>
      </c>
      <c r="GH8" s="177" t="s">
        <v>1277</v>
      </c>
      <c r="GI8" s="102">
        <f>SUM(GI15)</f>
        <v>0</v>
      </c>
      <c r="GJ8" s="61" t="s">
        <v>1338</v>
      </c>
      <c r="GK8" s="173">
        <v>300</v>
      </c>
      <c r="GN8" s="177" t="s">
        <v>1277</v>
      </c>
      <c r="GO8" s="102">
        <f>SUM(GO14)</f>
        <v>0</v>
      </c>
      <c r="GP8" s="61" t="s">
        <v>1338</v>
      </c>
      <c r="GQ8" s="173">
        <v>29.05</v>
      </c>
      <c r="GR8" s="15" t="s">
        <v>1339</v>
      </c>
      <c r="GS8" s="15">
        <v>4000</v>
      </c>
      <c r="GT8" s="177" t="s">
        <v>1277</v>
      </c>
      <c r="GU8" s="102">
        <f>SUM(GU16:GU17)</f>
        <v>84255</v>
      </c>
      <c r="GV8" s="61" t="s">
        <v>1338</v>
      </c>
      <c r="GW8" s="173">
        <v>29.05</v>
      </c>
      <c r="GX8" s="614" t="s">
        <v>1216</v>
      </c>
      <c r="GZ8" s="168" t="s">
        <v>1274</v>
      </c>
      <c r="HA8" s="186">
        <f>SUM(HA18:HA24)</f>
        <v>880.406666666667</v>
      </c>
      <c r="HB8" s="48" t="s">
        <v>1122</v>
      </c>
      <c r="HC8" s="15">
        <v>-898</v>
      </c>
      <c r="HD8" s="614" t="s">
        <v>1216</v>
      </c>
      <c r="HF8" s="177" t="s">
        <v>1277</v>
      </c>
      <c r="HG8" s="102">
        <f>SUM(HG14:HG16)</f>
        <v>3184.93333333333</v>
      </c>
      <c r="HH8" s="61" t="s">
        <v>1338</v>
      </c>
      <c r="HI8" s="173">
        <v>38</v>
      </c>
      <c r="HJ8" s="15" t="s">
        <v>1340</v>
      </c>
      <c r="HL8" s="72" t="s">
        <v>1341</v>
      </c>
      <c r="HM8" s="15">
        <v>345.6</v>
      </c>
      <c r="HN8" s="48" t="s">
        <v>1122</v>
      </c>
      <c r="HO8" s="15">
        <v>-540</v>
      </c>
      <c r="HP8" s="15" t="s">
        <v>1340</v>
      </c>
      <c r="HR8" s="163" t="s">
        <v>1342</v>
      </c>
      <c r="HS8" s="15">
        <v>807.85</v>
      </c>
      <c r="HT8" s="48" t="s">
        <v>1122</v>
      </c>
      <c r="HU8" s="15">
        <v>-1653</v>
      </c>
      <c r="HV8" s="15" t="s">
        <v>1343</v>
      </c>
      <c r="HW8" s="18">
        <v>2.1</v>
      </c>
      <c r="HX8" s="169" t="s">
        <v>1226</v>
      </c>
      <c r="HY8" s="15">
        <v>1900.1</v>
      </c>
      <c r="HZ8" s="61" t="s">
        <v>1338</v>
      </c>
      <c r="IA8" s="173">
        <v>0</v>
      </c>
      <c r="IB8" s="15" t="s">
        <v>1344</v>
      </c>
      <c r="IC8" s="219"/>
      <c r="ID8" s="179" t="s">
        <v>1345</v>
      </c>
      <c r="IE8" s="15">
        <v>5.73</v>
      </c>
      <c r="IF8" s="61" t="s">
        <v>1221</v>
      </c>
      <c r="IG8" s="238">
        <v>2499</v>
      </c>
      <c r="II8" s="219"/>
      <c r="IJ8" s="169" t="s">
        <v>1226</v>
      </c>
      <c r="IK8" s="15">
        <v>1900.12</v>
      </c>
      <c r="IL8" s="61" t="s">
        <v>1193</v>
      </c>
      <c r="IM8" s="173">
        <v>0</v>
      </c>
      <c r="IN8" s="15" t="s">
        <v>1346</v>
      </c>
      <c r="IO8" s="219">
        <v>36.42</v>
      </c>
      <c r="IP8" s="169" t="s">
        <v>1226</v>
      </c>
      <c r="IQ8" s="41">
        <v>1900.01</v>
      </c>
      <c r="IR8" s="48" t="s">
        <v>1122</v>
      </c>
      <c r="IS8" s="15">
        <v>-3061</v>
      </c>
      <c r="IT8" s="15" t="s">
        <v>1347</v>
      </c>
      <c r="IU8" s="219">
        <f>10582.19+14077.74-24508</f>
        <v>151.93</v>
      </c>
      <c r="IV8" s="169" t="s">
        <v>1226</v>
      </c>
      <c r="IW8" s="41">
        <v>1900.02</v>
      </c>
      <c r="IX8" s="63" t="s">
        <v>1241</v>
      </c>
      <c r="IY8" s="43">
        <v>-4000</v>
      </c>
      <c r="JA8" s="219"/>
      <c r="JB8" s="179" t="s">
        <v>1348</v>
      </c>
      <c r="JC8" s="41">
        <v>300.28</v>
      </c>
      <c r="JD8" s="63" t="s">
        <v>1241</v>
      </c>
      <c r="JE8" s="43">
        <v>-4000</v>
      </c>
      <c r="JF8" s="15" t="s">
        <v>1288</v>
      </c>
      <c r="JG8" s="219"/>
      <c r="JH8" s="179" t="s">
        <v>1349</v>
      </c>
      <c r="JI8" s="41">
        <v>327.74</v>
      </c>
      <c r="JJ8" s="63" t="s">
        <v>1241</v>
      </c>
      <c r="JK8" s="43">
        <v>-4000</v>
      </c>
      <c r="JL8" s="244" t="s">
        <v>1350</v>
      </c>
      <c r="JM8" s="15">
        <v>2.5</v>
      </c>
      <c r="JN8" s="179" t="s">
        <v>1351</v>
      </c>
      <c r="JO8" s="41">
        <v>48.69</v>
      </c>
      <c r="JP8" s="77" t="s">
        <v>1352</v>
      </c>
      <c r="JQ8" s="43">
        <f>100*(330+310)</f>
        <v>64000</v>
      </c>
      <c r="JR8" s="15" t="s">
        <v>1288</v>
      </c>
      <c r="JS8" s="219"/>
      <c r="JT8" s="179" t="s">
        <v>1353</v>
      </c>
      <c r="JU8" s="41">
        <v>1476</v>
      </c>
      <c r="JV8" s="48" t="s">
        <v>1290</v>
      </c>
      <c r="JW8" s="173">
        <v>61</v>
      </c>
      <c r="JX8" s="15" t="s">
        <v>1354</v>
      </c>
      <c r="JY8" s="242">
        <v>60</v>
      </c>
      <c r="JZ8" s="255" t="s">
        <v>1226</v>
      </c>
      <c r="KA8" s="15">
        <f>1900.07</f>
        <v>1900.07</v>
      </c>
      <c r="KB8" s="15" t="s">
        <v>1355</v>
      </c>
      <c r="KC8" s="43">
        <v>640008</v>
      </c>
      <c r="KD8" s="15" t="s">
        <v>1356</v>
      </c>
      <c r="KE8" s="219">
        <v>-64875.36</v>
      </c>
      <c r="KF8" s="72" t="s">
        <v>1357</v>
      </c>
      <c r="KG8" s="94">
        <v>2000</v>
      </c>
      <c r="KH8" s="15" t="s">
        <v>1358</v>
      </c>
      <c r="KI8" s="43">
        <f>-135000</f>
        <v>-135000</v>
      </c>
      <c r="KJ8" s="15" t="s">
        <v>1359</v>
      </c>
      <c r="KK8" s="219">
        <v>-1800.01</v>
      </c>
      <c r="KL8" s="163" t="s">
        <v>1360</v>
      </c>
      <c r="KM8" s="41">
        <v>9.45</v>
      </c>
      <c r="KN8" s="298">
        <v>20000</v>
      </c>
      <c r="KO8" s="299">
        <v>45384</v>
      </c>
      <c r="KP8" s="61" t="s">
        <v>1361</v>
      </c>
      <c r="KQ8" s="219">
        <v>3010</v>
      </c>
      <c r="KR8" s="163" t="s">
        <v>1298</v>
      </c>
      <c r="KS8" s="41">
        <f>874.8+75.4</f>
        <v>950.2</v>
      </c>
      <c r="KT8" s="298">
        <v>30000</v>
      </c>
      <c r="KU8" s="299">
        <v>45398</v>
      </c>
      <c r="KV8" s="15" t="s">
        <v>1299</v>
      </c>
      <c r="KW8" s="219"/>
      <c r="KX8" s="184" t="s">
        <v>1226</v>
      </c>
      <c r="KY8" s="186">
        <v>1900.12</v>
      </c>
      <c r="KZ8" s="15" t="s">
        <v>1296</v>
      </c>
      <c r="LA8" s="43">
        <v>-70600</v>
      </c>
      <c r="LB8" s="15" t="s">
        <v>1299</v>
      </c>
      <c r="LC8" s="219"/>
      <c r="LD8" s="184" t="s">
        <v>1362</v>
      </c>
      <c r="LE8" s="91">
        <f>1000+2000+5000</f>
        <v>8000</v>
      </c>
      <c r="LF8" s="15" t="s">
        <v>1363</v>
      </c>
      <c r="LG8" s="43">
        <v>-115915</v>
      </c>
      <c r="LH8" s="65" t="s">
        <v>1364</v>
      </c>
      <c r="LI8" s="306">
        <v>793.69</v>
      </c>
      <c r="LJ8" s="292" t="s">
        <v>1365</v>
      </c>
      <c r="LK8" s="186">
        <v>14.55</v>
      </c>
      <c r="LL8" s="15" t="s">
        <v>1363</v>
      </c>
      <c r="LM8" s="43" t="s">
        <v>1366</v>
      </c>
      <c r="LN8" s="15" t="s">
        <v>1305</v>
      </c>
      <c r="LO8" s="219">
        <f>-(48322.06)</f>
        <v>-48322.06</v>
      </c>
      <c r="LP8" s="184" t="s">
        <v>1367</v>
      </c>
      <c r="LQ8" s="41">
        <v>1900.03</v>
      </c>
      <c r="LR8" s="15" t="s">
        <v>1308</v>
      </c>
      <c r="LS8" s="43">
        <v>-69866.81</v>
      </c>
      <c r="LT8" s="15" t="s">
        <v>1299</v>
      </c>
      <c r="LU8" s="38"/>
      <c r="LV8" s="184" t="s">
        <v>1367</v>
      </c>
      <c r="LW8" s="41">
        <v>1900.04</v>
      </c>
      <c r="LX8" s="15" t="s">
        <v>1368</v>
      </c>
      <c r="LY8" s="43">
        <v>-127370</v>
      </c>
      <c r="LZ8" s="15" t="s">
        <v>1299</v>
      </c>
      <c r="MA8" s="38"/>
      <c r="MB8" s="163" t="s">
        <v>1369</v>
      </c>
      <c r="MC8" s="56">
        <v>145.76</v>
      </c>
      <c r="MD8" s="63" t="s">
        <v>1370</v>
      </c>
      <c r="ME8" s="240">
        <v>150000</v>
      </c>
      <c r="MF8" s="61" t="s">
        <v>1371</v>
      </c>
      <c r="MG8" s="119" t="s">
        <v>1372</v>
      </c>
      <c r="MH8" s="114" t="s">
        <v>1373</v>
      </c>
      <c r="MI8" s="41">
        <v>1900.06</v>
      </c>
      <c r="MJ8" s="261" t="s">
        <v>1251</v>
      </c>
      <c r="MK8" s="300">
        <v>0</v>
      </c>
      <c r="ML8" s="15" t="s">
        <v>1374</v>
      </c>
      <c r="MM8" s="38">
        <f>1.8+69.6</f>
        <v>71.4</v>
      </c>
      <c r="MN8" s="114" t="s">
        <v>1375</v>
      </c>
      <c r="MO8" s="41">
        <v>1000.06</v>
      </c>
      <c r="MP8" s="261" t="s">
        <v>1251</v>
      </c>
      <c r="MQ8" s="300">
        <v>0</v>
      </c>
      <c r="MR8" s="61" t="s">
        <v>1376</v>
      </c>
      <c r="MS8" s="119">
        <v>5684</v>
      </c>
      <c r="MT8" s="114" t="s">
        <v>1377</v>
      </c>
      <c r="MU8" s="41">
        <v>2000</v>
      </c>
      <c r="MV8" s="63" t="s">
        <v>1310</v>
      </c>
      <c r="MW8" s="240">
        <v>50000</v>
      </c>
      <c r="MX8" s="61" t="s">
        <v>1378</v>
      </c>
      <c r="MY8" s="119">
        <v>42.6</v>
      </c>
      <c r="MZ8" s="301" t="s">
        <v>1379</v>
      </c>
      <c r="NA8" s="15">
        <v>46.85</v>
      </c>
      <c r="NB8" s="298" t="s">
        <v>1205</v>
      </c>
      <c r="NC8" s="325">
        <v>94000</v>
      </c>
      <c r="ND8" s="15" t="s">
        <v>1380</v>
      </c>
      <c r="NE8" s="41">
        <v>2943</v>
      </c>
      <c r="NF8" s="163" t="s">
        <v>1381</v>
      </c>
      <c r="NG8" s="41">
        <f>13002*2</f>
        <v>26004</v>
      </c>
      <c r="NH8" s="63" t="s">
        <v>1241</v>
      </c>
      <c r="NI8" s="43">
        <v>-3000</v>
      </c>
      <c r="NJ8" s="15" t="s">
        <v>1382</v>
      </c>
      <c r="NK8" s="38"/>
      <c r="NL8" s="15" t="s">
        <v>1349</v>
      </c>
      <c r="NM8" s="15">
        <v>17.05</v>
      </c>
      <c r="NN8" s="298">
        <v>18000</v>
      </c>
      <c r="NO8" s="299">
        <v>45678</v>
      </c>
      <c r="NP8" s="15" t="s">
        <v>1383</v>
      </c>
      <c r="NQ8" s="41">
        <f>1850*2</f>
        <v>3700</v>
      </c>
      <c r="NR8" s="163" t="s">
        <v>1309</v>
      </c>
      <c r="NS8" s="41">
        <v>1000</v>
      </c>
      <c r="NT8" s="63" t="s">
        <v>1241</v>
      </c>
      <c r="NU8" s="43">
        <v>-3000</v>
      </c>
      <c r="NV8" s="61" t="s">
        <v>1384</v>
      </c>
      <c r="NW8" s="41">
        <v>86.2</v>
      </c>
      <c r="NX8" s="335" t="s">
        <v>1385</v>
      </c>
      <c r="NY8" s="41">
        <v>2</v>
      </c>
      <c r="NZ8" s="91" t="s">
        <v>1386</v>
      </c>
      <c r="OA8" s="94">
        <v>62511</v>
      </c>
      <c r="OB8" s="61" t="s">
        <v>1387</v>
      </c>
      <c r="OC8" s="41">
        <v>5468.3</v>
      </c>
      <c r="OD8" s="163" t="s">
        <v>1388</v>
      </c>
      <c r="OE8" s="41"/>
      <c r="OF8" s="63" t="s">
        <v>1389</v>
      </c>
      <c r="OG8" s="43">
        <v>101477</v>
      </c>
      <c r="OH8" s="347">
        <v>45670</v>
      </c>
      <c r="OI8" s="43"/>
    </row>
    <row r="9" ht="12.75" customHeight="1" spans="1:399">
      <c r="A9" s="54"/>
      <c r="B9" s="55"/>
      <c r="E9" s="15" t="s">
        <v>1390</v>
      </c>
      <c r="G9" s="54"/>
      <c r="H9" s="55"/>
      <c r="K9" s="15" t="s">
        <v>1390</v>
      </c>
      <c r="M9" s="48" t="s">
        <v>158</v>
      </c>
      <c r="N9" s="56">
        <v>480</v>
      </c>
      <c r="Q9" s="15" t="s">
        <v>1325</v>
      </c>
      <c r="S9" s="48" t="s">
        <v>158</v>
      </c>
      <c r="T9" s="56">
        <v>480</v>
      </c>
      <c r="W9" s="15" t="s">
        <v>1325</v>
      </c>
      <c r="X9" s="15">
        <f>SUM(X20:X24)</f>
        <v>910.17</v>
      </c>
      <c r="Y9" s="48" t="s">
        <v>158</v>
      </c>
      <c r="Z9" s="56">
        <v>480</v>
      </c>
      <c r="AC9" s="15" t="s">
        <v>1390</v>
      </c>
      <c r="AD9" s="15">
        <f>SUM(AD13:AD13)</f>
        <v>0</v>
      </c>
      <c r="AE9" s="48" t="s">
        <v>1179</v>
      </c>
      <c r="AF9" s="56">
        <v>430</v>
      </c>
      <c r="AI9" s="15" t="s">
        <v>1390</v>
      </c>
      <c r="AJ9" s="15">
        <f>SUM(AJ13:AJ13)</f>
        <v>0</v>
      </c>
      <c r="AK9" s="48" t="s">
        <v>1179</v>
      </c>
      <c r="AL9" s="56">
        <v>438</v>
      </c>
      <c r="AM9" s="15" t="s">
        <v>1391</v>
      </c>
      <c r="AN9" s="15">
        <v>93.09</v>
      </c>
      <c r="AO9" s="15" t="s">
        <v>1390</v>
      </c>
      <c r="AP9" s="15">
        <f>SUM(AP17:AP19)</f>
        <v>2878.86</v>
      </c>
      <c r="AQ9" s="48" t="s">
        <v>1179</v>
      </c>
      <c r="AR9" s="56">
        <v>1920</v>
      </c>
      <c r="AS9" s="15" t="s">
        <v>1329</v>
      </c>
      <c r="AT9" s="15">
        <v>80</v>
      </c>
      <c r="AU9" s="15" t="s">
        <v>1390</v>
      </c>
      <c r="AV9" s="15">
        <f>SUM(AV18:AV19)</f>
        <v>42.53</v>
      </c>
      <c r="AW9" s="48" t="s">
        <v>1179</v>
      </c>
      <c r="AX9" s="80">
        <v>1945.63</v>
      </c>
      <c r="BA9" s="48" t="s">
        <v>1179</v>
      </c>
      <c r="BB9" s="55">
        <f t="shared" si="0"/>
        <v>1945.63</v>
      </c>
      <c r="BC9" s="15" t="s">
        <v>1392</v>
      </c>
      <c r="BD9" s="15">
        <v>80</v>
      </c>
      <c r="BE9" s="15" t="s">
        <v>1390</v>
      </c>
      <c r="BF9" s="15">
        <f>BF16</f>
        <v>420</v>
      </c>
      <c r="BG9" s="48" t="s">
        <v>1179</v>
      </c>
      <c r="BH9" s="80">
        <v>2242.74</v>
      </c>
      <c r="BI9" s="42" t="s">
        <v>1329</v>
      </c>
      <c r="BJ9" s="42">
        <v>63.86</v>
      </c>
      <c r="BK9" s="42" t="s">
        <v>1390</v>
      </c>
      <c r="BL9" s="42">
        <f>BL16</f>
        <v>459</v>
      </c>
      <c r="BM9" s="48" t="s">
        <v>1179</v>
      </c>
      <c r="BN9" s="80">
        <v>2242.85</v>
      </c>
      <c r="BO9" s="42" t="s">
        <v>1329</v>
      </c>
      <c r="BP9" s="42">
        <v>52</v>
      </c>
      <c r="BQ9" s="42" t="s">
        <v>1390</v>
      </c>
      <c r="BR9" s="42" t="str">
        <f>BR16</f>
        <v>none</v>
      </c>
      <c r="BS9" s="48" t="s">
        <v>1179</v>
      </c>
      <c r="BT9" s="94">
        <v>2290</v>
      </c>
      <c r="BU9" s="42" t="s">
        <v>1329</v>
      </c>
      <c r="BV9" s="42">
        <v>30</v>
      </c>
      <c r="BW9" s="42" t="s">
        <v>1390</v>
      </c>
      <c r="BX9" s="42">
        <f>BX16</f>
        <v>1476</v>
      </c>
      <c r="BY9" s="48" t="s">
        <v>1179</v>
      </c>
      <c r="BZ9" s="56">
        <v>2290.09</v>
      </c>
      <c r="CA9" s="42" t="s">
        <v>1329</v>
      </c>
      <c r="CB9" s="42">
        <v>67</v>
      </c>
      <c r="CC9" s="42" t="s">
        <v>1390</v>
      </c>
      <c r="CD9" s="42" t="str">
        <f>CD16</f>
        <v>none</v>
      </c>
      <c r="CE9" s="48" t="s">
        <v>1179</v>
      </c>
      <c r="CF9" s="56">
        <v>2290</v>
      </c>
      <c r="CI9" s="42" t="s">
        <v>1390</v>
      </c>
      <c r="CJ9" s="42">
        <f>CJ17</f>
        <v>0</v>
      </c>
      <c r="CK9" s="48" t="s">
        <v>1179</v>
      </c>
      <c r="CL9" s="56">
        <v>2290</v>
      </c>
      <c r="CO9" s="42" t="s">
        <v>1390</v>
      </c>
      <c r="CP9" s="42" t="str">
        <f>CP16</f>
        <v>none</v>
      </c>
      <c r="CQ9" s="48" t="s">
        <v>1179</v>
      </c>
      <c r="CR9" s="56">
        <v>2090</v>
      </c>
      <c r="CU9" s="42" t="s">
        <v>1390</v>
      </c>
      <c r="CV9" s="42">
        <f>SUM(CV16)</f>
        <v>0</v>
      </c>
      <c r="CW9" s="65" t="s">
        <v>1393</v>
      </c>
      <c r="CX9" s="57">
        <v>3000</v>
      </c>
      <c r="DA9" s="88" t="s">
        <v>1394</v>
      </c>
      <c r="DB9" s="42">
        <f>SUM(DB18:DB24)</f>
        <v>428.57</v>
      </c>
      <c r="DC9" s="48" t="s">
        <v>1179</v>
      </c>
      <c r="DD9" s="117">
        <v>2090</v>
      </c>
      <c r="DE9" s="42" t="s">
        <v>1395</v>
      </c>
      <c r="DF9" s="42">
        <v>76</v>
      </c>
      <c r="DG9" s="88" t="s">
        <v>1394</v>
      </c>
      <c r="DH9" s="44">
        <f>SUM(DH29:DH35)</f>
        <v>808.02</v>
      </c>
      <c r="DI9" s="48" t="s">
        <v>1179</v>
      </c>
      <c r="DJ9" s="57">
        <v>2140.8</v>
      </c>
      <c r="DK9" s="42" t="s">
        <v>1396</v>
      </c>
      <c r="DL9" s="42">
        <v>100</v>
      </c>
      <c r="DM9" s="88" t="s">
        <v>1397</v>
      </c>
      <c r="DN9" s="44">
        <f>SUM(DN24:DN30)</f>
        <v>512.1</v>
      </c>
      <c r="DO9" s="22" t="s">
        <v>1271</v>
      </c>
      <c r="DP9" s="55"/>
      <c r="DS9" s="116" t="s">
        <v>1331</v>
      </c>
      <c r="DT9" s="44">
        <f>SUM(DT50:DT50)</f>
        <v>0</v>
      </c>
      <c r="DU9" s="22" t="s">
        <v>1332</v>
      </c>
      <c r="DV9" s="55">
        <v>-2372</v>
      </c>
      <c r="DY9" s="66" t="s">
        <v>1397</v>
      </c>
      <c r="DZ9" s="15">
        <f>SUM(DZ15:DZ21)</f>
        <v>416.05</v>
      </c>
      <c r="EA9" s="22" t="s">
        <v>199</v>
      </c>
      <c r="EB9" s="22">
        <v>0</v>
      </c>
      <c r="EC9" s="15" t="s">
        <v>1340</v>
      </c>
      <c r="EE9" s="66" t="s">
        <v>1397</v>
      </c>
      <c r="EF9" s="15">
        <f>SUM(EF15:EF21)</f>
        <v>557.96</v>
      </c>
      <c r="EH9" s="48" t="s">
        <v>1398</v>
      </c>
      <c r="EI9" s="15">
        <v>160</v>
      </c>
      <c r="EL9" s="66" t="s">
        <v>1399</v>
      </c>
      <c r="EM9" s="15">
        <f>SUM(EM16:EM23)</f>
        <v>437.86</v>
      </c>
      <c r="EN9" s="48" t="s">
        <v>1398</v>
      </c>
      <c r="EO9" s="15">
        <v>70</v>
      </c>
      <c r="EP9" s="15" t="s">
        <v>1340</v>
      </c>
      <c r="ER9" s="161" t="s">
        <v>1334</v>
      </c>
      <c r="ES9" s="15">
        <f>SUM(ES14:ES15)</f>
        <v>1743.4</v>
      </c>
      <c r="ET9" s="48" t="s">
        <v>1398</v>
      </c>
      <c r="EU9" s="15">
        <v>260</v>
      </c>
      <c r="EV9" s="15" t="s">
        <v>1340</v>
      </c>
      <c r="EX9" s="161" t="s">
        <v>1334</v>
      </c>
      <c r="EY9" s="15">
        <f>SUM(EY14:EY14)</f>
        <v>481.5</v>
      </c>
      <c r="EZ9" s="48" t="s">
        <v>1398</v>
      </c>
      <c r="FA9" s="15">
        <v>200</v>
      </c>
      <c r="FB9" s="15" t="s">
        <v>1340</v>
      </c>
      <c r="FD9" s="161" t="s">
        <v>1334</v>
      </c>
      <c r="FE9" s="15">
        <f>SUM(FE13:FE15)</f>
        <v>1754.25</v>
      </c>
      <c r="FF9" s="48" t="s">
        <v>1398</v>
      </c>
      <c r="FG9" s="15">
        <v>220</v>
      </c>
      <c r="FJ9" s="161" t="s">
        <v>1334</v>
      </c>
      <c r="FK9" s="15">
        <f>SUM(FK13:FK14)</f>
        <v>35.32</v>
      </c>
      <c r="FL9" s="63" t="s">
        <v>1215</v>
      </c>
      <c r="FM9" s="61">
        <v>0</v>
      </c>
      <c r="FN9" s="614" t="s">
        <v>1216</v>
      </c>
      <c r="FP9" s="162" t="s">
        <v>1335</v>
      </c>
      <c r="FQ9" s="15">
        <f>SUM(FQ26:FQ36)</f>
        <v>464.3</v>
      </c>
      <c r="FR9" s="15" t="s">
        <v>1275</v>
      </c>
      <c r="FS9" s="61">
        <f>223+1168</f>
        <v>1391</v>
      </c>
      <c r="FT9" s="15" t="s">
        <v>1400</v>
      </c>
      <c r="FU9" s="15">
        <v>230</v>
      </c>
      <c r="FV9" s="162" t="s">
        <v>1335</v>
      </c>
      <c r="FW9" s="15">
        <f>SUM(FW26:FW29)</f>
        <v>167.3</v>
      </c>
      <c r="FX9" s="48" t="s">
        <v>1153</v>
      </c>
      <c r="FY9" s="173">
        <v>27.53</v>
      </c>
      <c r="FZ9" s="15" t="s">
        <v>1401</v>
      </c>
      <c r="GA9" s="18">
        <v>338</v>
      </c>
      <c r="GB9" s="168" t="s">
        <v>1274</v>
      </c>
      <c r="GC9" s="15">
        <f>SUM(GC19:GC27)</f>
        <v>540.85</v>
      </c>
      <c r="GD9" s="48" t="s">
        <v>1153</v>
      </c>
      <c r="GE9" s="173">
        <v>27.53</v>
      </c>
      <c r="GF9" s="15" t="s">
        <v>1279</v>
      </c>
      <c r="GH9" s="168" t="s">
        <v>1274</v>
      </c>
      <c r="GI9" s="15">
        <f>SUM(GI19:GI28)</f>
        <v>548.71</v>
      </c>
      <c r="GJ9" s="61" t="s">
        <v>1193</v>
      </c>
      <c r="GK9" s="173">
        <v>30</v>
      </c>
      <c r="GL9" s="15" t="s">
        <v>1402</v>
      </c>
      <c r="GM9" s="15">
        <v>1000.01</v>
      </c>
      <c r="GN9" s="168" t="s">
        <v>1274</v>
      </c>
      <c r="GO9" s="15">
        <f>SUM(GO20:GO28)</f>
        <v>454.8</v>
      </c>
      <c r="GP9" s="61" t="s">
        <v>1193</v>
      </c>
      <c r="GQ9" s="173">
        <v>30</v>
      </c>
      <c r="GT9" s="168" t="s">
        <v>1274</v>
      </c>
      <c r="GU9" s="15">
        <f>SUM(GU18:GU25)</f>
        <v>427.03</v>
      </c>
      <c r="GV9" s="61" t="s">
        <v>1193</v>
      </c>
      <c r="GW9" s="173">
        <v>30</v>
      </c>
      <c r="GX9" s="15" t="s">
        <v>1272</v>
      </c>
      <c r="GY9" s="15">
        <f>53.57+3.21</f>
        <v>56.78</v>
      </c>
      <c r="GZ9" s="162" t="s">
        <v>1335</v>
      </c>
      <c r="HA9" s="15">
        <f>SUM(HA25:HA39)</f>
        <v>1242.31</v>
      </c>
      <c r="HB9" s="61" t="s">
        <v>1338</v>
      </c>
      <c r="HC9" s="173">
        <v>38</v>
      </c>
      <c r="HD9" s="15" t="s">
        <v>1403</v>
      </c>
      <c r="HE9" s="15">
        <f>63.92+6.4</f>
        <v>70.32</v>
      </c>
      <c r="HF9" s="168" t="s">
        <v>1274</v>
      </c>
      <c r="HG9" s="186">
        <f>SUM(HG20:HG27)</f>
        <v>957.346666666667</v>
      </c>
      <c r="HH9" s="61" t="s">
        <v>1193</v>
      </c>
      <c r="HI9" s="173">
        <v>30</v>
      </c>
      <c r="HJ9" s="69" t="s">
        <v>1404</v>
      </c>
      <c r="HK9" s="15">
        <f>86</f>
        <v>86</v>
      </c>
      <c r="HL9" s="72" t="s">
        <v>1405</v>
      </c>
      <c r="HM9" s="186">
        <f>HM10*5</f>
        <v>2104.93333333333</v>
      </c>
      <c r="HN9" s="61" t="s">
        <v>1338</v>
      </c>
      <c r="HO9" s="173">
        <v>0</v>
      </c>
      <c r="HP9" s="69" t="s">
        <v>1406</v>
      </c>
      <c r="HQ9" s="15">
        <v>75.06</v>
      </c>
      <c r="HR9" s="72" t="s">
        <v>1407</v>
      </c>
      <c r="HS9" s="15">
        <v>100</v>
      </c>
      <c r="HT9" s="61" t="s">
        <v>1338</v>
      </c>
      <c r="HU9" s="173">
        <v>0</v>
      </c>
      <c r="HV9" s="15" t="s">
        <v>1408</v>
      </c>
      <c r="HW9" s="18">
        <v>2.03</v>
      </c>
      <c r="HX9" s="163" t="s">
        <v>1409</v>
      </c>
      <c r="HY9" s="15">
        <v>535</v>
      </c>
      <c r="HZ9" s="61" t="s">
        <v>1193</v>
      </c>
      <c r="IA9" s="173">
        <v>14.67</v>
      </c>
      <c r="IB9" s="15" t="s">
        <v>1188</v>
      </c>
      <c r="IC9" s="219">
        <v>50</v>
      </c>
      <c r="ID9" s="163" t="s">
        <v>1410</v>
      </c>
      <c r="IE9" s="15">
        <v>32.1</v>
      </c>
      <c r="IF9" s="63" t="s">
        <v>1120</v>
      </c>
      <c r="IG9" s="43">
        <v>817</v>
      </c>
      <c r="IH9" s="15" t="s">
        <v>1411</v>
      </c>
      <c r="IJ9" s="239" t="s">
        <v>1412</v>
      </c>
      <c r="IK9" s="166">
        <f>6+5+3+10+7</f>
        <v>31</v>
      </c>
      <c r="IL9" s="48" t="s">
        <v>1153</v>
      </c>
      <c r="IM9" s="193">
        <v>0.08</v>
      </c>
      <c r="IN9" s="15" t="s">
        <v>1413</v>
      </c>
      <c r="IO9" s="15">
        <f>9.9+76.9</f>
        <v>86.8</v>
      </c>
      <c r="IP9" s="169" t="s">
        <v>1414</v>
      </c>
      <c r="IQ9" s="41">
        <v>2000</v>
      </c>
      <c r="IR9" s="61" t="s">
        <v>1415</v>
      </c>
      <c r="IS9" s="173">
        <v>116</v>
      </c>
      <c r="IU9" s="219"/>
      <c r="IV9" s="169" t="s">
        <v>1416</v>
      </c>
      <c r="IW9" s="41">
        <v>2000</v>
      </c>
      <c r="IX9" s="77" t="s">
        <v>1352</v>
      </c>
      <c r="IY9" s="43">
        <f>100*(120+1000+330+310)</f>
        <v>176000</v>
      </c>
      <c r="IZ9" s="15" t="s">
        <v>1417</v>
      </c>
      <c r="JA9" s="219">
        <f>544.23-533.02</f>
        <v>11.21</v>
      </c>
      <c r="JB9" s="179" t="s">
        <v>1418</v>
      </c>
      <c r="JC9" s="41">
        <v>600</v>
      </c>
      <c r="JD9" s="77" t="s">
        <v>1352</v>
      </c>
      <c r="JE9" s="43">
        <f>100*(120+1000+330+310)</f>
        <v>176000</v>
      </c>
      <c r="JF9" s="244" t="s">
        <v>1419</v>
      </c>
      <c r="JH9" s="163" t="s">
        <v>1298</v>
      </c>
      <c r="JI9" s="41">
        <v>1954.8</v>
      </c>
      <c r="JJ9" s="77" t="s">
        <v>1352</v>
      </c>
      <c r="JK9" s="43">
        <f>100*(120+1000+330+310)</f>
        <v>176000</v>
      </c>
      <c r="JL9" s="15" t="s">
        <v>1420</v>
      </c>
      <c r="JM9" s="15">
        <v>4.09</v>
      </c>
      <c r="JN9" s="179" t="s">
        <v>1421</v>
      </c>
      <c r="JO9" s="41">
        <v>127.14</v>
      </c>
      <c r="JP9" s="15" t="s">
        <v>1293</v>
      </c>
      <c r="JQ9" s="43">
        <v>515008</v>
      </c>
      <c r="JR9" s="244" t="s">
        <v>1422</v>
      </c>
      <c r="JS9" s="15">
        <v>2.33</v>
      </c>
      <c r="JT9" s="163" t="s">
        <v>1423</v>
      </c>
      <c r="JU9" s="41">
        <v>10</v>
      </c>
      <c r="JV9" s="61" t="s">
        <v>1424</v>
      </c>
      <c r="JW9" s="56">
        <v>0</v>
      </c>
      <c r="JY9" s="234"/>
      <c r="JZ9" s="255" t="s">
        <v>1226</v>
      </c>
      <c r="KA9" s="15">
        <v>1900.08</v>
      </c>
      <c r="KB9" s="48" t="s">
        <v>1290</v>
      </c>
      <c r="KC9" s="193">
        <v>0</v>
      </c>
      <c r="KD9" s="15" t="s">
        <v>1425</v>
      </c>
      <c r="KE9" s="219">
        <f>-(136363-KG10)</f>
        <v>-136169.61</v>
      </c>
      <c r="KF9" s="72" t="s">
        <v>1426</v>
      </c>
      <c r="KG9" s="219">
        <v>281.16</v>
      </c>
      <c r="KH9" s="15" t="s">
        <v>1427</v>
      </c>
      <c r="KI9" s="219">
        <v>4053</v>
      </c>
      <c r="KJ9" s="65" t="s">
        <v>1428</v>
      </c>
      <c r="KK9" s="38">
        <v>1.77</v>
      </c>
      <c r="KL9" s="163" t="s">
        <v>1429</v>
      </c>
      <c r="KM9" s="15">
        <v>79.72</v>
      </c>
      <c r="KN9" s="261" t="s">
        <v>1246</v>
      </c>
      <c r="KO9" s="300">
        <f>SUM(KN5:KN8)</f>
        <v>197000</v>
      </c>
      <c r="KP9" s="15" t="s">
        <v>1430</v>
      </c>
      <c r="KQ9" s="38">
        <f>72.67+1.57</f>
        <v>74.24</v>
      </c>
      <c r="KR9" s="163" t="s">
        <v>1431</v>
      </c>
      <c r="KS9" s="15">
        <v>487</v>
      </c>
      <c r="KT9" s="298">
        <v>20000</v>
      </c>
      <c r="KU9" s="299">
        <v>45412</v>
      </c>
      <c r="KV9" s="61" t="s">
        <v>1432</v>
      </c>
      <c r="KW9" s="241">
        <v>3129.11</v>
      </c>
      <c r="KX9" s="163" t="s">
        <v>1298</v>
      </c>
      <c r="KY9" s="41">
        <v>993.6</v>
      </c>
      <c r="KZ9" s="15" t="s">
        <v>1363</v>
      </c>
      <c r="LA9" s="43">
        <v>-119500</v>
      </c>
      <c r="LB9" s="15" t="s">
        <v>1430</v>
      </c>
      <c r="LC9" s="38">
        <v>61.001</v>
      </c>
      <c r="LD9" s="184" t="s">
        <v>1226</v>
      </c>
      <c r="LE9" s="186">
        <f>1900.01</f>
        <v>1900.01</v>
      </c>
      <c r="LF9" s="48" t="s">
        <v>1433</v>
      </c>
      <c r="LG9" s="94">
        <v>-82000</v>
      </c>
      <c r="LH9" s="65" t="s">
        <v>1434</v>
      </c>
      <c r="LI9" s="306">
        <v>3.4</v>
      </c>
      <c r="LJ9" s="292" t="s">
        <v>1435</v>
      </c>
      <c r="LK9" s="186">
        <v>378.81</v>
      </c>
      <c r="LL9" s="48" t="s">
        <v>1433</v>
      </c>
      <c r="LM9" s="94">
        <v>-88000</v>
      </c>
      <c r="LO9" s="219"/>
      <c r="LP9" s="184" t="s">
        <v>1436</v>
      </c>
      <c r="LQ9" s="41">
        <v>4000.04</v>
      </c>
      <c r="LR9" s="15" t="s">
        <v>1368</v>
      </c>
      <c r="LS9" s="43">
        <v>-131103</v>
      </c>
      <c r="LT9" s="15" t="s">
        <v>1374</v>
      </c>
      <c r="LU9" s="38">
        <v>65</v>
      </c>
      <c r="LV9" s="184" t="s">
        <v>1437</v>
      </c>
      <c r="LW9" s="41">
        <v>39000.01</v>
      </c>
      <c r="LX9" s="63" t="s">
        <v>1241</v>
      </c>
      <c r="LY9" s="43">
        <v>-4000</v>
      </c>
      <c r="LZ9" s="15" t="s">
        <v>1374</v>
      </c>
      <c r="MA9" s="38">
        <v>71</v>
      </c>
      <c r="MB9" s="163" t="s">
        <v>1438</v>
      </c>
      <c r="MC9" s="57">
        <v>197.12</v>
      </c>
      <c r="MD9" s="63" t="s">
        <v>1439</v>
      </c>
      <c r="ME9" s="43">
        <v>150001</v>
      </c>
      <c r="MF9" s="61" t="s">
        <v>1440</v>
      </c>
      <c r="MG9" s="41">
        <v>1154.001</v>
      </c>
      <c r="MH9" s="114" t="s">
        <v>1441</v>
      </c>
      <c r="MI9" s="41">
        <v>2000.05</v>
      </c>
      <c r="MJ9" s="63" t="s">
        <v>1310</v>
      </c>
      <c r="MK9" s="240">
        <v>50000</v>
      </c>
      <c r="ML9" s="61" t="s">
        <v>1442</v>
      </c>
      <c r="MM9" s="38">
        <v>46.01</v>
      </c>
      <c r="MN9" s="15" t="s">
        <v>1443</v>
      </c>
      <c r="MO9" s="104">
        <v>1476</v>
      </c>
      <c r="MP9" s="63" t="s">
        <v>1310</v>
      </c>
      <c r="MQ9" s="240">
        <v>0</v>
      </c>
      <c r="MR9" s="61"/>
      <c r="MS9" s="119"/>
      <c r="MT9" s="163" t="s">
        <v>1309</v>
      </c>
      <c r="MU9" s="41">
        <f>1000+500</f>
        <v>1500</v>
      </c>
      <c r="MV9" s="63" t="s">
        <v>1370</v>
      </c>
      <c r="MW9" s="240">
        <v>50000</v>
      </c>
      <c r="MX9" s="61"/>
      <c r="MY9" s="119"/>
      <c r="MZ9" s="301" t="s">
        <v>1444</v>
      </c>
      <c r="NA9" s="15">
        <v>30.68</v>
      </c>
      <c r="NB9" s="261" t="s">
        <v>1251</v>
      </c>
      <c r="NC9" s="300">
        <v>0</v>
      </c>
      <c r="ND9" s="15" t="s">
        <v>1259</v>
      </c>
      <c r="NF9" s="151" t="s">
        <v>1445</v>
      </c>
      <c r="NG9" s="41">
        <v>42.12</v>
      </c>
      <c r="NH9" s="48" t="s">
        <v>1262</v>
      </c>
      <c r="NI9" s="94">
        <v>-92000</v>
      </c>
      <c r="NJ9" s="15" t="s">
        <v>1446</v>
      </c>
      <c r="NK9" s="38">
        <f>53.001</f>
        <v>53.001</v>
      </c>
      <c r="NL9" s="151" t="s">
        <v>1445</v>
      </c>
      <c r="NM9" s="41">
        <v>65.8</v>
      </c>
      <c r="NN9" s="336" t="s">
        <v>1205</v>
      </c>
      <c r="NO9" s="300">
        <v>50000</v>
      </c>
      <c r="NP9" s="61"/>
      <c r="NR9" s="163" t="s">
        <v>1447</v>
      </c>
      <c r="NS9" s="41">
        <v>72000</v>
      </c>
      <c r="NT9" s="48" t="s">
        <v>1262</v>
      </c>
      <c r="NU9" s="94">
        <v>-100000</v>
      </c>
      <c r="NV9" s="61" t="s">
        <v>1448</v>
      </c>
      <c r="NW9" s="119">
        <v>49.9</v>
      </c>
      <c r="NX9" s="335" t="s">
        <v>1449</v>
      </c>
      <c r="NY9" s="41">
        <v>4</v>
      </c>
      <c r="NZ9" s="63" t="s">
        <v>1324</v>
      </c>
      <c r="OA9" s="43">
        <v>206001</v>
      </c>
      <c r="OB9" s="61"/>
      <c r="OC9" s="119"/>
      <c r="OD9" s="163" t="s">
        <v>1450</v>
      </c>
      <c r="OE9" s="18">
        <v>60774.55</v>
      </c>
      <c r="OF9" s="63" t="s">
        <v>1451</v>
      </c>
      <c r="OG9" s="43">
        <v>0</v>
      </c>
      <c r="OH9" s="347">
        <v>45667</v>
      </c>
      <c r="OI9" s="43"/>
    </row>
    <row r="10" spans="1:399">
      <c r="A10" s="48" t="s">
        <v>618</v>
      </c>
      <c r="B10" s="56">
        <v>200.001</v>
      </c>
      <c r="G10" s="48" t="s">
        <v>618</v>
      </c>
      <c r="H10" s="56">
        <v>200.001</v>
      </c>
      <c r="K10" s="15" t="s">
        <v>1452</v>
      </c>
      <c r="L10" s="15">
        <f>SUM(L33:L36)</f>
        <v>2119</v>
      </c>
      <c r="M10" s="48" t="s">
        <v>1453</v>
      </c>
      <c r="N10" s="57">
        <v>1001</v>
      </c>
      <c r="O10" s="15" t="s">
        <v>1267</v>
      </c>
      <c r="Q10" s="15" t="s">
        <v>1390</v>
      </c>
      <c r="S10" s="48" t="s">
        <v>1453</v>
      </c>
      <c r="T10" s="57">
        <v>1001</v>
      </c>
      <c r="U10" s="15" t="s">
        <v>1267</v>
      </c>
      <c r="W10" s="15" t="s">
        <v>1390</v>
      </c>
      <c r="X10" s="15">
        <f>SUM(X16:X19)</f>
        <v>288.75</v>
      </c>
      <c r="Y10" s="48" t="s">
        <v>1453</v>
      </c>
      <c r="Z10" s="57">
        <v>1001</v>
      </c>
      <c r="AA10" s="15" t="s">
        <v>1267</v>
      </c>
      <c r="AC10" s="15" t="s">
        <v>1454</v>
      </c>
      <c r="AD10" s="15">
        <v>0</v>
      </c>
      <c r="AE10" s="65" t="s">
        <v>1455</v>
      </c>
      <c r="AF10" s="56">
        <v>4985</v>
      </c>
      <c r="AG10" s="15" t="s">
        <v>1267</v>
      </c>
      <c r="AI10" s="15" t="s">
        <v>1454</v>
      </c>
      <c r="AJ10" s="15">
        <f>AJ24</f>
        <v>30</v>
      </c>
      <c r="AK10" s="65" t="s">
        <v>1455</v>
      </c>
      <c r="AL10" s="56">
        <v>5000</v>
      </c>
      <c r="AO10" s="15" t="s">
        <v>1454</v>
      </c>
      <c r="AP10" s="15">
        <f>SUM(AP33:AP44)</f>
        <v>1111.54</v>
      </c>
      <c r="AQ10" s="65" t="s">
        <v>1455</v>
      </c>
      <c r="AR10" s="56">
        <v>4000</v>
      </c>
      <c r="AS10" s="15" t="s">
        <v>1456</v>
      </c>
      <c r="AU10" s="15" t="s">
        <v>1454</v>
      </c>
      <c r="AV10" s="15">
        <f>SUM(AV33)</f>
        <v>24</v>
      </c>
      <c r="AW10" s="65" t="s">
        <v>1455</v>
      </c>
      <c r="AX10" s="56">
        <v>4000</v>
      </c>
      <c r="BA10" s="65" t="s">
        <v>1455</v>
      </c>
      <c r="BB10" s="55">
        <f t="shared" si="0"/>
        <v>4000</v>
      </c>
      <c r="BC10" s="15" t="s">
        <v>1456</v>
      </c>
      <c r="BE10" s="15" t="s">
        <v>1457</v>
      </c>
      <c r="BF10" s="15">
        <f>SUM(BF30:BF35)</f>
        <v>246.62</v>
      </c>
      <c r="BG10" s="65" t="s">
        <v>1455</v>
      </c>
      <c r="BH10" s="56">
        <v>4000</v>
      </c>
      <c r="BI10" s="42" t="s">
        <v>1456</v>
      </c>
      <c r="BK10" s="42" t="s">
        <v>1457</v>
      </c>
      <c r="BL10" s="42">
        <f>SUM(BL30:BL32)</f>
        <v>63.9</v>
      </c>
      <c r="BM10" s="65" t="s">
        <v>1455</v>
      </c>
      <c r="BN10" s="56">
        <v>4000</v>
      </c>
      <c r="BO10" s="42" t="s">
        <v>1456</v>
      </c>
      <c r="BQ10" s="42" t="s">
        <v>1457</v>
      </c>
      <c r="BR10" s="42">
        <f>SUM(BR30:BR31)</f>
        <v>20</v>
      </c>
      <c r="BS10" s="65" t="s">
        <v>1455</v>
      </c>
      <c r="BT10" s="91">
        <v>66</v>
      </c>
      <c r="BU10" s="42" t="s">
        <v>1456</v>
      </c>
      <c r="BW10" s="42" t="s">
        <v>1457</v>
      </c>
      <c r="BX10" s="42">
        <f>SUM(BX30:BX32)</f>
        <v>44.8</v>
      </c>
      <c r="BY10" s="69" t="s">
        <v>1458</v>
      </c>
      <c r="BZ10" s="57"/>
      <c r="CC10" s="42" t="s">
        <v>1457</v>
      </c>
      <c r="CD10" s="42">
        <f>SUM(CD30:CD33)</f>
        <v>295.55</v>
      </c>
      <c r="CE10" s="69" t="s">
        <v>1459</v>
      </c>
      <c r="CF10" s="57"/>
      <c r="CG10" s="42" t="s">
        <v>1456</v>
      </c>
      <c r="CI10" s="42" t="s">
        <v>1457</v>
      </c>
      <c r="CJ10" s="42">
        <f>SUM(CJ30:CJ33)</f>
        <v>96.6</v>
      </c>
      <c r="CK10" s="48" t="s">
        <v>1453</v>
      </c>
      <c r="CL10" s="57">
        <v>1003</v>
      </c>
      <c r="CM10" s="42" t="s">
        <v>1456</v>
      </c>
      <c r="CO10" s="42" t="s">
        <v>1457</v>
      </c>
      <c r="CP10" s="42">
        <f>SUM(CP28:CP30)</f>
        <v>136</v>
      </c>
      <c r="CQ10" s="65" t="s">
        <v>1393</v>
      </c>
      <c r="CR10" s="56">
        <v>12000</v>
      </c>
      <c r="CS10" s="42" t="s">
        <v>1456</v>
      </c>
      <c r="CU10" s="42" t="s">
        <v>1457</v>
      </c>
      <c r="CV10" s="42">
        <f>SUM(CV26:CV31)</f>
        <v>276.49</v>
      </c>
      <c r="CW10" s="48" t="s">
        <v>1460</v>
      </c>
      <c r="CX10" s="57">
        <v>10</v>
      </c>
      <c r="CY10" s="42" t="s">
        <v>1456</v>
      </c>
      <c r="DA10" s="118" t="s">
        <v>1457</v>
      </c>
      <c r="DB10" s="42">
        <f>SUM(DB25:DB30)</f>
        <v>661.82</v>
      </c>
      <c r="DC10" s="65" t="s">
        <v>1215</v>
      </c>
      <c r="DD10" s="117">
        <v>5000</v>
      </c>
      <c r="DG10" s="118" t="s">
        <v>1457</v>
      </c>
      <c r="DH10" s="44">
        <f>SUM(DH36:DH44)</f>
        <v>459.97</v>
      </c>
      <c r="DI10" s="65" t="s">
        <v>1215</v>
      </c>
      <c r="DJ10" s="57">
        <v>15007</v>
      </c>
      <c r="DM10" s="118" t="s">
        <v>1461</v>
      </c>
      <c r="DN10" s="44">
        <f>SUM(DN31:DN35)</f>
        <v>77.37</v>
      </c>
      <c r="DO10" s="22" t="s">
        <v>1462</v>
      </c>
      <c r="DP10" s="55">
        <v>-2524</v>
      </c>
      <c r="DS10" s="88" t="s">
        <v>1397</v>
      </c>
      <c r="DT10" s="44">
        <f>SUM(DT19:DT27)</f>
        <v>10919.66</v>
      </c>
      <c r="DU10" s="22" t="s">
        <v>199</v>
      </c>
      <c r="DV10" s="55">
        <v>0</v>
      </c>
      <c r="DW10" s="15" t="s">
        <v>1340</v>
      </c>
      <c r="DY10" s="151" t="s">
        <v>1463</v>
      </c>
      <c r="DZ10" s="15">
        <f>SUM(DZ23:DZ24)</f>
        <v>45.1</v>
      </c>
      <c r="EA10" s="22" t="s">
        <v>1464</v>
      </c>
      <c r="EB10" s="22">
        <v>0.001</v>
      </c>
      <c r="EC10" s="15" t="s">
        <v>1465</v>
      </c>
      <c r="ED10" s="15">
        <v>1.1</v>
      </c>
      <c r="EE10" s="151" t="s">
        <v>1463</v>
      </c>
      <c r="EF10" s="15">
        <f>SUM(EF22:EF22)</f>
        <v>10</v>
      </c>
      <c r="EH10" s="15" t="s">
        <v>1466</v>
      </c>
      <c r="EI10" s="43">
        <v>-20000</v>
      </c>
      <c r="EJ10" s="614" t="s">
        <v>1216</v>
      </c>
      <c r="EL10" s="162" t="s">
        <v>1467</v>
      </c>
      <c r="EM10" s="15">
        <f>SUM(EM24:EM27)</f>
        <v>151.75</v>
      </c>
      <c r="EN10" s="15" t="s">
        <v>1466</v>
      </c>
      <c r="EO10" s="43">
        <v>-20000</v>
      </c>
      <c r="EP10" s="15" t="s">
        <v>1468</v>
      </c>
      <c r="EQ10" s="15">
        <v>12.26</v>
      </c>
      <c r="ER10" s="160" t="s">
        <v>1268</v>
      </c>
      <c r="ES10" s="15">
        <f>SUM(ES13:ES13)</f>
        <v>0</v>
      </c>
      <c r="ET10" s="15" t="s">
        <v>1466</v>
      </c>
      <c r="EU10" s="43">
        <v>-20000</v>
      </c>
      <c r="EX10" s="160" t="s">
        <v>1268</v>
      </c>
      <c r="EY10" s="15">
        <f>SUM(EY13:EY13)</f>
        <v>0</v>
      </c>
      <c r="EZ10" s="15" t="s">
        <v>1466</v>
      </c>
      <c r="FA10" s="43">
        <v>-20000</v>
      </c>
      <c r="FB10" s="15" t="s">
        <v>1469</v>
      </c>
      <c r="FC10" s="15">
        <v>10.001</v>
      </c>
      <c r="FD10" s="160" t="s">
        <v>1268</v>
      </c>
      <c r="FE10" s="15">
        <f>SUM(FE12:FE12)</f>
        <v>5.73</v>
      </c>
      <c r="FF10" s="15" t="s">
        <v>1466</v>
      </c>
      <c r="FG10" s="43">
        <v>-20000</v>
      </c>
      <c r="FH10" s="15" t="s">
        <v>1340</v>
      </c>
      <c r="FJ10" s="160" t="s">
        <v>1268</v>
      </c>
      <c r="FK10" s="15">
        <f>SUM(FK12:FK12)</f>
        <v>288.75</v>
      </c>
      <c r="FL10" s="48" t="s">
        <v>1398</v>
      </c>
      <c r="FM10" s="15">
        <v>80</v>
      </c>
      <c r="FN10" s="15" t="s">
        <v>1272</v>
      </c>
      <c r="FO10" s="15">
        <f>51.7+4.8+1.85</f>
        <v>58.35</v>
      </c>
      <c r="FP10" s="161" t="s">
        <v>1334</v>
      </c>
      <c r="FQ10" s="15">
        <f>SUM(FQ16:FQ17)</f>
        <v>2165.7</v>
      </c>
      <c r="FR10" s="63" t="s">
        <v>1215</v>
      </c>
      <c r="FS10" s="61">
        <v>0</v>
      </c>
      <c r="FV10" s="161" t="s">
        <v>1334</v>
      </c>
      <c r="FW10" s="15">
        <f>SUM(FW17:FW17)</f>
        <v>29.62</v>
      </c>
      <c r="FX10" s="61" t="s">
        <v>1470</v>
      </c>
      <c r="FY10" s="15">
        <v>2498</v>
      </c>
      <c r="FZ10" s="164" t="s">
        <v>1471</v>
      </c>
      <c r="GA10" s="15">
        <v>100</v>
      </c>
      <c r="GB10" s="162" t="s">
        <v>1335</v>
      </c>
      <c r="GC10" s="15">
        <f>SUM(GC28:GC32)</f>
        <v>183.9</v>
      </c>
      <c r="GD10" s="61" t="s">
        <v>1470</v>
      </c>
      <c r="GE10" s="15">
        <v>2498</v>
      </c>
      <c r="GF10" s="15" t="s">
        <v>1472</v>
      </c>
      <c r="GG10" s="15">
        <v>110</v>
      </c>
      <c r="GH10" s="162" t="s">
        <v>1335</v>
      </c>
      <c r="GI10" s="15">
        <f>SUM(GI29:GI31)</f>
        <v>152.62</v>
      </c>
      <c r="GJ10" s="48" t="s">
        <v>1153</v>
      </c>
      <c r="GK10" s="173">
        <v>5.001</v>
      </c>
      <c r="GN10" s="162" t="s">
        <v>1335</v>
      </c>
      <c r="GO10" s="15">
        <f>SUM(GO29:GO42)</f>
        <v>475.86</v>
      </c>
      <c r="GP10" s="48" t="s">
        <v>1153</v>
      </c>
      <c r="GQ10" s="173">
        <v>0.53</v>
      </c>
      <c r="GR10" s="15" t="s">
        <v>1279</v>
      </c>
      <c r="GT10" s="162" t="s">
        <v>1335</v>
      </c>
      <c r="GU10" s="15">
        <f>SUM(GU26:GU32)</f>
        <v>196.22</v>
      </c>
      <c r="GV10" s="48" t="s">
        <v>1153</v>
      </c>
      <c r="GW10" s="173">
        <v>0.04</v>
      </c>
      <c r="GX10" s="15" t="s">
        <v>1473</v>
      </c>
      <c r="GY10" s="15">
        <v>50</v>
      </c>
      <c r="GZ10" s="161" t="s">
        <v>1334</v>
      </c>
      <c r="HA10" s="15">
        <f>SUM(HA15:HA17)</f>
        <v>2381.65</v>
      </c>
      <c r="HB10" s="61" t="s">
        <v>1193</v>
      </c>
      <c r="HC10" s="173">
        <v>30</v>
      </c>
      <c r="HF10" s="162" t="s">
        <v>1335</v>
      </c>
      <c r="HG10" s="15">
        <f>SUM(HG28:HG29)</f>
        <v>107.9</v>
      </c>
      <c r="HH10" s="48" t="s">
        <v>1153</v>
      </c>
      <c r="HI10" s="193">
        <v>0.06</v>
      </c>
      <c r="HJ10" s="15" t="s">
        <v>1474</v>
      </c>
      <c r="HK10" s="41">
        <v>13</v>
      </c>
      <c r="HL10" s="170" t="s">
        <v>1475</v>
      </c>
      <c r="HM10" s="186">
        <f>2525.92/6</f>
        <v>420.986666666667</v>
      </c>
      <c r="HN10" s="61" t="s">
        <v>1193</v>
      </c>
      <c r="HO10" s="173">
        <v>16</v>
      </c>
      <c r="HQ10" s="41"/>
      <c r="HR10" s="72" t="s">
        <v>1476</v>
      </c>
      <c r="HS10" s="15">
        <v>156.5</v>
      </c>
      <c r="HT10" s="61" t="s">
        <v>1193</v>
      </c>
      <c r="HU10" s="173">
        <v>14.67</v>
      </c>
      <c r="HW10" s="18"/>
      <c r="HX10" s="72" t="s">
        <v>1407</v>
      </c>
      <c r="HY10" s="15">
        <v>100</v>
      </c>
      <c r="HZ10" s="48" t="s">
        <v>1153</v>
      </c>
      <c r="IA10" s="193">
        <v>0.07</v>
      </c>
      <c r="IB10" s="15" t="s">
        <v>1474</v>
      </c>
      <c r="IC10" s="219">
        <v>13.54</v>
      </c>
      <c r="ID10" s="72" t="s">
        <v>1477</v>
      </c>
      <c r="IE10" s="43">
        <f>11000+300</f>
        <v>11300</v>
      </c>
      <c r="IF10" s="63" t="s">
        <v>1151</v>
      </c>
      <c r="IG10" s="43">
        <v>1463</v>
      </c>
      <c r="IH10" s="15" t="s">
        <v>1478</v>
      </c>
      <c r="II10" s="15">
        <v>10</v>
      </c>
      <c r="IJ10" s="179" t="s">
        <v>1479</v>
      </c>
      <c r="IK10" s="166">
        <v>3179</v>
      </c>
      <c r="IL10" s="61" t="s">
        <v>1285</v>
      </c>
      <c r="IM10" s="173">
        <v>35</v>
      </c>
      <c r="IN10" s="42" t="s">
        <v>1480</v>
      </c>
      <c r="IO10" s="15">
        <v>46.26</v>
      </c>
      <c r="IP10" s="163" t="s">
        <v>1481</v>
      </c>
      <c r="IQ10" s="101">
        <v>210.89</v>
      </c>
      <c r="IR10" s="61" t="s">
        <v>1221</v>
      </c>
      <c r="IS10" s="240">
        <v>2500</v>
      </c>
      <c r="IT10" s="15" t="s">
        <v>1288</v>
      </c>
      <c r="IU10" s="219"/>
      <c r="IV10" s="179" t="s">
        <v>1482</v>
      </c>
      <c r="IW10" s="249">
        <v>2000</v>
      </c>
      <c r="IX10" s="15" t="s">
        <v>1231</v>
      </c>
      <c r="IY10" s="43">
        <v>360000</v>
      </c>
      <c r="JA10" s="219"/>
      <c r="JB10" s="179" t="s">
        <v>1483</v>
      </c>
      <c r="JC10" s="249">
        <v>454.04</v>
      </c>
      <c r="JD10" s="15" t="s">
        <v>1231</v>
      </c>
      <c r="JE10" s="43">
        <v>590000</v>
      </c>
      <c r="JH10" s="163" t="s">
        <v>1282</v>
      </c>
      <c r="JI10" s="41">
        <v>58.77</v>
      </c>
      <c r="JJ10" s="15" t="s">
        <v>1231</v>
      </c>
      <c r="JK10" s="173">
        <v>0</v>
      </c>
      <c r="JL10" s="15" t="s">
        <v>1484</v>
      </c>
      <c r="JM10" s="241"/>
      <c r="JN10" s="163" t="s">
        <v>1485</v>
      </c>
      <c r="JO10" s="41">
        <f>259.2+410.4</f>
        <v>669.6</v>
      </c>
      <c r="JP10" s="48" t="s">
        <v>1290</v>
      </c>
      <c r="JQ10" s="173">
        <v>31</v>
      </c>
      <c r="JR10" s="244" t="s">
        <v>1486</v>
      </c>
      <c r="JS10" s="15">
        <v>3.4</v>
      </c>
      <c r="JT10" s="163" t="s">
        <v>1487</v>
      </c>
      <c r="JU10" s="101">
        <v>5.38</v>
      </c>
      <c r="JV10" s="48" t="s">
        <v>1122</v>
      </c>
      <c r="JW10" s="94">
        <v>-123</v>
      </c>
      <c r="JX10" s="15" t="s">
        <v>1488</v>
      </c>
      <c r="JY10" s="241"/>
      <c r="JZ10" s="255" t="s">
        <v>1489</v>
      </c>
      <c r="KA10" s="41">
        <f>27+270.45+2700</f>
        <v>2997.45</v>
      </c>
      <c r="KB10" s="61" t="s">
        <v>1490</v>
      </c>
      <c r="KC10" s="173">
        <v>-166</v>
      </c>
      <c r="KE10" s="234"/>
      <c r="KF10" s="72" t="s">
        <v>1491</v>
      </c>
      <c r="KG10" s="219">
        <v>193.39</v>
      </c>
      <c r="KH10" s="15" t="s">
        <v>1492</v>
      </c>
      <c r="KI10" s="219"/>
      <c r="KK10" s="219"/>
      <c r="KL10" s="86" t="s">
        <v>1493</v>
      </c>
      <c r="KM10" s="15">
        <f>82.58+102.97</f>
        <v>185.55</v>
      </c>
      <c r="KN10" s="15" t="s">
        <v>1296</v>
      </c>
      <c r="KO10" s="43">
        <v>-70600</v>
      </c>
      <c r="KP10" s="61" t="s">
        <v>1494</v>
      </c>
      <c r="KQ10" s="38">
        <v>35.14</v>
      </c>
      <c r="KR10" s="163" t="s">
        <v>1495</v>
      </c>
      <c r="KS10" s="15">
        <v>6.48</v>
      </c>
      <c r="KT10" s="261" t="s">
        <v>1246</v>
      </c>
      <c r="KU10" s="300">
        <f>SUM(KT4:KT9)</f>
        <v>247000</v>
      </c>
      <c r="KV10" s="15" t="s">
        <v>1430</v>
      </c>
      <c r="KW10" s="38">
        <v>73</v>
      </c>
      <c r="KX10" s="163" t="s">
        <v>1496</v>
      </c>
      <c r="KY10" s="15">
        <f>11+4</f>
        <v>15</v>
      </c>
      <c r="KZ10" s="48" t="s">
        <v>1433</v>
      </c>
      <c r="LA10" s="94">
        <v>-82000</v>
      </c>
      <c r="LB10" s="61" t="s">
        <v>1497</v>
      </c>
      <c r="LC10" s="38">
        <v>26.18</v>
      </c>
      <c r="LD10" s="292" t="s">
        <v>1353</v>
      </c>
      <c r="LE10" s="186">
        <v>291.25</v>
      </c>
      <c r="LF10" s="63" t="s">
        <v>1241</v>
      </c>
      <c r="LG10" s="43">
        <v>-4000</v>
      </c>
      <c r="LH10" s="65"/>
      <c r="LI10" s="306"/>
      <c r="LJ10" s="163" t="s">
        <v>1498</v>
      </c>
      <c r="LK10" s="306">
        <v>30</v>
      </c>
      <c r="LL10" s="63" t="s">
        <v>1241</v>
      </c>
      <c r="LM10" s="43">
        <v>-4000</v>
      </c>
      <c r="LN10" s="61" t="s">
        <v>1499</v>
      </c>
      <c r="LO10" s="313">
        <v>10967.27</v>
      </c>
      <c r="LP10" s="184" t="s">
        <v>1500</v>
      </c>
      <c r="LQ10" s="41">
        <v>1000.01</v>
      </c>
      <c r="LR10" s="63" t="s">
        <v>1241</v>
      </c>
      <c r="LS10" s="43">
        <v>-4000</v>
      </c>
      <c r="LT10" s="61" t="s">
        <v>1501</v>
      </c>
      <c r="LU10" s="38">
        <v>8.25</v>
      </c>
      <c r="LV10" s="184" t="s">
        <v>1502</v>
      </c>
      <c r="LW10" s="41">
        <v>2000.03</v>
      </c>
      <c r="LX10" s="48" t="s">
        <v>1503</v>
      </c>
      <c r="LY10" s="94">
        <v>-87000</v>
      </c>
      <c r="LZ10" s="61" t="s">
        <v>1504</v>
      </c>
      <c r="MA10" s="38">
        <v>27.33</v>
      </c>
      <c r="MB10" s="151" t="s">
        <v>1505</v>
      </c>
      <c r="MC10" s="41">
        <v>30</v>
      </c>
      <c r="MD10" s="15" t="s">
        <v>1308</v>
      </c>
      <c r="ME10" s="43">
        <v>-67376</v>
      </c>
      <c r="MF10" s="61" t="s">
        <v>1506</v>
      </c>
      <c r="MG10" s="41">
        <v>-460</v>
      </c>
      <c r="MH10" s="114" t="s">
        <v>1507</v>
      </c>
      <c r="MI10" s="41">
        <v>1500</v>
      </c>
      <c r="MJ10" s="63" t="s">
        <v>1370</v>
      </c>
      <c r="MK10" s="240">
        <v>150000</v>
      </c>
      <c r="ML10" s="61" t="s">
        <v>1508</v>
      </c>
      <c r="MM10" s="38" t="s">
        <v>646</v>
      </c>
      <c r="MN10" s="163" t="s">
        <v>1309</v>
      </c>
      <c r="MO10" s="41">
        <v>500</v>
      </c>
      <c r="MP10" s="63" t="s">
        <v>1370</v>
      </c>
      <c r="MQ10" s="240">
        <v>150000</v>
      </c>
      <c r="MR10" s="15" t="s">
        <v>1299</v>
      </c>
      <c r="MS10" s="38"/>
      <c r="MT10" s="163" t="s">
        <v>1509</v>
      </c>
      <c r="MU10" s="57">
        <v>736.62</v>
      </c>
      <c r="MV10" s="63" t="s">
        <v>1510</v>
      </c>
      <c r="MW10" s="43">
        <f>10000+20000</f>
        <v>30000</v>
      </c>
      <c r="MX10" s="15" t="s">
        <v>1299</v>
      </c>
      <c r="MY10" s="38"/>
      <c r="MZ10" s="151" t="s">
        <v>1511</v>
      </c>
      <c r="NA10" s="41">
        <v>39.6</v>
      </c>
      <c r="NB10" s="63" t="s">
        <v>1241</v>
      </c>
      <c r="NC10" s="43">
        <v>-4000</v>
      </c>
      <c r="ND10" s="15" t="s">
        <v>1512</v>
      </c>
      <c r="NE10" s="119">
        <f>1820*3</f>
        <v>5460</v>
      </c>
      <c r="NF10" s="151" t="s">
        <v>1513</v>
      </c>
      <c r="NG10" s="41">
        <v>200</v>
      </c>
      <c r="NH10" s="63" t="s">
        <v>1514</v>
      </c>
      <c r="NI10" s="43">
        <v>30000</v>
      </c>
      <c r="NJ10" s="61" t="s">
        <v>1515</v>
      </c>
      <c r="NK10" s="38">
        <v>34.06</v>
      </c>
      <c r="NL10" s="151" t="s">
        <v>1516</v>
      </c>
      <c r="NM10" s="57">
        <v>35.8</v>
      </c>
      <c r="NN10" s="63" t="s">
        <v>1241</v>
      </c>
      <c r="NO10" s="43">
        <v>-3000</v>
      </c>
      <c r="NP10" s="15" t="s">
        <v>1382</v>
      </c>
      <c r="NQ10" s="38"/>
      <c r="NR10" s="15" t="s">
        <v>1517</v>
      </c>
      <c r="NS10" s="15">
        <v>293.85</v>
      </c>
      <c r="NT10" s="91" t="s">
        <v>1518</v>
      </c>
      <c r="NU10" s="94">
        <v>1000</v>
      </c>
      <c r="NV10" s="61"/>
      <c r="NX10" s="335" t="s">
        <v>1519</v>
      </c>
      <c r="NY10" s="41">
        <v>5</v>
      </c>
      <c r="NZ10" s="63" t="s">
        <v>1389</v>
      </c>
      <c r="OA10" s="43">
        <v>101706</v>
      </c>
      <c r="OB10" s="61"/>
      <c r="OD10" s="15" t="s">
        <v>1520</v>
      </c>
      <c r="OF10" s="63" t="s">
        <v>1521</v>
      </c>
      <c r="OG10" s="43">
        <v>13</v>
      </c>
      <c r="OH10" s="347">
        <v>45656</v>
      </c>
      <c r="OI10" s="43"/>
    </row>
    <row r="11" spans="1:398">
      <c r="A11" s="48" t="s">
        <v>158</v>
      </c>
      <c r="B11" s="56">
        <v>500.001</v>
      </c>
      <c r="E11" s="15" t="s">
        <v>1522</v>
      </c>
      <c r="F11" s="15">
        <f>F35</f>
        <v>250</v>
      </c>
      <c r="G11" s="48" t="s">
        <v>158</v>
      </c>
      <c r="H11" s="56">
        <v>500.001</v>
      </c>
      <c r="K11" s="15" t="s">
        <v>1523</v>
      </c>
      <c r="M11" s="22" t="s">
        <v>218</v>
      </c>
      <c r="N11" s="55"/>
      <c r="O11" s="15" t="s">
        <v>1329</v>
      </c>
      <c r="P11" s="15">
        <v>58</v>
      </c>
      <c r="Q11" s="15" t="s">
        <v>1452</v>
      </c>
      <c r="R11" s="15">
        <v>0</v>
      </c>
      <c r="S11" s="22" t="s">
        <v>218</v>
      </c>
      <c r="T11" s="55"/>
      <c r="U11" s="15" t="s">
        <v>1329</v>
      </c>
      <c r="V11" s="15">
        <v>67</v>
      </c>
      <c r="W11" s="15" t="s">
        <v>1454</v>
      </c>
      <c r="X11" s="15">
        <f>SUM(X33:X37)</f>
        <v>469.001</v>
      </c>
      <c r="Y11" s="22" t="s">
        <v>218</v>
      </c>
      <c r="Z11" s="55"/>
      <c r="AA11" s="15" t="s">
        <v>1524</v>
      </c>
      <c r="AB11" s="15">
        <v>55</v>
      </c>
      <c r="AE11" s="65" t="s">
        <v>1525</v>
      </c>
      <c r="AF11" s="57">
        <v>-5000</v>
      </c>
      <c r="AG11" s="15" t="s">
        <v>1329</v>
      </c>
      <c r="AH11" s="15">
        <v>0</v>
      </c>
      <c r="AK11" s="65" t="s">
        <v>1525</v>
      </c>
      <c r="AL11" s="57">
        <v>-5000</v>
      </c>
      <c r="AM11" s="15" t="s">
        <v>1267</v>
      </c>
      <c r="AQ11" s="65" t="s">
        <v>1526</v>
      </c>
      <c r="AR11" s="57">
        <v>-4000</v>
      </c>
      <c r="AS11" s="15" t="s">
        <v>1527</v>
      </c>
      <c r="AT11" s="15">
        <v>32.49</v>
      </c>
      <c r="AU11" s="71"/>
      <c r="AV11" s="43"/>
      <c r="AW11" s="65" t="s">
        <v>1526</v>
      </c>
      <c r="AX11" s="57">
        <v>-4000</v>
      </c>
      <c r="AY11" s="71" t="s">
        <v>1528</v>
      </c>
      <c r="AZ11" s="43">
        <v>30000</v>
      </c>
      <c r="BA11" s="65" t="s">
        <v>1526</v>
      </c>
      <c r="BB11" s="55">
        <f t="shared" si="0"/>
        <v>-4000</v>
      </c>
      <c r="BC11" s="15" t="s">
        <v>1529</v>
      </c>
      <c r="BD11" s="15" t="s">
        <v>663</v>
      </c>
      <c r="BG11" s="65" t="s">
        <v>1526</v>
      </c>
      <c r="BH11" s="57">
        <v>-4000</v>
      </c>
      <c r="BI11" s="42" t="s">
        <v>1530</v>
      </c>
      <c r="BJ11" s="42">
        <v>24.47</v>
      </c>
      <c r="BM11" s="65" t="s">
        <v>1526</v>
      </c>
      <c r="BN11" s="57">
        <v>-4000</v>
      </c>
      <c r="BO11" s="57" t="s">
        <v>1531</v>
      </c>
      <c r="BP11" s="42">
        <v>71</v>
      </c>
      <c r="BS11" s="65" t="s">
        <v>1526</v>
      </c>
      <c r="BT11" s="91">
        <v>-66</v>
      </c>
      <c r="BU11" s="57" t="s">
        <v>1531</v>
      </c>
      <c r="BV11" s="42">
        <v>65.3</v>
      </c>
      <c r="BY11" s="48" t="s">
        <v>1453</v>
      </c>
      <c r="BZ11" s="57">
        <f>1003</f>
        <v>1003</v>
      </c>
      <c r="CA11" s="42" t="s">
        <v>1456</v>
      </c>
      <c r="CE11" s="48" t="s">
        <v>1453</v>
      </c>
      <c r="CF11" s="57">
        <v>1003</v>
      </c>
      <c r="CG11" s="57" t="s">
        <v>1531</v>
      </c>
      <c r="CH11" s="42">
        <v>65</v>
      </c>
      <c r="CK11" s="22" t="s">
        <v>1271</v>
      </c>
      <c r="CL11" s="55"/>
      <c r="CM11" s="57" t="s">
        <v>1531</v>
      </c>
      <c r="CN11" s="42">
        <v>69.96</v>
      </c>
      <c r="CQ11" s="48" t="s">
        <v>1453</v>
      </c>
      <c r="CR11" s="57">
        <v>10</v>
      </c>
      <c r="CS11" s="57" t="s">
        <v>1531</v>
      </c>
      <c r="CT11" s="42">
        <v>72.6</v>
      </c>
      <c r="CW11" s="106" t="s">
        <v>148</v>
      </c>
      <c r="CX11" s="107" t="s">
        <v>646</v>
      </c>
      <c r="CY11" s="57" t="s">
        <v>1531</v>
      </c>
      <c r="CZ11" s="42">
        <v>72</v>
      </c>
      <c r="DC11" s="48" t="s">
        <v>1460</v>
      </c>
      <c r="DD11" s="57">
        <v>10</v>
      </c>
      <c r="DE11" s="42" t="s">
        <v>1456</v>
      </c>
      <c r="DI11" s="48" t="s">
        <v>1460</v>
      </c>
      <c r="DJ11" s="57" t="s">
        <v>694</v>
      </c>
      <c r="DK11" s="42" t="s">
        <v>1456</v>
      </c>
      <c r="DO11" s="22" t="s">
        <v>199</v>
      </c>
      <c r="DP11" s="55">
        <v>0</v>
      </c>
      <c r="DQ11" s="42" t="s">
        <v>1456</v>
      </c>
      <c r="DS11" s="118" t="s">
        <v>1463</v>
      </c>
      <c r="DT11" s="44">
        <f>SUM(DT28:DT35)</f>
        <v>361.23</v>
      </c>
      <c r="DU11" s="22" t="s">
        <v>1464</v>
      </c>
      <c r="DV11" s="55">
        <v>1.001</v>
      </c>
      <c r="DW11" s="15" t="s">
        <v>1532</v>
      </c>
      <c r="DX11" s="15">
        <v>12.37</v>
      </c>
      <c r="DY11" s="72" t="s">
        <v>1533</v>
      </c>
      <c r="DZ11" s="15">
        <v>133</v>
      </c>
      <c r="EA11" s="60" t="s">
        <v>1326</v>
      </c>
      <c r="EB11" s="15">
        <v>110</v>
      </c>
      <c r="EE11" s="72" t="s">
        <v>1226</v>
      </c>
      <c r="EF11" s="15">
        <v>1800.06</v>
      </c>
      <c r="EH11" s="77" t="s">
        <v>1534</v>
      </c>
      <c r="EI11" s="77"/>
      <c r="EJ11" s="15" t="s">
        <v>1272</v>
      </c>
      <c r="EK11" s="15">
        <v>47</v>
      </c>
      <c r="EL11" s="72" t="s">
        <v>1226</v>
      </c>
      <c r="EM11" s="15">
        <v>1800.07</v>
      </c>
      <c r="EN11" s="77" t="s">
        <v>1535</v>
      </c>
      <c r="EO11" s="77"/>
      <c r="ER11" s="169" t="s">
        <v>1226</v>
      </c>
      <c r="ES11" s="15">
        <v>1800.08</v>
      </c>
      <c r="ET11" s="77" t="s">
        <v>1536</v>
      </c>
      <c r="EU11" s="77"/>
      <c r="EX11" s="169" t="s">
        <v>1226</v>
      </c>
      <c r="EY11" s="15">
        <v>1800.09</v>
      </c>
      <c r="EZ11" s="77" t="s">
        <v>1537</v>
      </c>
      <c r="FA11" s="77"/>
      <c r="FD11" s="169" t="s">
        <v>1226</v>
      </c>
      <c r="FE11" s="15">
        <v>1800.1</v>
      </c>
      <c r="FF11" s="77" t="s">
        <v>1537</v>
      </c>
      <c r="FG11" s="77"/>
      <c r="FH11" s="15" t="s">
        <v>1474</v>
      </c>
      <c r="FI11" s="15">
        <v>13.33</v>
      </c>
      <c r="FJ11" s="169" t="s">
        <v>1226</v>
      </c>
      <c r="FK11" s="15">
        <v>1800.11</v>
      </c>
      <c r="FL11" s="15" t="s">
        <v>1466</v>
      </c>
      <c r="FM11" s="43">
        <v>-20000</v>
      </c>
      <c r="FP11" s="160" t="s">
        <v>1268</v>
      </c>
      <c r="FQ11" s="15">
        <f>SUM(FQ15:FQ15)</f>
        <v>0</v>
      </c>
      <c r="FR11" s="48" t="s">
        <v>1398</v>
      </c>
      <c r="FS11" s="15">
        <v>146</v>
      </c>
      <c r="FT11" s="614" t="s">
        <v>1216</v>
      </c>
      <c r="FV11" s="160" t="s">
        <v>1268</v>
      </c>
      <c r="FW11" s="15">
        <f>SUM(FW16:FW16)</f>
        <v>3779.24</v>
      </c>
      <c r="FX11" s="63" t="s">
        <v>1121</v>
      </c>
      <c r="FY11" s="15">
        <v>702</v>
      </c>
      <c r="GA11" s="18"/>
      <c r="GB11" s="161" t="s">
        <v>1334</v>
      </c>
      <c r="GC11" s="15">
        <f>SUM(GC18:GC18)</f>
        <v>0</v>
      </c>
      <c r="GD11" s="63" t="s">
        <v>1121</v>
      </c>
      <c r="GE11" s="15">
        <v>1200</v>
      </c>
      <c r="GF11" s="15" t="s">
        <v>1538</v>
      </c>
      <c r="GH11" s="161" t="s">
        <v>1334</v>
      </c>
      <c r="GI11" s="15">
        <f>SUM(GI18:GI18)</f>
        <v>3.87</v>
      </c>
      <c r="GJ11" s="61" t="s">
        <v>1470</v>
      </c>
      <c r="GK11" s="15">
        <v>2499</v>
      </c>
      <c r="GL11" s="614" t="s">
        <v>1216</v>
      </c>
      <c r="GN11" s="161" t="s">
        <v>1334</v>
      </c>
      <c r="GO11" s="15">
        <f>SUM(GO17:GO19)</f>
        <v>1950.63</v>
      </c>
      <c r="GP11" s="61" t="s">
        <v>1470</v>
      </c>
      <c r="GQ11" s="15">
        <v>2499</v>
      </c>
      <c r="GR11" s="15" t="s">
        <v>1539</v>
      </c>
      <c r="GS11" s="15">
        <v>260</v>
      </c>
      <c r="GT11" s="161" t="s">
        <v>1334</v>
      </c>
      <c r="GU11" s="15" t="s">
        <v>646</v>
      </c>
      <c r="GV11" s="61" t="s">
        <v>1470</v>
      </c>
      <c r="GW11" s="15">
        <v>2499</v>
      </c>
      <c r="GZ11" s="160" t="s">
        <v>1268</v>
      </c>
      <c r="HA11" s="15">
        <f>SUM(HA14:HA14)</f>
        <v>1476</v>
      </c>
      <c r="HB11" s="48" t="s">
        <v>1153</v>
      </c>
      <c r="HC11" s="173">
        <v>0.05</v>
      </c>
      <c r="HF11" s="161" t="s">
        <v>1334</v>
      </c>
      <c r="HG11" s="15">
        <f>SUM(HG18:HG19)</f>
        <v>45</v>
      </c>
      <c r="HH11" s="61" t="s">
        <v>1221</v>
      </c>
      <c r="HI11" s="15">
        <v>2499</v>
      </c>
      <c r="HJ11" s="15" t="s">
        <v>1192</v>
      </c>
      <c r="HK11" s="18"/>
      <c r="HL11" s="170" t="s">
        <v>1540</v>
      </c>
      <c r="HM11" s="15">
        <v>80.96</v>
      </c>
      <c r="HN11" s="48" t="s">
        <v>1153</v>
      </c>
      <c r="HO11" s="193">
        <v>0.06</v>
      </c>
      <c r="HR11" s="72" t="s">
        <v>1405</v>
      </c>
      <c r="HS11" s="186">
        <f>HS12*5</f>
        <v>2104.93333333333</v>
      </c>
      <c r="HT11" s="48" t="s">
        <v>1153</v>
      </c>
      <c r="HU11" s="193">
        <v>0.07</v>
      </c>
      <c r="HV11" s="15" t="s">
        <v>1340</v>
      </c>
      <c r="HW11" s="18"/>
      <c r="HX11" s="72" t="s">
        <v>1541</v>
      </c>
      <c r="HY11" s="15">
        <f>1000+1000+1000</f>
        <v>3000</v>
      </c>
      <c r="HZ11" s="61" t="s">
        <v>1542</v>
      </c>
      <c r="IA11" s="173">
        <v>-10</v>
      </c>
      <c r="IB11" s="15" t="s">
        <v>1543</v>
      </c>
      <c r="IC11" s="219">
        <v>12.88</v>
      </c>
      <c r="ID11" s="220" t="s">
        <v>1544</v>
      </c>
      <c r="IE11" s="94">
        <v>3000</v>
      </c>
      <c r="IF11" s="63" t="s">
        <v>1545</v>
      </c>
      <c r="IG11" s="43">
        <v>5794</v>
      </c>
      <c r="IH11" s="15" t="s">
        <v>1546</v>
      </c>
      <c r="II11" s="15">
        <v>13.5</v>
      </c>
      <c r="IJ11" s="179" t="s">
        <v>1353</v>
      </c>
      <c r="IK11" s="15">
        <v>288.75</v>
      </c>
      <c r="IL11" s="61" t="s">
        <v>1221</v>
      </c>
      <c r="IM11" s="240">
        <v>2499</v>
      </c>
      <c r="IN11" s="42" t="s">
        <v>1547</v>
      </c>
      <c r="IO11" s="15">
        <v>10</v>
      </c>
      <c r="IP11" s="163" t="s">
        <v>1548</v>
      </c>
      <c r="IQ11" s="41">
        <f>406.6+487.92</f>
        <v>894.52</v>
      </c>
      <c r="IR11" s="63" t="s">
        <v>1120</v>
      </c>
      <c r="IS11" s="43">
        <v>364</v>
      </c>
      <c r="IT11" s="15" t="s">
        <v>1549</v>
      </c>
      <c r="IU11" s="219">
        <v>15.03</v>
      </c>
      <c r="IV11" s="179" t="s">
        <v>1550</v>
      </c>
      <c r="IW11" s="249">
        <v>135.25</v>
      </c>
      <c r="IX11" s="48" t="s">
        <v>1290</v>
      </c>
      <c r="IY11" s="193">
        <v>-49.87</v>
      </c>
      <c r="IZ11" s="15" t="s">
        <v>1288</v>
      </c>
      <c r="JA11" s="219"/>
      <c r="JB11" s="163" t="s">
        <v>1485</v>
      </c>
      <c r="JC11" s="41">
        <f>259.2+410.4</f>
        <v>669.6</v>
      </c>
      <c r="JD11" s="48" t="s">
        <v>1290</v>
      </c>
      <c r="JE11" s="193">
        <v>0</v>
      </c>
      <c r="JF11" s="15" t="s">
        <v>1484</v>
      </c>
      <c r="JG11" s="241"/>
      <c r="JH11" s="163" t="s">
        <v>1551</v>
      </c>
      <c r="JI11" s="41">
        <f>259.2+410.4</f>
        <v>669.6</v>
      </c>
      <c r="JJ11" s="48" t="s">
        <v>1290</v>
      </c>
      <c r="JK11" s="193">
        <v>-54</v>
      </c>
      <c r="JL11" s="15" t="s">
        <v>1188</v>
      </c>
      <c r="JM11" s="38">
        <v>52.001</v>
      </c>
      <c r="JN11" s="72" t="s">
        <v>1552</v>
      </c>
      <c r="JO11" s="219">
        <v>1396.9</v>
      </c>
      <c r="JP11" s="48" t="s">
        <v>1122</v>
      </c>
      <c r="JQ11" s="94">
        <v>-1063</v>
      </c>
      <c r="JR11" s="244" t="s">
        <v>1553</v>
      </c>
      <c r="JS11" s="219">
        <v>1.21</v>
      </c>
      <c r="JT11" s="72" t="s">
        <v>1552</v>
      </c>
      <c r="JU11" s="219">
        <v>1371.77</v>
      </c>
      <c r="JV11" s="61" t="s">
        <v>1554</v>
      </c>
      <c r="JW11" s="43">
        <v>2600</v>
      </c>
      <c r="JX11" s="15" t="s">
        <v>1555</v>
      </c>
      <c r="JY11" s="38">
        <f>55.87+0.96</f>
        <v>56.83</v>
      </c>
      <c r="JZ11" s="179" t="s">
        <v>1556</v>
      </c>
      <c r="KA11" s="41">
        <v>5.99</v>
      </c>
      <c r="KB11" s="48" t="s">
        <v>1122</v>
      </c>
      <c r="KC11" s="94">
        <v>-217</v>
      </c>
      <c r="KD11" s="15" t="s">
        <v>1488</v>
      </c>
      <c r="KE11" s="241"/>
      <c r="KF11" s="170" t="s">
        <v>1557</v>
      </c>
      <c r="KG11" s="41">
        <v>74.64</v>
      </c>
      <c r="KH11" s="48" t="s">
        <v>1197</v>
      </c>
      <c r="KI11" s="94">
        <v>-82000</v>
      </c>
      <c r="KJ11" s="15" t="s">
        <v>1488</v>
      </c>
      <c r="KK11" s="241"/>
      <c r="KL11" s="86" t="s">
        <v>1558</v>
      </c>
      <c r="KM11" s="186">
        <f>165.2+34.2</f>
        <v>199.4</v>
      </c>
      <c r="KN11" s="15" t="s">
        <v>1559</v>
      </c>
      <c r="KO11" s="43">
        <v>-127017</v>
      </c>
      <c r="KP11" s="61" t="s">
        <v>1560</v>
      </c>
      <c r="KQ11" s="15">
        <v>200</v>
      </c>
      <c r="KR11" s="301" t="s">
        <v>1561</v>
      </c>
      <c r="KS11" s="186">
        <v>141.03</v>
      </c>
      <c r="KT11" s="15" t="s">
        <v>1296</v>
      </c>
      <c r="KU11" s="43">
        <v>-70600</v>
      </c>
      <c r="KV11" s="61" t="s">
        <v>1562</v>
      </c>
      <c r="KW11" s="38">
        <v>288</v>
      </c>
      <c r="KX11" s="163" t="s">
        <v>1498</v>
      </c>
      <c r="KY11" s="61">
        <v>20</v>
      </c>
      <c r="KZ11" s="63" t="s">
        <v>1241</v>
      </c>
      <c r="LA11" s="43">
        <v>-4000</v>
      </c>
      <c r="LB11" s="61" t="s">
        <v>1563</v>
      </c>
      <c r="LC11" s="38">
        <v>5.3</v>
      </c>
      <c r="LD11" s="292" t="s">
        <v>1564</v>
      </c>
      <c r="LE11" s="186">
        <v>119.42</v>
      </c>
      <c r="LF11" s="63" t="s">
        <v>1451</v>
      </c>
      <c r="LG11" s="43">
        <v>0</v>
      </c>
      <c r="LH11" s="15" t="s">
        <v>1299</v>
      </c>
      <c r="LI11" s="219"/>
      <c r="LJ11" s="163" t="s">
        <v>1565</v>
      </c>
      <c r="LK11" s="306">
        <f>517.75+263.25</f>
        <v>781</v>
      </c>
      <c r="LL11" s="63" t="s">
        <v>1451</v>
      </c>
      <c r="LM11" s="43">
        <v>0</v>
      </c>
      <c r="LN11" s="65" t="s">
        <v>1566</v>
      </c>
      <c r="LO11" s="80">
        <v>-10184.01</v>
      </c>
      <c r="LP11" s="184" t="s">
        <v>1567</v>
      </c>
      <c r="LQ11" s="41">
        <v>1500.15</v>
      </c>
      <c r="LR11" s="48" t="s">
        <v>1433</v>
      </c>
      <c r="LS11" s="94">
        <v>-87000</v>
      </c>
      <c r="LT11" s="61" t="s">
        <v>1508</v>
      </c>
      <c r="LU11" s="38">
        <v>0.8</v>
      </c>
      <c r="LV11" s="301" t="s">
        <v>1568</v>
      </c>
      <c r="LW11" s="41">
        <v>330.77</v>
      </c>
      <c r="LX11" s="63" t="s">
        <v>1451</v>
      </c>
      <c r="LY11" s="43">
        <v>0</v>
      </c>
      <c r="LZ11" s="61" t="s">
        <v>1508</v>
      </c>
      <c r="MA11" s="38">
        <v>2.001</v>
      </c>
      <c r="MB11" s="151" t="s">
        <v>1569</v>
      </c>
      <c r="MC11" s="44">
        <f>153.11+10.9</f>
        <v>164.01</v>
      </c>
      <c r="MD11" s="15" t="s">
        <v>1368</v>
      </c>
      <c r="ME11" s="43">
        <v>-123700</v>
      </c>
      <c r="MF11" s="61"/>
      <c r="MG11" s="119"/>
      <c r="MH11" s="15" t="s">
        <v>1570</v>
      </c>
      <c r="MI11" s="15">
        <v>1526</v>
      </c>
      <c r="MJ11" s="63" t="s">
        <v>1439</v>
      </c>
      <c r="MK11" s="43">
        <v>150001</v>
      </c>
      <c r="ML11" s="61"/>
      <c r="MM11" s="38"/>
      <c r="MN11" s="163" t="s">
        <v>1571</v>
      </c>
      <c r="MO11" s="56">
        <v>140.49</v>
      </c>
      <c r="MP11" s="63" t="s">
        <v>1439</v>
      </c>
      <c r="MQ11" s="43">
        <v>50000</v>
      </c>
      <c r="MR11" s="15" t="s">
        <v>1374</v>
      </c>
      <c r="MS11" s="38">
        <v>62.001</v>
      </c>
      <c r="MT11" s="163" t="s">
        <v>1572</v>
      </c>
      <c r="MU11" s="41">
        <v>8000</v>
      </c>
      <c r="MV11" s="63" t="s">
        <v>1573</v>
      </c>
      <c r="MW11" s="43">
        <v>30000</v>
      </c>
      <c r="MX11" s="15" t="s">
        <v>1374</v>
      </c>
      <c r="MY11" s="38">
        <f>69.7+0.6</f>
        <v>70.3</v>
      </c>
      <c r="MZ11" s="151" t="s">
        <v>1574</v>
      </c>
      <c r="NA11" s="44">
        <v>10.9</v>
      </c>
      <c r="NB11" s="48" t="s">
        <v>1262</v>
      </c>
      <c r="NC11" s="94">
        <v>-92000</v>
      </c>
      <c r="NE11" s="119"/>
      <c r="NF11" s="151" t="s">
        <v>1516</v>
      </c>
      <c r="NG11" s="57">
        <v>71.6</v>
      </c>
      <c r="NH11" s="63" t="s">
        <v>1575</v>
      </c>
      <c r="NI11" s="43">
        <v>5000</v>
      </c>
      <c r="NJ11" s="61" t="s">
        <v>1576</v>
      </c>
      <c r="NK11" s="38">
        <f>79.99+2.34</f>
        <v>82.33</v>
      </c>
      <c r="NL11" s="151" t="s">
        <v>1577</v>
      </c>
      <c r="NM11" s="44">
        <f>10.9*2</f>
        <v>21.8</v>
      </c>
      <c r="NN11" s="48" t="s">
        <v>1262</v>
      </c>
      <c r="NO11" s="94">
        <v>-102000</v>
      </c>
      <c r="NP11" s="15" t="s">
        <v>1374</v>
      </c>
      <c r="NQ11" s="38">
        <f>55.85+2.07</f>
        <v>57.92</v>
      </c>
      <c r="NR11" s="151" t="s">
        <v>1445</v>
      </c>
      <c r="NS11" s="41">
        <v>60.83</v>
      </c>
      <c r="NT11" s="63" t="s">
        <v>1324</v>
      </c>
      <c r="NU11" s="43">
        <v>251009</v>
      </c>
      <c r="NV11" s="15" t="s">
        <v>1259</v>
      </c>
      <c r="NX11" s="335" t="s">
        <v>1578</v>
      </c>
      <c r="NY11" s="41">
        <f>1100+1600</f>
        <v>2700</v>
      </c>
      <c r="NZ11" s="63" t="s">
        <v>1451</v>
      </c>
      <c r="OA11" s="43">
        <v>0</v>
      </c>
      <c r="OB11" s="15" t="s">
        <v>1259</v>
      </c>
      <c r="OD11" s="151" t="s">
        <v>1445</v>
      </c>
      <c r="OE11" s="41">
        <v>300</v>
      </c>
      <c r="OF11" s="69" t="s">
        <v>1579</v>
      </c>
      <c r="OG11" s="251"/>
      <c r="OH11" s="347"/>
    </row>
    <row r="12" spans="1:398">
      <c r="A12" s="48" t="s">
        <v>1453</v>
      </c>
      <c r="B12" s="56">
        <v>1001</v>
      </c>
      <c r="E12" s="53"/>
      <c r="F12" s="53"/>
      <c r="G12" s="48" t="s">
        <v>1453</v>
      </c>
      <c r="H12" s="57">
        <v>1001</v>
      </c>
      <c r="M12" s="22" t="s">
        <v>1332</v>
      </c>
      <c r="N12" s="55">
        <v>-1030</v>
      </c>
      <c r="Q12" s="15" t="s">
        <v>1523</v>
      </c>
      <c r="R12" s="15">
        <f>SUM(R38:R39)</f>
        <v>800</v>
      </c>
      <c r="S12" s="22" t="s">
        <v>1332</v>
      </c>
      <c r="T12" s="55">
        <v>-960</v>
      </c>
      <c r="Y12" s="22" t="s">
        <v>1332</v>
      </c>
      <c r="Z12" s="55">
        <v>-970</v>
      </c>
      <c r="AA12" s="15" t="s">
        <v>199</v>
      </c>
      <c r="AB12" s="15">
        <v>50</v>
      </c>
      <c r="AC12" s="71" t="s">
        <v>1580</v>
      </c>
      <c r="AD12" s="15">
        <v>2501.2</v>
      </c>
      <c r="AE12" s="48" t="s">
        <v>1453</v>
      </c>
      <c r="AF12" s="57">
        <v>1001</v>
      </c>
      <c r="AG12" s="15" t="s">
        <v>1581</v>
      </c>
      <c r="AI12" s="71" t="s">
        <v>1226</v>
      </c>
      <c r="AJ12" s="15">
        <v>0</v>
      </c>
      <c r="AK12" s="48" t="s">
        <v>1453</v>
      </c>
      <c r="AL12" s="57">
        <v>1002</v>
      </c>
      <c r="AM12" s="15" t="s">
        <v>1329</v>
      </c>
      <c r="AN12" s="15">
        <v>81</v>
      </c>
      <c r="AO12" s="71" t="s">
        <v>1582</v>
      </c>
      <c r="AP12" s="15">
        <v>2400</v>
      </c>
      <c r="AQ12" s="48" t="s">
        <v>1453</v>
      </c>
      <c r="AR12" s="57">
        <v>1002</v>
      </c>
      <c r="AU12" s="71" t="s">
        <v>1226</v>
      </c>
      <c r="AV12" s="15">
        <f>1800.03+1800.04</f>
        <v>3600.07</v>
      </c>
      <c r="AW12" s="48" t="s">
        <v>1453</v>
      </c>
      <c r="AX12" s="57">
        <v>1002</v>
      </c>
      <c r="AY12" s="71"/>
      <c r="BA12" s="48" t="s">
        <v>1453</v>
      </c>
      <c r="BB12" s="55">
        <f t="shared" si="0"/>
        <v>1002</v>
      </c>
      <c r="BC12" s="15" t="s">
        <v>1583</v>
      </c>
      <c r="BD12" s="15">
        <v>20</v>
      </c>
      <c r="BE12" s="71" t="s">
        <v>1226</v>
      </c>
      <c r="BF12" s="15" t="s">
        <v>646</v>
      </c>
      <c r="BG12" s="48" t="s">
        <v>1453</v>
      </c>
      <c r="BH12" s="57">
        <v>1003</v>
      </c>
      <c r="BI12" s="57" t="s">
        <v>1584</v>
      </c>
      <c r="BJ12" s="42">
        <v>44.18</v>
      </c>
      <c r="BK12" s="86" t="s">
        <v>1226</v>
      </c>
      <c r="BL12" s="42">
        <v>1800.05</v>
      </c>
      <c r="BM12" s="48" t="s">
        <v>1453</v>
      </c>
      <c r="BN12" s="57">
        <v>1003</v>
      </c>
      <c r="BQ12" s="86" t="s">
        <v>1585</v>
      </c>
      <c r="BR12" s="42">
        <v>1800.06</v>
      </c>
      <c r="BS12" s="48" t="s">
        <v>1453</v>
      </c>
      <c r="BT12" s="91">
        <v>1003</v>
      </c>
      <c r="BU12" s="57" t="s">
        <v>1586</v>
      </c>
      <c r="BV12" s="42">
        <v>7.76</v>
      </c>
      <c r="BW12" s="86" t="s">
        <v>1226</v>
      </c>
      <c r="BX12" s="42">
        <v>1800.07</v>
      </c>
      <c r="BY12" s="22" t="s">
        <v>1271</v>
      </c>
      <c r="BZ12" s="55"/>
      <c r="CA12" s="57" t="s">
        <v>1531</v>
      </c>
      <c r="CB12" s="42">
        <v>63</v>
      </c>
      <c r="CC12" s="86" t="s">
        <v>1226</v>
      </c>
      <c r="CD12" s="42">
        <v>1800.08</v>
      </c>
      <c r="CE12" s="22" t="s">
        <v>1271</v>
      </c>
      <c r="CF12" s="55"/>
      <c r="CG12" s="61"/>
      <c r="CH12" s="61"/>
      <c r="CI12" s="86" t="s">
        <v>1226</v>
      </c>
      <c r="CJ12" s="42">
        <v>1800.09</v>
      </c>
      <c r="CK12" s="22" t="s">
        <v>1332</v>
      </c>
      <c r="CL12" s="55">
        <v>-1950</v>
      </c>
      <c r="CM12" s="61"/>
      <c r="CN12" s="61"/>
      <c r="CO12" s="86" t="s">
        <v>1587</v>
      </c>
      <c r="CP12" s="42">
        <v>1800.1</v>
      </c>
      <c r="CQ12" s="22" t="s">
        <v>1271</v>
      </c>
      <c r="CR12" s="55"/>
      <c r="CS12" s="57" t="s">
        <v>1588</v>
      </c>
      <c r="CT12" s="42">
        <v>11</v>
      </c>
      <c r="CU12" s="108" t="s">
        <v>1587</v>
      </c>
      <c r="CV12" s="42">
        <v>1800.11</v>
      </c>
      <c r="CW12" s="109" t="s">
        <v>1271</v>
      </c>
      <c r="CX12" s="110"/>
      <c r="CY12" s="57" t="s">
        <v>1588</v>
      </c>
      <c r="DA12" s="114" t="s">
        <v>1589</v>
      </c>
      <c r="DB12" s="61">
        <v>100</v>
      </c>
      <c r="DC12" s="106" t="s">
        <v>148</v>
      </c>
      <c r="DD12" s="107" t="s">
        <v>646</v>
      </c>
      <c r="DE12" s="57" t="s">
        <v>1531</v>
      </c>
      <c r="DF12" s="42">
        <v>56</v>
      </c>
      <c r="DG12" s="114" t="s">
        <v>1590</v>
      </c>
      <c r="DH12" s="57">
        <v>100</v>
      </c>
      <c r="DI12" s="22" t="s">
        <v>1271</v>
      </c>
      <c r="DJ12" s="55"/>
      <c r="DK12" s="57"/>
      <c r="DM12" s="114" t="s">
        <v>1591</v>
      </c>
      <c r="DN12" s="57">
        <f>132.63+132.43+132.15</f>
        <v>397.21</v>
      </c>
      <c r="DO12" s="22" t="s">
        <v>1592</v>
      </c>
      <c r="DP12" s="55">
        <v>2.54</v>
      </c>
      <c r="DQ12" s="57"/>
      <c r="DU12" s="60" t="s">
        <v>1326</v>
      </c>
      <c r="DV12" s="98">
        <v>150</v>
      </c>
      <c r="DY12" s="72" t="s">
        <v>1226</v>
      </c>
      <c r="DZ12" s="15">
        <v>1800.05</v>
      </c>
      <c r="EA12" s="152" t="s">
        <v>1593</v>
      </c>
      <c r="EB12" s="136"/>
      <c r="EC12" s="15" t="s">
        <v>1273</v>
      </c>
      <c r="ED12" s="15" t="s">
        <v>646</v>
      </c>
      <c r="EE12" s="114" t="s">
        <v>1533</v>
      </c>
      <c r="EF12" s="114">
        <f>132.66+132.47+132.27+132.26+132.31</f>
        <v>661.97</v>
      </c>
      <c r="EG12" s="114"/>
      <c r="EH12" s="48" t="s">
        <v>1594</v>
      </c>
      <c r="EI12" s="94">
        <v>5709.99</v>
      </c>
      <c r="EL12" s="114" t="s">
        <v>1533</v>
      </c>
      <c r="EM12" s="114" t="s">
        <v>646</v>
      </c>
      <c r="EN12" s="48" t="s">
        <v>1594</v>
      </c>
      <c r="EO12" s="94">
        <v>5762</v>
      </c>
      <c r="EP12" s="15" t="s">
        <v>1192</v>
      </c>
      <c r="ER12" s="169" t="s">
        <v>1595</v>
      </c>
      <c r="ES12" s="15">
        <v>430</v>
      </c>
      <c r="ET12" s="48" t="s">
        <v>1594</v>
      </c>
      <c r="EU12" s="94">
        <v>2917</v>
      </c>
      <c r="EV12" s="15" t="s">
        <v>1192</v>
      </c>
      <c r="EX12" s="169" t="s">
        <v>1596</v>
      </c>
      <c r="EY12" s="15">
        <v>100</v>
      </c>
      <c r="EZ12" s="48" t="s">
        <v>1594</v>
      </c>
      <c r="FA12" s="94">
        <f>13952+12128+5831</f>
        <v>31911</v>
      </c>
      <c r="FB12" s="15" t="s">
        <v>1192</v>
      </c>
      <c r="FD12" s="160" t="s">
        <v>1597</v>
      </c>
      <c r="FE12" s="15">
        <v>5.73</v>
      </c>
      <c r="FF12" s="48" t="s">
        <v>1594</v>
      </c>
      <c r="FG12" s="94">
        <f>18841+3130+8869</f>
        <v>30840</v>
      </c>
      <c r="FH12" s="15" t="s">
        <v>1192</v>
      </c>
      <c r="FJ12" s="175" t="s">
        <v>1598</v>
      </c>
      <c r="FK12" s="15">
        <v>288.75</v>
      </c>
      <c r="FL12" s="15" t="s">
        <v>1599</v>
      </c>
      <c r="FM12" s="43">
        <v>-60000</v>
      </c>
      <c r="FN12" s="15" t="s">
        <v>1340</v>
      </c>
      <c r="FP12" s="169" t="s">
        <v>1226</v>
      </c>
      <c r="FQ12" s="15">
        <v>1800.12</v>
      </c>
      <c r="FR12" s="15" t="s">
        <v>1600</v>
      </c>
      <c r="FS12" s="43"/>
      <c r="FT12" s="15" t="s">
        <v>1272</v>
      </c>
      <c r="FU12" s="15">
        <v>56</v>
      </c>
      <c r="FV12" s="169" t="s">
        <v>1226</v>
      </c>
      <c r="FW12" s="15">
        <v>1800.01</v>
      </c>
      <c r="FX12" s="63" t="s">
        <v>1151</v>
      </c>
      <c r="FY12" s="15">
        <v>1520</v>
      </c>
      <c r="FZ12" s="614" t="s">
        <v>1216</v>
      </c>
      <c r="GB12" s="160" t="s">
        <v>1268</v>
      </c>
      <c r="GC12" s="15">
        <f>SUM(GC16:GC17)</f>
        <v>512.81</v>
      </c>
      <c r="GD12" s="63" t="s">
        <v>1151</v>
      </c>
      <c r="GE12" s="15">
        <v>2876</v>
      </c>
      <c r="GH12" s="160" t="s">
        <v>1268</v>
      </c>
      <c r="GI12" s="15">
        <f>SUM(GI16:GI16)</f>
        <v>2454.05</v>
      </c>
      <c r="GJ12" s="63" t="s">
        <v>1120</v>
      </c>
      <c r="GK12" s="15">
        <v>574</v>
      </c>
      <c r="GL12" s="15" t="s">
        <v>1272</v>
      </c>
      <c r="GM12" s="15">
        <f>6.11+47.56</f>
        <v>53.67</v>
      </c>
      <c r="GN12" s="160" t="s">
        <v>1268</v>
      </c>
      <c r="GO12" s="15">
        <f>SUM(GO15:GO16)</f>
        <v>464.66</v>
      </c>
      <c r="GP12" s="63" t="s">
        <v>1120</v>
      </c>
      <c r="GQ12" s="15">
        <v>833</v>
      </c>
      <c r="GT12" s="160" t="s">
        <v>1268</v>
      </c>
      <c r="GU12" s="15" t="s">
        <v>646</v>
      </c>
      <c r="GV12" s="63" t="s">
        <v>1120</v>
      </c>
      <c r="GW12" s="15">
        <v>631</v>
      </c>
      <c r="GX12" s="15" t="s">
        <v>1340</v>
      </c>
      <c r="GZ12" s="169" t="s">
        <v>1226</v>
      </c>
      <c r="HA12" s="15">
        <v>1800.06</v>
      </c>
      <c r="HB12" s="61" t="s">
        <v>1221</v>
      </c>
      <c r="HC12" s="15">
        <v>2499</v>
      </c>
      <c r="HF12" s="160" t="s">
        <v>1268</v>
      </c>
      <c r="HG12" s="15">
        <f>SUM(HG17:HG17)</f>
        <v>48.24</v>
      </c>
      <c r="HH12" s="63" t="s">
        <v>1120</v>
      </c>
      <c r="HI12" s="15">
        <v>1440</v>
      </c>
      <c r="HJ12" s="15" t="s">
        <v>1601</v>
      </c>
      <c r="HK12" s="18">
        <v>90</v>
      </c>
      <c r="HL12" s="170" t="s">
        <v>1602</v>
      </c>
      <c r="HM12" s="15">
        <v>197.9</v>
      </c>
      <c r="HN12" s="61" t="s">
        <v>1221</v>
      </c>
      <c r="HO12" s="15">
        <v>2499</v>
      </c>
      <c r="HQ12" s="18"/>
      <c r="HR12" s="170" t="s">
        <v>1475</v>
      </c>
      <c r="HS12" s="186">
        <f>2525.92/6</f>
        <v>420.986666666667</v>
      </c>
      <c r="HT12" s="61" t="s">
        <v>1542</v>
      </c>
      <c r="HU12" s="173">
        <v>-808</v>
      </c>
      <c r="HV12" s="69" t="s">
        <v>1603</v>
      </c>
      <c r="HW12" s="18">
        <v>63.05</v>
      </c>
      <c r="HX12" s="72" t="s">
        <v>1604</v>
      </c>
      <c r="HY12" s="18">
        <f>130000+11893+38316.67+1</f>
        <v>180210.67</v>
      </c>
      <c r="HZ12" s="61" t="s">
        <v>1221</v>
      </c>
      <c r="IA12" s="15">
        <v>499</v>
      </c>
      <c r="IB12" s="15" t="s">
        <v>1605</v>
      </c>
      <c r="IC12" s="219">
        <v>3.001</v>
      </c>
      <c r="ID12" s="221" t="s">
        <v>1606</v>
      </c>
      <c r="IE12" s="94">
        <v>4000</v>
      </c>
      <c r="IF12" s="63" t="s">
        <v>1607</v>
      </c>
      <c r="IG12" s="43">
        <v>0</v>
      </c>
      <c r="IH12" s="15" t="s">
        <v>1608</v>
      </c>
      <c r="II12" s="15">
        <f>366.74-127-111</f>
        <v>128.74</v>
      </c>
      <c r="IJ12" s="163" t="s">
        <v>1609</v>
      </c>
      <c r="IK12" s="15">
        <v>1867.15</v>
      </c>
      <c r="IL12" s="63" t="s">
        <v>1120</v>
      </c>
      <c r="IM12" s="43">
        <v>613</v>
      </c>
      <c r="IP12" s="72" t="s">
        <v>1610</v>
      </c>
      <c r="IQ12" s="186">
        <f>IQ13*2</f>
        <v>1833.74666666667</v>
      </c>
      <c r="IR12" s="63" t="s">
        <v>1611</v>
      </c>
      <c r="IS12" s="43">
        <v>803</v>
      </c>
      <c r="IT12" s="15" t="s">
        <v>1612</v>
      </c>
      <c r="IU12" s="15">
        <v>25.58</v>
      </c>
      <c r="IV12" s="179" t="s">
        <v>1435</v>
      </c>
      <c r="IW12" s="249">
        <v>378.81</v>
      </c>
      <c r="IX12" s="48" t="s">
        <v>1122</v>
      </c>
      <c r="IY12" s="15">
        <v>-997</v>
      </c>
      <c r="IZ12" s="15" t="s">
        <v>1613</v>
      </c>
      <c r="JA12" s="15">
        <v>30</v>
      </c>
      <c r="JB12" s="163" t="s">
        <v>1614</v>
      </c>
      <c r="JC12" s="101">
        <v>52.89</v>
      </c>
      <c r="JD12" s="48" t="s">
        <v>1122</v>
      </c>
      <c r="JE12" s="193">
        <v>-260</v>
      </c>
      <c r="JF12" s="15" t="s">
        <v>1188</v>
      </c>
      <c r="JG12" s="241">
        <f>72.14+1.23</f>
        <v>73.37</v>
      </c>
      <c r="JH12" s="72" t="s">
        <v>1615</v>
      </c>
      <c r="JI12" s="253">
        <f>2.88%/365*(20*140000+21*140220)</f>
        <v>453.274126027397</v>
      </c>
      <c r="JJ12" s="48" t="s">
        <v>1122</v>
      </c>
      <c r="JK12" s="56">
        <v>-540</v>
      </c>
      <c r="JL12" s="15" t="s">
        <v>1474</v>
      </c>
      <c r="JM12" s="41">
        <v>13.11</v>
      </c>
      <c r="JN12" s="72" t="s">
        <v>1616</v>
      </c>
      <c r="JO12" s="219">
        <v>110000</v>
      </c>
      <c r="JP12" s="61" t="s">
        <v>1554</v>
      </c>
      <c r="JQ12" s="43">
        <v>2600</v>
      </c>
      <c r="JR12" s="244" t="s">
        <v>1617</v>
      </c>
      <c r="JT12" s="72" t="s">
        <v>1618</v>
      </c>
      <c r="JU12" s="219">
        <v>1478.09</v>
      </c>
      <c r="JV12" s="63" t="s">
        <v>1619</v>
      </c>
      <c r="JW12" s="43">
        <v>800</v>
      </c>
      <c r="JX12" s="15" t="s">
        <v>1474</v>
      </c>
      <c r="JY12" s="38" t="s">
        <v>646</v>
      </c>
      <c r="JZ12" s="163" t="s">
        <v>1620</v>
      </c>
      <c r="KA12" s="15">
        <v>29.9</v>
      </c>
      <c r="KB12" s="61" t="s">
        <v>1554</v>
      </c>
      <c r="KC12" s="43">
        <v>2600</v>
      </c>
      <c r="KD12" s="15" t="s">
        <v>1621</v>
      </c>
      <c r="KE12" s="219">
        <f>1.5%*519+1.82</f>
        <v>9.605</v>
      </c>
      <c r="KF12" s="170" t="s">
        <v>1622</v>
      </c>
      <c r="KG12" s="44">
        <v>131.87</v>
      </c>
      <c r="KH12" s="63" t="s">
        <v>1241</v>
      </c>
      <c r="KI12" s="43">
        <v>-4000</v>
      </c>
      <c r="KJ12" s="15" t="s">
        <v>1621</v>
      </c>
      <c r="KK12" s="219" t="s">
        <v>663</v>
      </c>
      <c r="KL12" s="86" t="s">
        <v>1623</v>
      </c>
      <c r="KM12" s="15">
        <f>47.8-21.9</f>
        <v>25.9</v>
      </c>
      <c r="KN12" s="43">
        <f>SUM(KI8:KI9)+180+3750</f>
        <v>-127017</v>
      </c>
      <c r="KO12" s="43" t="s">
        <v>1624</v>
      </c>
      <c r="KP12" s="42"/>
      <c r="KQ12" s="38"/>
      <c r="KR12" s="163" t="s">
        <v>1625</v>
      </c>
      <c r="KS12" s="61">
        <v>15.2</v>
      </c>
      <c r="KT12" s="15" t="s">
        <v>1363</v>
      </c>
      <c r="KU12" s="43">
        <v>-123206</v>
      </c>
      <c r="KV12" s="61" t="s">
        <v>1626</v>
      </c>
      <c r="KW12" s="38">
        <f>32.02+3.51</f>
        <v>35.53</v>
      </c>
      <c r="KX12" s="163" t="s">
        <v>1627</v>
      </c>
      <c r="KY12" s="61">
        <v>39.9</v>
      </c>
      <c r="KZ12" s="63" t="s">
        <v>1518</v>
      </c>
      <c r="LA12" s="43">
        <v>1548</v>
      </c>
      <c r="LB12" s="61" t="s">
        <v>1628</v>
      </c>
      <c r="LC12" s="38">
        <v>10</v>
      </c>
      <c r="LD12" s="292" t="s">
        <v>1629</v>
      </c>
      <c r="LE12" s="186">
        <v>11.39</v>
      </c>
      <c r="LF12" s="63" t="s">
        <v>1324</v>
      </c>
      <c r="LG12" s="43">
        <v>209004</v>
      </c>
      <c r="LH12" s="15" t="s">
        <v>1630</v>
      </c>
      <c r="LI12" s="38">
        <v>52</v>
      </c>
      <c r="LJ12" s="163" t="s">
        <v>1631</v>
      </c>
      <c r="LK12" s="306">
        <v>9.5</v>
      </c>
      <c r="LL12" s="63" t="s">
        <v>1324</v>
      </c>
      <c r="LM12" s="43">
        <v>132010</v>
      </c>
      <c r="LN12" s="65" t="s">
        <v>1632</v>
      </c>
      <c r="LO12" s="56">
        <v>-37.99</v>
      </c>
      <c r="LP12" s="314" t="s">
        <v>1633</v>
      </c>
      <c r="LR12" s="63" t="s">
        <v>1451</v>
      </c>
      <c r="LS12" s="43">
        <v>0</v>
      </c>
      <c r="LT12" s="61"/>
      <c r="LU12" s="38"/>
      <c r="LV12" s="150" t="s">
        <v>1634</v>
      </c>
      <c r="LW12" s="57">
        <v>500</v>
      </c>
      <c r="LX12" s="63" t="s">
        <v>1635</v>
      </c>
      <c r="LY12" s="43">
        <v>241002</v>
      </c>
      <c r="LZ12" s="61"/>
      <c r="MA12" s="38"/>
      <c r="MB12" s="151" t="s">
        <v>1636</v>
      </c>
      <c r="MC12" s="41">
        <f>5</f>
        <v>5</v>
      </c>
      <c r="MD12" s="63" t="s">
        <v>1241</v>
      </c>
      <c r="ME12" s="43">
        <v>-4000</v>
      </c>
      <c r="MF12" s="15" t="s">
        <v>1299</v>
      </c>
      <c r="MG12" s="38"/>
      <c r="MH12" s="163" t="s">
        <v>1369</v>
      </c>
      <c r="MI12" s="56">
        <v>138.54</v>
      </c>
      <c r="MJ12" s="15" t="s">
        <v>1308</v>
      </c>
      <c r="MK12" s="43">
        <v>-66164.63</v>
      </c>
      <c r="ML12" s="15" t="s">
        <v>1637</v>
      </c>
      <c r="MM12" s="38"/>
      <c r="MN12" s="163" t="s">
        <v>1638</v>
      </c>
      <c r="MO12" s="57">
        <v>191.77</v>
      </c>
      <c r="MP12" s="15" t="s">
        <v>1308</v>
      </c>
      <c r="MQ12" s="43">
        <v>-64979</v>
      </c>
      <c r="MR12" s="61"/>
      <c r="MS12" s="38"/>
      <c r="MT12" s="301" t="s">
        <v>1639</v>
      </c>
      <c r="MU12" s="56">
        <v>133.52</v>
      </c>
      <c r="MV12" s="15" t="s">
        <v>1640</v>
      </c>
      <c r="MW12" s="43">
        <v>-63810</v>
      </c>
      <c r="MX12" s="61" t="s">
        <v>1442</v>
      </c>
      <c r="MY12" s="38" t="s">
        <v>646</v>
      </c>
      <c r="MZ12" s="151" t="s">
        <v>1636</v>
      </c>
      <c r="NA12" s="41">
        <f>5</f>
        <v>5</v>
      </c>
      <c r="NB12" s="63" t="s">
        <v>1514</v>
      </c>
      <c r="NC12" s="43">
        <v>30000</v>
      </c>
      <c r="ND12" s="15" t="s">
        <v>1299</v>
      </c>
      <c r="NE12" s="38"/>
      <c r="NF12" s="151" t="s">
        <v>1641</v>
      </c>
      <c r="NG12" s="44">
        <f>91.72+10.9</f>
        <v>102.62</v>
      </c>
      <c r="NH12" s="63" t="s">
        <v>1642</v>
      </c>
      <c r="NI12" s="43">
        <v>204003</v>
      </c>
      <c r="NJ12" s="61" t="s">
        <v>1643</v>
      </c>
      <c r="NK12" s="38">
        <v>67.6</v>
      </c>
      <c r="NL12" s="151" t="s">
        <v>1644</v>
      </c>
      <c r="NM12" s="57">
        <v>286.05</v>
      </c>
      <c r="NN12" s="63" t="s">
        <v>1645</v>
      </c>
      <c r="NO12" s="43">
        <v>297460</v>
      </c>
      <c r="NP12" s="61" t="s">
        <v>1442</v>
      </c>
      <c r="NQ12" s="38">
        <v>4.81</v>
      </c>
      <c r="NR12" s="151" t="s">
        <v>1646</v>
      </c>
      <c r="NS12" s="15">
        <v>81.85</v>
      </c>
      <c r="NT12" s="63" t="s">
        <v>1389</v>
      </c>
      <c r="NU12" s="43">
        <v>101321</v>
      </c>
      <c r="NV12" s="61" t="s">
        <v>1647</v>
      </c>
      <c r="NW12" s="41">
        <v>1840</v>
      </c>
      <c r="NX12" s="163" t="s">
        <v>1648</v>
      </c>
      <c r="NY12" s="41">
        <v>489.91</v>
      </c>
      <c r="NZ12" s="63" t="s">
        <v>1521</v>
      </c>
      <c r="OA12" s="43">
        <v>13</v>
      </c>
      <c r="OB12" s="61" t="s">
        <v>1649</v>
      </c>
      <c r="OC12" s="41">
        <v>1850</v>
      </c>
      <c r="OD12" s="151" t="s">
        <v>1650</v>
      </c>
      <c r="OF12" s="91" t="s">
        <v>1386</v>
      </c>
      <c r="OG12" s="94">
        <v>1872</v>
      </c>
      <c r="OH12" s="347">
        <v>45666</v>
      </c>
    </row>
    <row r="13" spans="1:398">
      <c r="A13" s="22" t="s">
        <v>218</v>
      </c>
      <c r="B13" s="55"/>
      <c r="E13" s="53"/>
      <c r="F13" s="53"/>
      <c r="G13" s="22" t="s">
        <v>218</v>
      </c>
      <c r="H13" s="55"/>
      <c r="K13" s="53"/>
      <c r="M13" s="22" t="s">
        <v>1651</v>
      </c>
      <c r="N13" s="55">
        <v>49</v>
      </c>
      <c r="O13" s="15" t="s">
        <v>1581</v>
      </c>
      <c r="S13" s="22" t="s">
        <v>199</v>
      </c>
      <c r="T13" s="55">
        <v>-17</v>
      </c>
      <c r="U13" s="15" t="s">
        <v>1581</v>
      </c>
      <c r="W13" s="71" t="s">
        <v>1652</v>
      </c>
      <c r="X13" s="15">
        <v>2500.11</v>
      </c>
      <c r="Y13" s="22" t="s">
        <v>1653</v>
      </c>
      <c r="Z13" s="55">
        <v>11.6</v>
      </c>
      <c r="AA13" s="15" t="s">
        <v>1581</v>
      </c>
      <c r="AC13" s="58" t="s">
        <v>1654</v>
      </c>
      <c r="AD13" s="15">
        <v>0</v>
      </c>
      <c r="AE13" s="22" t="s">
        <v>218</v>
      </c>
      <c r="AF13" s="55"/>
      <c r="AI13" s="58" t="s">
        <v>1654</v>
      </c>
      <c r="AJ13" s="15">
        <v>0</v>
      </c>
      <c r="AK13" s="22" t="s">
        <v>218</v>
      </c>
      <c r="AL13" s="55"/>
      <c r="AM13" s="15" t="s">
        <v>1456</v>
      </c>
      <c r="AO13" s="71" t="s">
        <v>1655</v>
      </c>
      <c r="AP13" s="15">
        <f>1800-700</f>
        <v>1100</v>
      </c>
      <c r="AQ13" s="22" t="s">
        <v>1271</v>
      </c>
      <c r="AR13" s="55"/>
      <c r="AU13" s="71" t="s">
        <v>1656</v>
      </c>
      <c r="AW13" s="22" t="s">
        <v>1271</v>
      </c>
      <c r="AX13" s="55"/>
      <c r="AY13" s="71"/>
      <c r="BA13" s="22" t="s">
        <v>1271</v>
      </c>
      <c r="BB13" s="55">
        <f t="shared" si="0"/>
        <v>0</v>
      </c>
      <c r="BE13" s="71" t="s">
        <v>1656</v>
      </c>
      <c r="BG13" s="22" t="s">
        <v>1271</v>
      </c>
      <c r="BH13" s="81"/>
      <c r="BK13" s="86" t="s">
        <v>1657</v>
      </c>
      <c r="BL13" s="61">
        <v>100</v>
      </c>
      <c r="BM13" s="22" t="s">
        <v>1271</v>
      </c>
      <c r="BN13" s="81"/>
      <c r="BQ13" s="86" t="s">
        <v>1658</v>
      </c>
      <c r="BR13" s="61">
        <v>100</v>
      </c>
      <c r="BS13" s="22" t="s">
        <v>1271</v>
      </c>
      <c r="BT13" s="23"/>
      <c r="BW13" s="86" t="s">
        <v>1659</v>
      </c>
      <c r="BX13" s="61">
        <v>100</v>
      </c>
      <c r="BY13" s="22" t="s">
        <v>1332</v>
      </c>
      <c r="BZ13" s="55">
        <v>-1140</v>
      </c>
      <c r="CA13" s="57" t="s">
        <v>1660</v>
      </c>
      <c r="CB13" s="42">
        <v>8.22</v>
      </c>
      <c r="CC13" s="86" t="s">
        <v>1589</v>
      </c>
      <c r="CD13" s="61">
        <v>100</v>
      </c>
      <c r="CE13" s="22" t="s">
        <v>1332</v>
      </c>
      <c r="CF13" s="55">
        <v>-1779</v>
      </c>
      <c r="CG13" s="61" t="s">
        <v>657</v>
      </c>
      <c r="CI13" s="86" t="s">
        <v>1589</v>
      </c>
      <c r="CJ13" s="61">
        <v>100</v>
      </c>
      <c r="CK13" s="22" t="s">
        <v>199</v>
      </c>
      <c r="CL13" s="55" t="s">
        <v>1661</v>
      </c>
      <c r="CM13" s="61" t="s">
        <v>657</v>
      </c>
      <c r="CO13" s="86" t="s">
        <v>1589</v>
      </c>
      <c r="CP13" s="61">
        <v>100</v>
      </c>
      <c r="CQ13" s="22" t="s">
        <v>1332</v>
      </c>
      <c r="CR13" s="55">
        <v>-826</v>
      </c>
      <c r="CS13" s="61"/>
      <c r="CT13" s="61"/>
      <c r="CU13" s="108" t="s">
        <v>1662</v>
      </c>
      <c r="CV13" s="42">
        <f>12.91+6+14.99</f>
        <v>33.9</v>
      </c>
      <c r="CW13" s="22" t="s">
        <v>1332</v>
      </c>
      <c r="CX13" s="55">
        <v>-620</v>
      </c>
      <c r="CY13" s="61"/>
      <c r="CZ13" s="61"/>
      <c r="DA13" s="114" t="s">
        <v>1656</v>
      </c>
      <c r="DB13" s="61" t="s">
        <v>646</v>
      </c>
      <c r="DC13" s="109" t="s">
        <v>1271</v>
      </c>
      <c r="DD13" s="110"/>
      <c r="DE13" s="57" t="s">
        <v>1663</v>
      </c>
      <c r="DF13" s="42">
        <v>1.07</v>
      </c>
      <c r="DG13" s="114" t="s">
        <v>1664</v>
      </c>
      <c r="DH13" s="57">
        <v>2193</v>
      </c>
      <c r="DI13" s="22" t="s">
        <v>1332</v>
      </c>
      <c r="DJ13" s="55">
        <v>-2174</v>
      </c>
      <c r="DK13" s="61" t="s">
        <v>657</v>
      </c>
      <c r="DM13" s="114" t="s">
        <v>1665</v>
      </c>
      <c r="DN13" s="57">
        <v>100</v>
      </c>
      <c r="DO13" s="60" t="s">
        <v>1326</v>
      </c>
      <c r="DP13" s="98">
        <v>130.001</v>
      </c>
      <c r="DQ13" s="61" t="s">
        <v>1192</v>
      </c>
      <c r="DS13" s="114" t="s">
        <v>1666</v>
      </c>
      <c r="DT13" s="44">
        <f>15000.01+20000.01</f>
        <v>35000.02</v>
      </c>
      <c r="DU13" s="140" t="s">
        <v>1667</v>
      </c>
      <c r="DV13" s="141"/>
      <c r="DW13" s="15" t="s">
        <v>1668</v>
      </c>
      <c r="DX13" s="15" t="s">
        <v>646</v>
      </c>
      <c r="DY13" s="150" t="s">
        <v>1669</v>
      </c>
      <c r="DZ13" s="15" t="s">
        <v>646</v>
      </c>
      <c r="EA13" s="22" t="s">
        <v>1594</v>
      </c>
      <c r="EB13" s="23">
        <f>9880+1491</f>
        <v>11371</v>
      </c>
      <c r="EE13" s="150" t="s">
        <v>1669</v>
      </c>
      <c r="EF13" s="15" t="s">
        <v>646</v>
      </c>
      <c r="EH13" s="48" t="s">
        <v>1670</v>
      </c>
      <c r="EI13" s="94">
        <v>10000</v>
      </c>
      <c r="EJ13" s="15" t="s">
        <v>1340</v>
      </c>
      <c r="EL13" s="72" t="s">
        <v>1662</v>
      </c>
      <c r="EM13" s="15" t="s">
        <v>646</v>
      </c>
      <c r="EN13" s="48" t="s">
        <v>1671</v>
      </c>
      <c r="EO13" s="94">
        <f>5000+3000</f>
        <v>8000</v>
      </c>
      <c r="EP13" s="15" t="s">
        <v>1636</v>
      </c>
      <c r="EQ13" s="15">
        <v>130</v>
      </c>
      <c r="ER13" s="160" t="s">
        <v>1672</v>
      </c>
      <c r="ET13" s="48" t="s">
        <v>1673</v>
      </c>
      <c r="EU13" s="94">
        <v>11000</v>
      </c>
      <c r="EV13" s="15" t="s">
        <v>1284</v>
      </c>
      <c r="EW13" s="15">
        <f>19.9+11.7</f>
        <v>31.6</v>
      </c>
      <c r="EX13" s="160" t="s">
        <v>1672</v>
      </c>
      <c r="EZ13" s="48" t="s">
        <v>1673</v>
      </c>
      <c r="FA13" s="94">
        <v>6000</v>
      </c>
      <c r="FB13" s="15" t="s">
        <v>1284</v>
      </c>
      <c r="FC13" s="15">
        <v>9.9</v>
      </c>
      <c r="FD13" s="163" t="s">
        <v>1674</v>
      </c>
      <c r="FE13" s="15">
        <v>10</v>
      </c>
      <c r="FF13" s="48" t="s">
        <v>1673</v>
      </c>
      <c r="FG13" s="94">
        <v>3000</v>
      </c>
      <c r="FJ13" s="163" t="s">
        <v>1675</v>
      </c>
      <c r="FK13" s="15" t="s">
        <v>646</v>
      </c>
      <c r="FL13" s="77" t="s">
        <v>1676</v>
      </c>
      <c r="FM13" s="77"/>
      <c r="FN13" s="15" t="s">
        <v>1474</v>
      </c>
      <c r="FO13" s="15" t="s">
        <v>646</v>
      </c>
      <c r="FP13" s="72" t="s">
        <v>1677</v>
      </c>
      <c r="FQ13" s="15">
        <v>1000</v>
      </c>
      <c r="FR13" s="15" t="s">
        <v>1678</v>
      </c>
      <c r="FS13" s="43">
        <f>-60000-24000</f>
        <v>-84000</v>
      </c>
      <c r="FT13" s="15" t="s">
        <v>1340</v>
      </c>
      <c r="FV13" s="72" t="s">
        <v>1677</v>
      </c>
      <c r="FW13" s="15">
        <v>4000</v>
      </c>
      <c r="FX13" s="63" t="s">
        <v>1607</v>
      </c>
      <c r="FY13" s="15">
        <v>473</v>
      </c>
      <c r="FZ13" s="15" t="s">
        <v>1272</v>
      </c>
      <c r="GA13" s="15">
        <v>52</v>
      </c>
      <c r="GB13" s="169" t="s">
        <v>1226</v>
      </c>
      <c r="GC13" s="15">
        <v>1800.02</v>
      </c>
      <c r="GD13" s="63" t="s">
        <v>1607</v>
      </c>
      <c r="GE13" s="15">
        <v>724</v>
      </c>
      <c r="GF13" s="614" t="s">
        <v>1216</v>
      </c>
      <c r="GH13" s="169" t="s">
        <v>1226</v>
      </c>
      <c r="GI13" s="15">
        <v>1800.03</v>
      </c>
      <c r="GJ13" s="63" t="s">
        <v>1151</v>
      </c>
      <c r="GK13" s="15">
        <v>3378</v>
      </c>
      <c r="GN13" s="169" t="s">
        <v>1679</v>
      </c>
      <c r="GO13" s="15">
        <v>1004</v>
      </c>
      <c r="GP13" s="63" t="s">
        <v>1151</v>
      </c>
      <c r="GQ13" s="15">
        <v>2198</v>
      </c>
      <c r="GR13" s="614" t="s">
        <v>1216</v>
      </c>
      <c r="GT13" s="169" t="s">
        <v>1226</v>
      </c>
      <c r="GU13" s="15">
        <f>1800.04+1800.05</f>
        <v>3600.09</v>
      </c>
      <c r="GV13" s="63" t="s">
        <v>1151</v>
      </c>
      <c r="GW13" s="15">
        <v>4266</v>
      </c>
      <c r="GX13" s="69" t="s">
        <v>148</v>
      </c>
      <c r="GY13" s="15">
        <v>137</v>
      </c>
      <c r="GZ13" s="72" t="s">
        <v>1405</v>
      </c>
      <c r="HA13" s="187">
        <f>HA18*5</f>
        <v>2104.93333333333</v>
      </c>
      <c r="HB13" s="63" t="s">
        <v>1120</v>
      </c>
      <c r="HC13" s="15">
        <v>700</v>
      </c>
      <c r="HD13" s="15" t="s">
        <v>1340</v>
      </c>
      <c r="HF13" s="169" t="s">
        <v>1226</v>
      </c>
      <c r="HG13" s="15">
        <v>1900.07</v>
      </c>
      <c r="HH13" s="63" t="s">
        <v>1151</v>
      </c>
      <c r="HI13" s="15">
        <v>3957</v>
      </c>
      <c r="HL13" s="170" t="s">
        <v>1680</v>
      </c>
      <c r="HM13" s="15">
        <v>140.45</v>
      </c>
      <c r="HN13" s="63" t="s">
        <v>1120</v>
      </c>
      <c r="HO13" s="15">
        <v>561</v>
      </c>
      <c r="HR13" s="170" t="s">
        <v>1681</v>
      </c>
      <c r="HS13" s="61">
        <v>71.9</v>
      </c>
      <c r="HT13" s="61" t="s">
        <v>1221</v>
      </c>
      <c r="HU13" s="15">
        <v>499</v>
      </c>
      <c r="HV13" s="15" t="s">
        <v>1682</v>
      </c>
      <c r="HW13" s="18">
        <v>14.49</v>
      </c>
      <c r="HX13" s="72" t="s">
        <v>1683</v>
      </c>
      <c r="HY13" s="15">
        <v>10.96</v>
      </c>
      <c r="HZ13" s="63" t="s">
        <v>1120</v>
      </c>
      <c r="IA13" s="15">
        <v>1075</v>
      </c>
      <c r="IB13" s="15" t="s">
        <v>1684</v>
      </c>
      <c r="IC13" s="219">
        <v>203.43</v>
      </c>
      <c r="ID13" s="221" t="s">
        <v>1685</v>
      </c>
      <c r="IE13" s="94">
        <v>25000</v>
      </c>
      <c r="IF13" s="63" t="s">
        <v>1686</v>
      </c>
      <c r="IG13" s="43">
        <v>361</v>
      </c>
      <c r="IH13" s="15" t="s">
        <v>1687</v>
      </c>
      <c r="II13" s="241">
        <f>160+85</f>
        <v>245</v>
      </c>
      <c r="IJ13" s="163" t="s">
        <v>1688</v>
      </c>
      <c r="IK13" s="15">
        <f>139.5+131.4</f>
        <v>270.9</v>
      </c>
      <c r="IL13" s="63" t="s">
        <v>1689</v>
      </c>
      <c r="IM13" s="43">
        <v>869</v>
      </c>
      <c r="IN13" s="15" t="s">
        <v>1484</v>
      </c>
      <c r="IO13" s="241"/>
      <c r="IP13" s="170" t="s">
        <v>1690</v>
      </c>
      <c r="IQ13" s="186">
        <f>2750.62/3</f>
        <v>916.873333333333</v>
      </c>
      <c r="IR13" s="77" t="s">
        <v>1691</v>
      </c>
      <c r="IS13" s="43">
        <v>142</v>
      </c>
      <c r="IV13" s="163" t="s">
        <v>1692</v>
      </c>
      <c r="IW13" s="101">
        <v>170</v>
      </c>
      <c r="IX13" s="61" t="s">
        <v>1221</v>
      </c>
      <c r="IY13" s="238">
        <v>2600</v>
      </c>
      <c r="JB13" s="250" t="s">
        <v>1693</v>
      </c>
      <c r="JC13" s="101">
        <f>80-40</f>
        <v>40</v>
      </c>
      <c r="JD13" s="61" t="s">
        <v>1221</v>
      </c>
      <c r="JE13" s="240">
        <v>2600</v>
      </c>
      <c r="JF13" s="15" t="s">
        <v>1694</v>
      </c>
      <c r="JG13" s="219">
        <v>22.41</v>
      </c>
      <c r="JH13" s="72" t="s">
        <v>1695</v>
      </c>
      <c r="JI13" s="253"/>
      <c r="JJ13" s="61" t="s">
        <v>1221</v>
      </c>
      <c r="JK13" s="43">
        <v>2600</v>
      </c>
      <c r="JL13" s="42" t="s">
        <v>1696</v>
      </c>
      <c r="JM13" s="38">
        <v>5.9</v>
      </c>
      <c r="JN13" s="72" t="s">
        <v>1697</v>
      </c>
      <c r="JO13" s="18">
        <f>JO14*4</f>
        <v>5080.752</v>
      </c>
      <c r="JP13" s="63" t="s">
        <v>1619</v>
      </c>
      <c r="JQ13" s="43">
        <v>682</v>
      </c>
      <c r="JR13" s="15" t="s">
        <v>1484</v>
      </c>
      <c r="JS13" s="241"/>
      <c r="JT13" s="72" t="s">
        <v>1698</v>
      </c>
      <c r="JU13" s="18">
        <f>JU14*4</f>
        <v>2540.376</v>
      </c>
      <c r="JV13" s="63" t="s">
        <v>1699</v>
      </c>
      <c r="JW13" s="43">
        <v>597</v>
      </c>
      <c r="JX13" s="42" t="s">
        <v>1700</v>
      </c>
      <c r="JY13" s="38">
        <v>7.95</v>
      </c>
      <c r="JZ13" s="163" t="s">
        <v>1701</v>
      </c>
      <c r="KA13" s="41">
        <v>67.23</v>
      </c>
      <c r="KB13" s="63" t="s">
        <v>1619</v>
      </c>
      <c r="KC13" s="43">
        <v>765</v>
      </c>
      <c r="KD13" s="15" t="s">
        <v>1702</v>
      </c>
      <c r="KE13" s="38">
        <v>46</v>
      </c>
      <c r="KF13" s="170" t="s">
        <v>1636</v>
      </c>
      <c r="KG13" s="41">
        <f>10+6.5+15</f>
        <v>31.5</v>
      </c>
      <c r="KH13" s="61" t="s">
        <v>1703</v>
      </c>
      <c r="KI13" s="94">
        <v>366011</v>
      </c>
      <c r="KJ13" s="15" t="s">
        <v>1430</v>
      </c>
      <c r="KK13" s="38">
        <f>73.33+0.96</f>
        <v>74.29</v>
      </c>
      <c r="KL13" s="86" t="s">
        <v>1346</v>
      </c>
      <c r="KM13" s="15">
        <v>40.59</v>
      </c>
      <c r="KN13" s="48" t="s">
        <v>1433</v>
      </c>
      <c r="KO13" s="94">
        <v>-82000</v>
      </c>
      <c r="KP13" s="15" t="s">
        <v>1704</v>
      </c>
      <c r="KQ13" s="38"/>
      <c r="KR13" s="163" t="s">
        <v>1705</v>
      </c>
      <c r="KS13" s="15">
        <v>43.2</v>
      </c>
      <c r="KT13" s="48" t="s">
        <v>1433</v>
      </c>
      <c r="KU13" s="94">
        <v>-82000</v>
      </c>
      <c r="KV13" s="61" t="s">
        <v>1563</v>
      </c>
      <c r="KW13" s="38">
        <v>15</v>
      </c>
      <c r="KX13" s="163" t="s">
        <v>1706</v>
      </c>
      <c r="KY13" s="61">
        <v>113.21</v>
      </c>
      <c r="KZ13" s="63" t="s">
        <v>1451</v>
      </c>
      <c r="LA13" s="43">
        <v>1</v>
      </c>
      <c r="LB13" s="287" t="s">
        <v>1707</v>
      </c>
      <c r="LC13" s="287"/>
      <c r="LD13" s="292" t="s">
        <v>1365</v>
      </c>
      <c r="LE13" s="18">
        <v>3200</v>
      </c>
      <c r="LF13" s="63" t="s">
        <v>1708</v>
      </c>
      <c r="LG13" s="43">
        <v>101429</v>
      </c>
      <c r="LH13" s="61" t="s">
        <v>1709</v>
      </c>
      <c r="LI13" s="38">
        <v>10.24</v>
      </c>
      <c r="LJ13" s="163" t="s">
        <v>1710</v>
      </c>
      <c r="LK13" s="306">
        <v>79</v>
      </c>
      <c r="LL13" s="63" t="s">
        <v>1708</v>
      </c>
      <c r="LM13" s="43">
        <v>101434</v>
      </c>
      <c r="LN13" s="65" t="s">
        <v>1711</v>
      </c>
      <c r="LO13" s="56">
        <v>-21.1</v>
      </c>
      <c r="LP13" s="42" t="s">
        <v>1712</v>
      </c>
      <c r="LQ13" s="41">
        <v>136.5</v>
      </c>
      <c r="LR13" s="63" t="s">
        <v>1635</v>
      </c>
      <c r="LS13" s="43">
        <v>279001</v>
      </c>
      <c r="LT13" s="15" t="s">
        <v>1637</v>
      </c>
      <c r="LU13" s="38"/>
      <c r="LV13" s="150" t="s">
        <v>1713</v>
      </c>
      <c r="LW13" s="57">
        <f>749.38+250.7</f>
        <v>1000.08</v>
      </c>
      <c r="LX13" s="63" t="s">
        <v>1708</v>
      </c>
      <c r="LY13" s="43">
        <v>101740</v>
      </c>
      <c r="LZ13" s="15" t="s">
        <v>1637</v>
      </c>
      <c r="MA13" s="38"/>
      <c r="MB13" s="151" t="s">
        <v>1714</v>
      </c>
      <c r="MC13" s="41">
        <f>13.57+9+9</f>
        <v>31.57</v>
      </c>
      <c r="MD13" s="48" t="s">
        <v>1503</v>
      </c>
      <c r="ME13" s="94">
        <f>-87000</f>
        <v>-87000</v>
      </c>
      <c r="MF13" s="15" t="s">
        <v>1374</v>
      </c>
      <c r="MG13" s="38">
        <v>64</v>
      </c>
      <c r="MH13" s="163" t="s">
        <v>1438</v>
      </c>
      <c r="MI13" s="57">
        <v>191</v>
      </c>
      <c r="MJ13" s="15" t="s">
        <v>1368</v>
      </c>
      <c r="MK13" s="43">
        <v>-120100</v>
      </c>
      <c r="ML13" s="48" t="s">
        <v>1715</v>
      </c>
      <c r="MM13" s="38">
        <f>42.47+76.44+212.33</f>
        <v>331.24</v>
      </c>
      <c r="MN13" s="151" t="s">
        <v>1716</v>
      </c>
      <c r="MO13" s="41">
        <v>42.38</v>
      </c>
      <c r="MP13" s="15" t="s">
        <v>1368</v>
      </c>
      <c r="MQ13" s="43">
        <v>-116600</v>
      </c>
      <c r="MR13" s="15" t="s">
        <v>1637</v>
      </c>
      <c r="MS13" s="38"/>
      <c r="MT13" s="301" t="s">
        <v>1717</v>
      </c>
      <c r="MU13" s="57">
        <v>180.46</v>
      </c>
      <c r="MV13" s="15" t="s">
        <v>1718</v>
      </c>
      <c r="MW13" s="43">
        <v>-113000</v>
      </c>
      <c r="MX13" s="61" t="s">
        <v>1508</v>
      </c>
      <c r="MY13" s="38">
        <v>2.001</v>
      </c>
      <c r="MZ13" s="151" t="s">
        <v>1714</v>
      </c>
      <c r="NA13" s="41">
        <f>13.57+9+9</f>
        <v>31.57</v>
      </c>
      <c r="NB13" s="15" t="s">
        <v>1640</v>
      </c>
      <c r="NC13" s="173" t="s">
        <v>1719</v>
      </c>
      <c r="ND13" s="15" t="s">
        <v>1374</v>
      </c>
      <c r="NE13" s="38">
        <v>71.001</v>
      </c>
      <c r="NF13" s="151" t="s">
        <v>1636</v>
      </c>
      <c r="NG13" s="41">
        <f>24+5</f>
        <v>29</v>
      </c>
      <c r="NH13" s="63" t="s">
        <v>1720</v>
      </c>
      <c r="NI13" s="43">
        <v>100722</v>
      </c>
      <c r="NJ13" s="48" t="s">
        <v>1721</v>
      </c>
      <c r="NK13" s="38">
        <f>35.99+64.79+179.96</f>
        <v>280.74</v>
      </c>
      <c r="NL13" s="151" t="s">
        <v>1636</v>
      </c>
      <c r="NM13" s="57">
        <v>5</v>
      </c>
      <c r="NN13" s="63" t="s">
        <v>1720</v>
      </c>
      <c r="NO13" s="43">
        <v>101021</v>
      </c>
      <c r="NP13" s="61" t="s">
        <v>1722</v>
      </c>
      <c r="NQ13" s="38">
        <v>558.57</v>
      </c>
      <c r="NR13" s="151" t="s">
        <v>1516</v>
      </c>
      <c r="NS13" s="57">
        <v>71.6</v>
      </c>
      <c r="NT13" s="63" t="s">
        <v>1451</v>
      </c>
      <c r="NU13" s="43">
        <v>0</v>
      </c>
      <c r="NV13" s="15" t="s">
        <v>1723</v>
      </c>
      <c r="NW13" s="41">
        <v>1850</v>
      </c>
      <c r="NX13" s="163" t="s">
        <v>1724</v>
      </c>
      <c r="NY13" s="41">
        <f>7000+3300</f>
        <v>10300</v>
      </c>
      <c r="NZ13" s="69" t="s">
        <v>1725</v>
      </c>
      <c r="OA13" s="251"/>
      <c r="OD13" s="151" t="s">
        <v>1516</v>
      </c>
      <c r="OE13" s="57"/>
      <c r="OF13" s="48" t="s">
        <v>1726</v>
      </c>
      <c r="OG13" s="94">
        <v>-502</v>
      </c>
      <c r="OH13" s="347"/>
    </row>
    <row r="14" spans="1:398">
      <c r="A14" s="22" t="s">
        <v>1332</v>
      </c>
      <c r="B14" s="55">
        <v>-1047</v>
      </c>
      <c r="E14" s="53" t="s">
        <v>1226</v>
      </c>
      <c r="F14" s="53">
        <f>2500*5</f>
        <v>12500</v>
      </c>
      <c r="G14" s="22" t="s">
        <v>1332</v>
      </c>
      <c r="H14" s="55">
        <v>-1303</v>
      </c>
      <c r="K14" s="53" t="s">
        <v>1226</v>
      </c>
      <c r="L14" s="15">
        <v>0</v>
      </c>
      <c r="M14" s="22" t="s">
        <v>266</v>
      </c>
      <c r="N14" s="55">
        <v>0</v>
      </c>
      <c r="O14" s="15" t="s">
        <v>1727</v>
      </c>
      <c r="P14" s="15">
        <v>700</v>
      </c>
      <c r="Q14" s="71" t="s">
        <v>1226</v>
      </c>
      <c r="R14" s="15">
        <f>2500.09+2500.1</f>
        <v>5000.19</v>
      </c>
      <c r="S14" s="22" t="s">
        <v>266</v>
      </c>
      <c r="T14" s="55">
        <v>0</v>
      </c>
      <c r="U14" s="15" t="s">
        <v>1727</v>
      </c>
      <c r="V14" s="15">
        <v>0</v>
      </c>
      <c r="W14" s="71" t="s">
        <v>1728</v>
      </c>
      <c r="X14" s="15">
        <v>100</v>
      </c>
      <c r="Y14" s="22" t="s">
        <v>1729</v>
      </c>
      <c r="Z14" s="55">
        <v>110.001</v>
      </c>
      <c r="AA14" s="15" t="s">
        <v>1727</v>
      </c>
      <c r="AB14" s="15">
        <v>0</v>
      </c>
      <c r="AC14" s="66" t="s">
        <v>1730</v>
      </c>
      <c r="AD14" s="15">
        <v>0</v>
      </c>
      <c r="AE14" s="22" t="s">
        <v>1332</v>
      </c>
      <c r="AF14" s="55">
        <v>-1678.46</v>
      </c>
      <c r="AG14" s="15" t="s">
        <v>1731</v>
      </c>
      <c r="AI14" s="66" t="s">
        <v>1730</v>
      </c>
      <c r="AJ14" s="15">
        <v>0</v>
      </c>
      <c r="AK14" s="22" t="s">
        <v>1332</v>
      </c>
      <c r="AL14" s="55">
        <v>-2265</v>
      </c>
      <c r="AM14" s="15" t="s">
        <v>1732</v>
      </c>
      <c r="AN14" s="15">
        <v>17</v>
      </c>
      <c r="AO14" s="71" t="s">
        <v>1733</v>
      </c>
      <c r="AP14" s="15">
        <v>3300</v>
      </c>
      <c r="AQ14" s="22" t="s">
        <v>1332</v>
      </c>
      <c r="AR14" s="55">
        <v>-292</v>
      </c>
      <c r="AU14" s="71" t="s">
        <v>1734</v>
      </c>
      <c r="AV14" s="15">
        <v>200</v>
      </c>
      <c r="AW14" s="22" t="s">
        <v>1332</v>
      </c>
      <c r="AX14" s="55">
        <v>-1148</v>
      </c>
      <c r="AY14" s="71"/>
      <c r="BA14" s="22" t="s">
        <v>1332</v>
      </c>
      <c r="BB14" s="55">
        <f t="shared" si="0"/>
        <v>-1148</v>
      </c>
      <c r="BE14" s="71" t="s">
        <v>1735</v>
      </c>
      <c r="BF14" s="15" t="s">
        <v>646</v>
      </c>
      <c r="BG14" s="22" t="s">
        <v>1332</v>
      </c>
      <c r="BH14" s="15">
        <v>-1906</v>
      </c>
      <c r="BI14" s="42" t="s">
        <v>1731</v>
      </c>
      <c r="BJ14" s="61" t="s">
        <v>646</v>
      </c>
      <c r="BK14" s="86" t="s">
        <v>1656</v>
      </c>
      <c r="BL14" s="42" t="s">
        <v>646</v>
      </c>
      <c r="BM14" s="22" t="s">
        <v>1332</v>
      </c>
      <c r="BN14" s="22">
        <v>-1333</v>
      </c>
      <c r="BO14" s="42" t="s">
        <v>1731</v>
      </c>
      <c r="BP14" s="61" t="s">
        <v>646</v>
      </c>
      <c r="BQ14" s="86" t="s">
        <v>1656</v>
      </c>
      <c r="BR14" s="61" t="s">
        <v>646</v>
      </c>
      <c r="BS14" s="22" t="s">
        <v>1332</v>
      </c>
      <c r="BT14" s="23">
        <v>-1444</v>
      </c>
      <c r="BW14" s="86" t="s">
        <v>1656</v>
      </c>
      <c r="BX14" s="61" t="s">
        <v>646</v>
      </c>
      <c r="BY14" s="22" t="s">
        <v>1653</v>
      </c>
      <c r="BZ14" s="55">
        <v>73</v>
      </c>
      <c r="CA14" s="61" t="s">
        <v>1736</v>
      </c>
      <c r="CC14" s="86" t="s">
        <v>1656</v>
      </c>
      <c r="CD14" s="61" t="s">
        <v>646</v>
      </c>
      <c r="CE14" s="22" t="s">
        <v>199</v>
      </c>
      <c r="CF14" s="55">
        <v>0</v>
      </c>
      <c r="CG14" s="57" t="s">
        <v>1737</v>
      </c>
      <c r="CH14" s="61">
        <v>20.1</v>
      </c>
      <c r="CI14" s="86" t="s">
        <v>1738</v>
      </c>
      <c r="CJ14" s="61">
        <v>1000</v>
      </c>
      <c r="CK14" s="22" t="s">
        <v>1592</v>
      </c>
      <c r="CL14" s="55">
        <v>15.87</v>
      </c>
      <c r="CM14" s="57" t="s">
        <v>1739</v>
      </c>
      <c r="CN14" s="61">
        <v>5.8</v>
      </c>
      <c r="CO14" s="86" t="s">
        <v>1656</v>
      </c>
      <c r="CP14" s="61" t="s">
        <v>646</v>
      </c>
      <c r="CQ14" s="22" t="s">
        <v>199</v>
      </c>
      <c r="CR14" s="55" t="s">
        <v>646</v>
      </c>
      <c r="CS14" s="61" t="s">
        <v>657</v>
      </c>
      <c r="CU14" s="108" t="s">
        <v>1589</v>
      </c>
      <c r="CV14" s="61">
        <v>100</v>
      </c>
      <c r="CW14" s="22" t="s">
        <v>199</v>
      </c>
      <c r="CX14" s="55" t="s">
        <v>646</v>
      </c>
      <c r="CY14" s="57" t="s">
        <v>1740</v>
      </c>
      <c r="CZ14" s="61"/>
      <c r="DA14" s="114" t="s">
        <v>1587</v>
      </c>
      <c r="DB14" s="42">
        <v>1800.12</v>
      </c>
      <c r="DC14" s="22" t="s">
        <v>1332</v>
      </c>
      <c r="DD14" s="55">
        <v>-2258</v>
      </c>
      <c r="DE14" s="57" t="s">
        <v>1741</v>
      </c>
      <c r="DF14" s="61">
        <v>11.94</v>
      </c>
      <c r="DG14" s="114" t="s">
        <v>1742</v>
      </c>
      <c r="DH14" s="57">
        <v>500</v>
      </c>
      <c r="DI14" s="22" t="s">
        <v>199</v>
      </c>
      <c r="DJ14" s="55">
        <v>0</v>
      </c>
      <c r="DK14" s="57"/>
      <c r="DL14" s="61"/>
      <c r="DM14" s="114" t="s">
        <v>1743</v>
      </c>
      <c r="DN14" s="57">
        <v>2700</v>
      </c>
      <c r="DO14" s="130" t="s">
        <v>1744</v>
      </c>
      <c r="DP14" s="131"/>
      <c r="DQ14" s="57" t="s">
        <v>1745</v>
      </c>
      <c r="DR14" s="61">
        <v>128.4</v>
      </c>
      <c r="DS14" s="114" t="s">
        <v>1533</v>
      </c>
      <c r="DT14" s="57" t="s">
        <v>646</v>
      </c>
      <c r="DU14" s="22" t="s">
        <v>1594</v>
      </c>
      <c r="DV14" s="23">
        <f>10013+1491</f>
        <v>11504</v>
      </c>
      <c r="DY14" s="68"/>
      <c r="DZ14" s="153"/>
      <c r="EA14" s="22" t="s">
        <v>1670</v>
      </c>
      <c r="EB14" s="92">
        <v>10000</v>
      </c>
      <c r="EC14" s="15" t="s">
        <v>1192</v>
      </c>
      <c r="EE14" s="68" t="s">
        <v>1609</v>
      </c>
      <c r="EF14" s="153" t="s">
        <v>646</v>
      </c>
      <c r="EH14" s="48" t="s">
        <v>1746</v>
      </c>
      <c r="EI14" s="94">
        <v>10000</v>
      </c>
      <c r="EL14" s="160" t="s">
        <v>1598</v>
      </c>
      <c r="EM14" s="15">
        <v>1476</v>
      </c>
      <c r="EN14" s="48" t="s">
        <v>1747</v>
      </c>
      <c r="EO14" s="94">
        <f>5000+5000</f>
        <v>10000</v>
      </c>
      <c r="ER14" s="163" t="s">
        <v>1748</v>
      </c>
      <c r="ES14" s="15">
        <v>10</v>
      </c>
      <c r="ET14" s="61" t="s">
        <v>1749</v>
      </c>
      <c r="EU14" s="91">
        <v>1000</v>
      </c>
      <c r="EV14" s="15" t="s">
        <v>1750</v>
      </c>
      <c r="EW14" s="15">
        <v>104</v>
      </c>
      <c r="EX14" s="163" t="s">
        <v>1751</v>
      </c>
      <c r="EY14" s="153">
        <v>481.5</v>
      </c>
      <c r="EZ14" s="61" t="s">
        <v>1749</v>
      </c>
      <c r="FA14" s="91">
        <v>1000</v>
      </c>
      <c r="FB14" s="15" t="s">
        <v>1752</v>
      </c>
      <c r="FC14" s="15">
        <v>31.1</v>
      </c>
      <c r="FD14" s="163" t="s">
        <v>1753</v>
      </c>
      <c r="FE14" s="15">
        <v>11.25</v>
      </c>
      <c r="FF14" s="61" t="s">
        <v>1749</v>
      </c>
      <c r="FG14" s="91">
        <v>1000</v>
      </c>
      <c r="FH14" s="614" t="s">
        <v>1754</v>
      </c>
      <c r="FJ14" s="163" t="s">
        <v>1701</v>
      </c>
      <c r="FK14" s="153">
        <v>35.32</v>
      </c>
      <c r="FL14" s="48" t="s">
        <v>1594</v>
      </c>
      <c r="FM14" s="94">
        <v>478</v>
      </c>
      <c r="FP14" s="72" t="s">
        <v>1309</v>
      </c>
      <c r="FQ14" s="15">
        <v>10000</v>
      </c>
      <c r="FR14" s="77" t="s">
        <v>1755</v>
      </c>
      <c r="FS14" s="77"/>
      <c r="FT14" s="69" t="s">
        <v>148</v>
      </c>
      <c r="FU14" s="15">
        <v>67</v>
      </c>
      <c r="FV14" s="72" t="s">
        <v>1756</v>
      </c>
      <c r="FW14" s="15">
        <f>10000+20000+30000</f>
        <v>60000</v>
      </c>
      <c r="FX14" s="63" t="s">
        <v>1686</v>
      </c>
      <c r="FY14" s="15">
        <v>1218</v>
      </c>
      <c r="GB14" s="169" t="s">
        <v>1757</v>
      </c>
      <c r="GC14" s="15">
        <v>1000</v>
      </c>
      <c r="GD14" s="63" t="s">
        <v>1686</v>
      </c>
      <c r="GE14" s="15">
        <v>1258</v>
      </c>
      <c r="GF14" s="15" t="s">
        <v>1272</v>
      </c>
      <c r="GG14" s="15">
        <v>43</v>
      </c>
      <c r="GH14" s="169" t="s">
        <v>1758</v>
      </c>
      <c r="GI14" s="15">
        <v>2000</v>
      </c>
      <c r="GJ14" s="63" t="s">
        <v>1607</v>
      </c>
      <c r="GK14" s="15">
        <v>567</v>
      </c>
      <c r="GL14" s="15" t="s">
        <v>1340</v>
      </c>
      <c r="GN14" s="72" t="s">
        <v>1633</v>
      </c>
      <c r="GP14" s="63" t="s">
        <v>1607</v>
      </c>
      <c r="GQ14" s="15">
        <v>642</v>
      </c>
      <c r="GR14" s="15" t="s">
        <v>1272</v>
      </c>
      <c r="GS14" s="15">
        <v>50</v>
      </c>
      <c r="GT14" s="169" t="s">
        <v>1759</v>
      </c>
      <c r="GU14" s="15">
        <v>1000.05</v>
      </c>
      <c r="GV14" s="63" t="s">
        <v>1607</v>
      </c>
      <c r="GW14" s="15">
        <v>21</v>
      </c>
      <c r="GX14" s="15" t="s">
        <v>1760</v>
      </c>
      <c r="GY14" s="15">
        <v>40</v>
      </c>
      <c r="GZ14" s="179" t="s">
        <v>1353</v>
      </c>
      <c r="HA14" s="15">
        <v>1476</v>
      </c>
      <c r="HB14" s="63" t="s">
        <v>1151</v>
      </c>
      <c r="HC14" s="15">
        <v>2184</v>
      </c>
      <c r="HD14" s="69" t="s">
        <v>1761</v>
      </c>
      <c r="HE14" s="15">
        <v>90</v>
      </c>
      <c r="HF14" s="72" t="s">
        <v>1309</v>
      </c>
      <c r="HG14" s="15">
        <v>1000</v>
      </c>
      <c r="HH14" s="63" t="s">
        <v>1607</v>
      </c>
      <c r="HI14" s="15">
        <v>3063</v>
      </c>
      <c r="HJ14" s="17" t="s">
        <v>1762</v>
      </c>
      <c r="HK14" s="17"/>
      <c r="HL14" s="170" t="s">
        <v>1636</v>
      </c>
      <c r="HM14" s="15">
        <f>6.5+15</f>
        <v>21.5</v>
      </c>
      <c r="HN14" s="63" t="s">
        <v>1151</v>
      </c>
      <c r="HO14" s="15">
        <v>912</v>
      </c>
      <c r="HP14" s="194"/>
      <c r="HQ14" s="188"/>
      <c r="HR14" s="170" t="s">
        <v>1540</v>
      </c>
      <c r="HS14" s="15">
        <v>132.95</v>
      </c>
      <c r="HT14" s="63" t="s">
        <v>1120</v>
      </c>
      <c r="HU14" s="15">
        <v>1235</v>
      </c>
      <c r="HW14" s="18"/>
      <c r="HX14" s="72" t="s">
        <v>1763</v>
      </c>
      <c r="HY14" s="43">
        <f>-IA6</f>
        <v>0</v>
      </c>
      <c r="HZ14" s="63" t="s">
        <v>1151</v>
      </c>
      <c r="IA14" s="15">
        <v>2028</v>
      </c>
      <c r="IB14" s="15" t="s">
        <v>1764</v>
      </c>
      <c r="IC14" s="219">
        <v>13.56</v>
      </c>
      <c r="ID14" s="221" t="s">
        <v>1765</v>
      </c>
      <c r="IE14" s="94">
        <v>2000</v>
      </c>
      <c r="IF14" s="63" t="s">
        <v>1766</v>
      </c>
      <c r="IG14" s="43">
        <v>1000</v>
      </c>
      <c r="II14" s="241"/>
      <c r="IJ14" s="72" t="s">
        <v>1407</v>
      </c>
      <c r="IK14" s="15">
        <v>100</v>
      </c>
      <c r="IL14" s="63" t="s">
        <v>1767</v>
      </c>
      <c r="IM14" s="43">
        <v>3140</v>
      </c>
      <c r="IN14" s="15" t="s">
        <v>1188</v>
      </c>
      <c r="IO14" s="241">
        <f>75+12</f>
        <v>87</v>
      </c>
      <c r="IP14" s="170" t="s">
        <v>1540</v>
      </c>
      <c r="IQ14" s="15">
        <v>30</v>
      </c>
      <c r="IR14" s="63" t="s">
        <v>1768</v>
      </c>
      <c r="IS14" s="43" t="s">
        <v>1769</v>
      </c>
      <c r="IT14" s="15" t="s">
        <v>1484</v>
      </c>
      <c r="IU14" s="241"/>
      <c r="IV14" s="72" t="s">
        <v>1698</v>
      </c>
      <c r="IW14" s="43">
        <f>IW15*2</f>
        <v>2116.96666666667</v>
      </c>
      <c r="IX14" s="63" t="s">
        <v>1120</v>
      </c>
      <c r="IY14" s="43">
        <v>983</v>
      </c>
      <c r="IZ14" s="15" t="s">
        <v>1484</v>
      </c>
      <c r="JA14" s="241"/>
      <c r="JB14" s="72" t="s">
        <v>1770</v>
      </c>
      <c r="JC14" s="241">
        <v>26.001</v>
      </c>
      <c r="JD14" s="63" t="s">
        <v>1120</v>
      </c>
      <c r="JE14" s="43">
        <v>635</v>
      </c>
      <c r="JF14" s="15" t="s">
        <v>1771</v>
      </c>
      <c r="JG14" s="219">
        <v>118.15</v>
      </c>
      <c r="JH14" s="72" t="s">
        <v>1772</v>
      </c>
      <c r="JI14" s="219">
        <v>1422.53</v>
      </c>
      <c r="JJ14" s="63" t="s">
        <v>1120</v>
      </c>
      <c r="JK14" s="43">
        <v>966</v>
      </c>
      <c r="JL14" s="42" t="s">
        <v>1773</v>
      </c>
      <c r="JM14" s="38"/>
      <c r="JN14" s="170" t="s">
        <v>1774</v>
      </c>
      <c r="JO14" s="18">
        <f>(3175.47/5)*2</f>
        <v>1270.188</v>
      </c>
      <c r="JP14" s="63" t="s">
        <v>1699</v>
      </c>
      <c r="JQ14" s="43">
        <v>895</v>
      </c>
      <c r="JR14" s="15" t="s">
        <v>1188</v>
      </c>
      <c r="JS14" s="38">
        <f>54.27+1.49</f>
        <v>55.76</v>
      </c>
      <c r="JT14" s="170" t="s">
        <v>1775</v>
      </c>
      <c r="JU14" s="18">
        <f>(3175.47/5)</f>
        <v>635.094</v>
      </c>
      <c r="JV14" s="63" t="s">
        <v>1776</v>
      </c>
      <c r="JW14" s="43">
        <v>561</v>
      </c>
      <c r="JX14" s="42" t="s">
        <v>1777</v>
      </c>
      <c r="JY14" s="38"/>
      <c r="JZ14" s="163" t="s">
        <v>1778</v>
      </c>
      <c r="KA14" s="41">
        <v>2062.8</v>
      </c>
      <c r="KB14" s="63" t="s">
        <v>1699</v>
      </c>
      <c r="KC14" s="240">
        <v>1438</v>
      </c>
      <c r="KD14" s="15" t="s">
        <v>1474</v>
      </c>
      <c r="KE14" s="38">
        <v>13.54</v>
      </c>
      <c r="KF14" s="170" t="s">
        <v>1714</v>
      </c>
      <c r="KG14" s="41">
        <f>14.32+18</f>
        <v>32.32</v>
      </c>
      <c r="KH14" s="63" t="s">
        <v>1708</v>
      </c>
      <c r="KI14" s="43">
        <v>100032</v>
      </c>
      <c r="KJ14" s="42"/>
      <c r="KK14" s="38"/>
      <c r="KL14" s="139" t="s">
        <v>1309</v>
      </c>
      <c r="KM14" s="241">
        <v>1000</v>
      </c>
      <c r="KN14" s="63" t="s">
        <v>1241</v>
      </c>
      <c r="KO14" s="43">
        <v>-4000</v>
      </c>
      <c r="KP14" s="48" t="s">
        <v>1779</v>
      </c>
      <c r="KQ14" s="38">
        <f>205.48+73.97+65.75</f>
        <v>345.2</v>
      </c>
      <c r="KR14" s="86" t="s">
        <v>1780</v>
      </c>
      <c r="KS14" s="61">
        <v>3.33</v>
      </c>
      <c r="KT14" s="63" t="s">
        <v>1241</v>
      </c>
      <c r="KU14" s="43">
        <v>-4000</v>
      </c>
      <c r="KV14" s="15" t="s">
        <v>1474</v>
      </c>
      <c r="KW14" s="38">
        <v>13.96</v>
      </c>
      <c r="KX14" s="163" t="s">
        <v>1781</v>
      </c>
      <c r="KY14" s="61">
        <v>91.22</v>
      </c>
      <c r="KZ14" s="63" t="s">
        <v>1324</v>
      </c>
      <c r="LA14" s="43">
        <v>233004</v>
      </c>
      <c r="LB14" s="42"/>
      <c r="LC14" s="38"/>
      <c r="LD14" s="163" t="s">
        <v>1782</v>
      </c>
      <c r="LE14" s="306">
        <v>734.4</v>
      </c>
      <c r="LF14" s="69" t="s">
        <v>1725</v>
      </c>
      <c r="LG14" s="251"/>
      <c r="LH14" s="42" t="s">
        <v>1700</v>
      </c>
      <c r="LI14" s="38">
        <v>9.14</v>
      </c>
      <c r="LJ14" s="163" t="s">
        <v>1783</v>
      </c>
      <c r="LK14" s="306">
        <v>21.2</v>
      </c>
      <c r="LL14" s="69" t="s">
        <v>1725</v>
      </c>
      <c r="LM14" s="251"/>
      <c r="LN14" s="65" t="s">
        <v>1784</v>
      </c>
      <c r="LO14" s="56">
        <v>-28.82</v>
      </c>
      <c r="LP14" s="42" t="s">
        <v>1785</v>
      </c>
      <c r="LQ14" s="57">
        <v>3082.59</v>
      </c>
      <c r="LR14" s="63" t="s">
        <v>1708</v>
      </c>
      <c r="LS14" s="43">
        <v>100925</v>
      </c>
      <c r="LT14" s="48" t="s">
        <v>1786</v>
      </c>
      <c r="LU14" s="38">
        <f>39.73+71.51+198.63</f>
        <v>309.87</v>
      </c>
      <c r="LV14" s="150" t="s">
        <v>1787</v>
      </c>
      <c r="LW14" s="57"/>
      <c r="LX14" s="63" t="s">
        <v>1310</v>
      </c>
      <c r="LY14" s="240">
        <v>50000</v>
      </c>
      <c r="LZ14" s="48" t="s">
        <v>1715</v>
      </c>
      <c r="MA14" s="38">
        <f>212.33+76.44+42.47</f>
        <v>331.24</v>
      </c>
      <c r="MB14" s="151" t="s">
        <v>1788</v>
      </c>
      <c r="MC14" s="41">
        <f>18.56+10+17.49+17.37+15.72+10+16.79+18.38+10+17.1</f>
        <v>151.41</v>
      </c>
      <c r="MD14" s="63" t="s">
        <v>1451</v>
      </c>
      <c r="ME14" s="43">
        <v>28002</v>
      </c>
      <c r="MF14" s="61" t="s">
        <v>1789</v>
      </c>
      <c r="MG14" s="38">
        <v>26.77</v>
      </c>
      <c r="MH14" s="151" t="s">
        <v>1505</v>
      </c>
      <c r="MI14" s="41">
        <v>80</v>
      </c>
      <c r="MJ14" s="63" t="s">
        <v>1241</v>
      </c>
      <c r="MK14" s="43">
        <v>-4000</v>
      </c>
      <c r="ML14" s="42" t="s">
        <v>1790</v>
      </c>
      <c r="MM14" s="41">
        <v>34.65</v>
      </c>
      <c r="MN14" s="151" t="s">
        <v>1505</v>
      </c>
      <c r="MO14" s="41">
        <v>30</v>
      </c>
      <c r="MP14" s="63" t="s">
        <v>1241</v>
      </c>
      <c r="MQ14" s="43">
        <v>-4000</v>
      </c>
      <c r="MR14" s="15" t="s">
        <v>1791</v>
      </c>
      <c r="MS14" s="38">
        <v>132.45</v>
      </c>
      <c r="MT14" s="151" t="s">
        <v>1716</v>
      </c>
      <c r="MU14" s="41">
        <v>73.4</v>
      </c>
      <c r="MV14" s="63" t="s">
        <v>1241</v>
      </c>
      <c r="MW14" s="43">
        <v>-4000</v>
      </c>
      <c r="MX14" s="15" t="s">
        <v>1637</v>
      </c>
      <c r="MY14" s="38"/>
      <c r="MZ14" s="151" t="s">
        <v>1788</v>
      </c>
      <c r="NA14" s="41">
        <f>18.83+10+14.95+10+10+13.86+15.08+17.6</f>
        <v>110.32</v>
      </c>
      <c r="NB14" s="15" t="s">
        <v>1718</v>
      </c>
      <c r="NC14" s="173" t="s">
        <v>1719</v>
      </c>
      <c r="ND14" s="61" t="s">
        <v>1792</v>
      </c>
      <c r="NE14" s="38">
        <f>80.35+7.91</f>
        <v>88.26</v>
      </c>
      <c r="NF14" s="151" t="s">
        <v>1714</v>
      </c>
      <c r="NG14" s="41">
        <f>13.57+9*2</f>
        <v>31.57</v>
      </c>
      <c r="NH14" s="63" t="s">
        <v>1521</v>
      </c>
      <c r="NI14" s="43">
        <v>12</v>
      </c>
      <c r="NJ14" s="42" t="s">
        <v>1793</v>
      </c>
      <c r="NK14" s="41">
        <f>27.64+0.55</f>
        <v>28.19</v>
      </c>
      <c r="NL14" s="151" t="s">
        <v>1714</v>
      </c>
      <c r="NM14" s="41">
        <f>13.57+9*2</f>
        <v>31.57</v>
      </c>
      <c r="NN14" s="63" t="s">
        <v>1451</v>
      </c>
      <c r="NO14" s="43">
        <v>0</v>
      </c>
      <c r="NP14" s="61" t="s">
        <v>1794</v>
      </c>
      <c r="NQ14" s="38">
        <v>284.46</v>
      </c>
      <c r="NR14" s="151" t="s">
        <v>1795</v>
      </c>
      <c r="NS14" s="44">
        <v>10.9</v>
      </c>
      <c r="NT14" s="63" t="s">
        <v>1521</v>
      </c>
      <c r="NU14" s="43">
        <v>13</v>
      </c>
      <c r="NV14" s="61"/>
      <c r="NX14" s="151" t="s">
        <v>1445</v>
      </c>
      <c r="NY14" s="41">
        <v>150</v>
      </c>
      <c r="NZ14" s="48" t="s">
        <v>1726</v>
      </c>
      <c r="OA14" s="94">
        <v>-502</v>
      </c>
      <c r="OB14" s="61"/>
      <c r="OD14" s="151" t="s">
        <v>1796</v>
      </c>
      <c r="OE14" s="44"/>
      <c r="OF14" s="332">
        <v>93.29</v>
      </c>
      <c r="OG14" s="94"/>
      <c r="OH14" s="347">
        <v>45656</v>
      </c>
    </row>
    <row r="15" spans="1:398">
      <c r="A15" s="22" t="s">
        <v>199</v>
      </c>
      <c r="B15" s="55">
        <v>0</v>
      </c>
      <c r="E15" s="53"/>
      <c r="F15" s="53"/>
      <c r="G15" s="22" t="s">
        <v>199</v>
      </c>
      <c r="H15" s="55">
        <v>0</v>
      </c>
      <c r="K15" s="53"/>
      <c r="M15" s="48" t="s">
        <v>1455</v>
      </c>
      <c r="N15" s="56">
        <v>0</v>
      </c>
      <c r="Q15" s="71" t="s">
        <v>1797</v>
      </c>
      <c r="R15" s="15">
        <v>1000</v>
      </c>
      <c r="S15" s="48" t="s">
        <v>1455</v>
      </c>
      <c r="T15" s="56">
        <v>0</v>
      </c>
      <c r="W15" s="53"/>
      <c r="Y15" s="48" t="s">
        <v>1455</v>
      </c>
      <c r="Z15" s="56">
        <v>0</v>
      </c>
      <c r="AC15" s="66" t="s">
        <v>1798</v>
      </c>
      <c r="AD15" s="15">
        <v>0</v>
      </c>
      <c r="AE15" s="22" t="s">
        <v>1653</v>
      </c>
      <c r="AF15" s="55">
        <v>56.76</v>
      </c>
      <c r="AG15" s="25" t="s">
        <v>1799</v>
      </c>
      <c r="AH15" s="15">
        <v>0</v>
      </c>
      <c r="AI15" s="66" t="s">
        <v>1798</v>
      </c>
      <c r="AJ15" s="61">
        <v>0</v>
      </c>
      <c r="AK15" s="22" t="s">
        <v>1653</v>
      </c>
      <c r="AL15" s="55">
        <v>46</v>
      </c>
      <c r="AM15" s="15" t="s">
        <v>1800</v>
      </c>
      <c r="AN15" s="15">
        <v>54</v>
      </c>
      <c r="AO15" s="71" t="s">
        <v>1801</v>
      </c>
      <c r="AP15" s="15">
        <v>1000</v>
      </c>
      <c r="AQ15" s="22" t="s">
        <v>1653</v>
      </c>
      <c r="AR15" s="55">
        <v>46.47</v>
      </c>
      <c r="AS15" s="15" t="s">
        <v>1731</v>
      </c>
      <c r="AT15" s="15" t="s">
        <v>646</v>
      </c>
      <c r="AU15" s="71" t="s">
        <v>1802</v>
      </c>
      <c r="AV15" s="15">
        <v>500</v>
      </c>
      <c r="AW15" s="22" t="s">
        <v>1653</v>
      </c>
      <c r="AX15" s="55">
        <v>46.47</v>
      </c>
      <c r="AY15" s="71"/>
      <c r="BA15" s="22" t="s">
        <v>1653</v>
      </c>
      <c r="BB15" s="55">
        <f t="shared" si="0"/>
        <v>46.47</v>
      </c>
      <c r="BC15" s="15" t="s">
        <v>1731</v>
      </c>
      <c r="BD15" s="15" t="s">
        <v>646</v>
      </c>
      <c r="BE15" s="71" t="s">
        <v>1803</v>
      </c>
      <c r="BF15" s="61">
        <v>100</v>
      </c>
      <c r="BG15" s="22" t="s">
        <v>1653</v>
      </c>
      <c r="BH15" s="55">
        <v>46.47</v>
      </c>
      <c r="BI15" s="42" t="s">
        <v>1804</v>
      </c>
      <c r="BJ15" s="61" t="s">
        <v>646</v>
      </c>
      <c r="BK15" s="86"/>
      <c r="BM15" s="22" t="s">
        <v>1653</v>
      </c>
      <c r="BN15" s="55">
        <v>46.47</v>
      </c>
      <c r="BO15" s="42" t="s">
        <v>1804</v>
      </c>
      <c r="BP15" s="61" t="s">
        <v>646</v>
      </c>
      <c r="BQ15" s="86"/>
      <c r="BS15" s="22" t="s">
        <v>1653</v>
      </c>
      <c r="BT15" s="23">
        <v>27</v>
      </c>
      <c r="BW15" s="86"/>
      <c r="BY15" s="22" t="s">
        <v>1592</v>
      </c>
      <c r="BZ15" s="55">
        <v>17.001</v>
      </c>
      <c r="CA15" s="61" t="s">
        <v>1805</v>
      </c>
      <c r="CB15" s="61">
        <v>7</v>
      </c>
      <c r="CC15" s="86"/>
      <c r="CE15" s="22" t="s">
        <v>1592</v>
      </c>
      <c r="CF15" s="55">
        <v>17.001</v>
      </c>
      <c r="CH15" s="61">
        <v>22.3</v>
      </c>
      <c r="CI15" s="86" t="s">
        <v>1656</v>
      </c>
      <c r="CJ15" s="61"/>
      <c r="CK15" s="15" t="s">
        <v>148</v>
      </c>
      <c r="CL15" s="57" t="s">
        <v>646</v>
      </c>
      <c r="CM15" s="57" t="s">
        <v>1806</v>
      </c>
      <c r="CN15" s="61"/>
      <c r="CO15" s="86"/>
      <c r="CQ15" s="22" t="s">
        <v>1592</v>
      </c>
      <c r="CR15" s="55">
        <v>15.87</v>
      </c>
      <c r="CS15" s="57" t="s">
        <v>1807</v>
      </c>
      <c r="CT15" s="61">
        <v>150</v>
      </c>
      <c r="CU15" s="108" t="s">
        <v>1656</v>
      </c>
      <c r="CV15" s="61" t="s">
        <v>646</v>
      </c>
      <c r="CW15" s="22" t="s">
        <v>1592</v>
      </c>
      <c r="CX15" s="55">
        <v>15.87</v>
      </c>
      <c r="CY15" s="42" t="s">
        <v>1731</v>
      </c>
      <c r="CZ15" s="61"/>
      <c r="DA15" s="114" t="s">
        <v>1662</v>
      </c>
      <c r="DB15" s="42">
        <f>24+2.1+4</f>
        <v>30.1</v>
      </c>
      <c r="DC15" s="22" t="s">
        <v>199</v>
      </c>
      <c r="DD15" s="55" t="s">
        <v>646</v>
      </c>
      <c r="DE15" s="61"/>
      <c r="DF15" s="61"/>
      <c r="DG15" s="114" t="s">
        <v>1808</v>
      </c>
      <c r="DH15" s="57">
        <v>100</v>
      </c>
      <c r="DI15" s="22" t="s">
        <v>1592</v>
      </c>
      <c r="DJ15" s="55">
        <v>2.54</v>
      </c>
      <c r="DM15" s="114" t="s">
        <v>1809</v>
      </c>
      <c r="DN15" s="44">
        <v>10001</v>
      </c>
      <c r="DO15" s="22" t="s">
        <v>1594</v>
      </c>
      <c r="DP15" s="23">
        <v>1595</v>
      </c>
      <c r="DS15" s="114" t="s">
        <v>1810</v>
      </c>
      <c r="DT15" s="57">
        <v>100</v>
      </c>
      <c r="DU15" s="22" t="s">
        <v>1670</v>
      </c>
      <c r="DV15" s="92">
        <v>10000</v>
      </c>
      <c r="DW15" s="15" t="s">
        <v>1192</v>
      </c>
      <c r="DY15" s="66" t="s">
        <v>1811</v>
      </c>
      <c r="DZ15" s="15">
        <v>63.38</v>
      </c>
      <c r="EA15" s="22" t="s">
        <v>1746</v>
      </c>
      <c r="EB15" s="92">
        <v>10000</v>
      </c>
      <c r="EC15" s="15" t="s">
        <v>1812</v>
      </c>
      <c r="ED15" s="15">
        <v>14.65</v>
      </c>
      <c r="EE15" s="66" t="s">
        <v>1811</v>
      </c>
      <c r="EF15" s="15">
        <v>112.09</v>
      </c>
      <c r="EG15" s="153"/>
      <c r="EH15" s="48" t="s">
        <v>1813</v>
      </c>
      <c r="EI15" s="94">
        <v>10000</v>
      </c>
      <c r="EJ15" s="15" t="s">
        <v>1192</v>
      </c>
      <c r="EL15" s="163" t="s">
        <v>1814</v>
      </c>
      <c r="EM15" s="153">
        <f>17.77+10.35</f>
        <v>28.12</v>
      </c>
      <c r="EN15" s="48" t="s">
        <v>1670</v>
      </c>
      <c r="EO15" s="94">
        <v>20000</v>
      </c>
      <c r="EP15" s="614" t="s">
        <v>1754</v>
      </c>
      <c r="ER15" s="163" t="s">
        <v>1609</v>
      </c>
      <c r="ES15" s="153">
        <f>936.25+797.15</f>
        <v>1733.4</v>
      </c>
      <c r="ET15" s="48" t="s">
        <v>1815</v>
      </c>
      <c r="EU15" s="94">
        <v>12000</v>
      </c>
      <c r="EX15" s="170" t="s">
        <v>1816</v>
      </c>
      <c r="EY15" s="15">
        <v>125.36</v>
      </c>
      <c r="EZ15" s="61" t="s">
        <v>1817</v>
      </c>
      <c r="FA15" s="91" t="s">
        <v>1818</v>
      </c>
      <c r="FD15" s="163" t="s">
        <v>1609</v>
      </c>
      <c r="FE15" s="153">
        <f>797+936</f>
        <v>1733</v>
      </c>
      <c r="FF15" s="61" t="s">
        <v>1817</v>
      </c>
      <c r="FG15" s="91" t="s">
        <v>1818</v>
      </c>
      <c r="FH15" s="614" t="s">
        <v>1819</v>
      </c>
      <c r="FI15" s="15">
        <f>1.86+5.79</f>
        <v>7.65</v>
      </c>
      <c r="FJ15" s="170" t="s">
        <v>1820</v>
      </c>
      <c r="FK15" s="15">
        <v>102.91</v>
      </c>
      <c r="FL15" s="48" t="s">
        <v>1673</v>
      </c>
      <c r="FM15" s="94">
        <v>3000</v>
      </c>
      <c r="FN15" s="15" t="s">
        <v>1192</v>
      </c>
      <c r="FP15" s="175" t="s">
        <v>1669</v>
      </c>
      <c r="FQ15" s="15" t="s">
        <v>646</v>
      </c>
      <c r="FR15" s="48" t="s">
        <v>1594</v>
      </c>
      <c r="FS15" s="94">
        <v>424</v>
      </c>
      <c r="FT15" s="15" t="s">
        <v>1474</v>
      </c>
      <c r="FV15" s="72" t="s">
        <v>1309</v>
      </c>
      <c r="FW15" s="15">
        <v>5300</v>
      </c>
      <c r="FX15" s="63" t="s">
        <v>1215</v>
      </c>
      <c r="FY15" s="61">
        <v>0</v>
      </c>
      <c r="FZ15" s="15" t="s">
        <v>1340</v>
      </c>
      <c r="GB15" s="72" t="s">
        <v>1756</v>
      </c>
      <c r="GC15" s="15">
        <v>63477.54</v>
      </c>
      <c r="GD15" s="63" t="s">
        <v>1215</v>
      </c>
      <c r="GE15" s="61">
        <v>0</v>
      </c>
      <c r="GH15" s="72" t="s">
        <v>1633</v>
      </c>
      <c r="GJ15" s="63" t="s">
        <v>1686</v>
      </c>
      <c r="GK15" s="15">
        <v>268</v>
      </c>
      <c r="GL15" s="69" t="s">
        <v>148</v>
      </c>
      <c r="GM15" s="15">
        <v>114</v>
      </c>
      <c r="GN15" s="179" t="s">
        <v>1821</v>
      </c>
      <c r="GO15" s="15">
        <v>139.96</v>
      </c>
      <c r="GP15" s="63" t="s">
        <v>1686</v>
      </c>
      <c r="GQ15" s="15">
        <v>318</v>
      </c>
      <c r="GT15" s="169" t="s">
        <v>1822</v>
      </c>
      <c r="GU15" s="15">
        <v>35.1</v>
      </c>
      <c r="GV15" s="63" t="s">
        <v>1686</v>
      </c>
      <c r="GW15" s="15">
        <v>360</v>
      </c>
      <c r="GZ15" s="163" t="s">
        <v>1823</v>
      </c>
      <c r="HA15" s="15">
        <f>10+10+120*2</f>
        <v>260</v>
      </c>
      <c r="HB15" s="63" t="s">
        <v>1607</v>
      </c>
      <c r="HC15" s="15">
        <v>2569</v>
      </c>
      <c r="HD15" s="15" t="s">
        <v>1474</v>
      </c>
      <c r="HE15" s="18"/>
      <c r="HF15" s="72" t="s">
        <v>1824</v>
      </c>
      <c r="HG15" s="15">
        <v>80</v>
      </c>
      <c r="HH15" s="63" t="s">
        <v>1686</v>
      </c>
      <c r="HI15" s="15">
        <v>357</v>
      </c>
      <c r="HJ15" s="195">
        <v>3179.26</v>
      </c>
      <c r="HK15" s="188" t="s">
        <v>1825</v>
      </c>
      <c r="HL15" s="170" t="s">
        <v>1826</v>
      </c>
      <c r="HM15" s="15">
        <f>9+10.96</f>
        <v>19.96</v>
      </c>
      <c r="HN15" s="63" t="s">
        <v>1607</v>
      </c>
      <c r="HO15" s="15">
        <v>111</v>
      </c>
      <c r="HP15" s="196"/>
      <c r="HR15" s="170" t="s">
        <v>1602</v>
      </c>
      <c r="HS15" s="15">
        <v>161.36</v>
      </c>
      <c r="HT15" s="63" t="s">
        <v>1151</v>
      </c>
      <c r="HU15" s="15">
        <v>1573</v>
      </c>
      <c r="HV15" s="15" t="s">
        <v>1827</v>
      </c>
      <c r="HW15" s="18"/>
      <c r="HX15" s="72" t="s">
        <v>1828</v>
      </c>
      <c r="HY15" s="186">
        <f>HY16*5</f>
        <v>2104.93333333333</v>
      </c>
      <c r="HZ15" s="63" t="s">
        <v>1545</v>
      </c>
      <c r="IA15" s="43">
        <v>442</v>
      </c>
      <c r="IB15" s="15" t="s">
        <v>1829</v>
      </c>
      <c r="IC15" s="219"/>
      <c r="ID15" s="222" t="s">
        <v>1830</v>
      </c>
      <c r="IE15" s="94">
        <v>4000</v>
      </c>
      <c r="IF15" s="63" t="s">
        <v>1831</v>
      </c>
      <c r="IG15" s="43">
        <f>12000+100000+33000</f>
        <v>145000</v>
      </c>
      <c r="IH15" s="15" t="s">
        <v>1484</v>
      </c>
      <c r="II15" s="219"/>
      <c r="IJ15" s="72" t="s">
        <v>1610</v>
      </c>
      <c r="IK15" s="186">
        <f>IK16*2</f>
        <v>1833.74666666667</v>
      </c>
      <c r="IL15" s="63" t="s">
        <v>1607</v>
      </c>
      <c r="IM15" s="43">
        <v>450</v>
      </c>
      <c r="IN15" s="15" t="s">
        <v>1832</v>
      </c>
      <c r="IO15" s="219">
        <v>12.4</v>
      </c>
      <c r="IP15" s="170" t="s">
        <v>1833</v>
      </c>
      <c r="IQ15" s="44">
        <v>119.64</v>
      </c>
      <c r="IR15" s="77" t="s">
        <v>1834</v>
      </c>
      <c r="IS15" s="43">
        <f>100*(120+1000+330+310)</f>
        <v>176000</v>
      </c>
      <c r="IT15" s="15" t="s">
        <v>1835</v>
      </c>
      <c r="IU15" s="241">
        <v>43</v>
      </c>
      <c r="IV15" s="170" t="s">
        <v>1836</v>
      </c>
      <c r="IW15" s="43">
        <f>3175.45/3</f>
        <v>1058.48333333333</v>
      </c>
      <c r="IX15" s="63" t="s">
        <v>1151</v>
      </c>
      <c r="IY15" s="43">
        <v>618</v>
      </c>
      <c r="IZ15" s="15" t="s">
        <v>1188</v>
      </c>
      <c r="JA15" s="241">
        <v>52.001</v>
      </c>
      <c r="JB15" s="72" t="s">
        <v>1309</v>
      </c>
      <c r="JC15" s="241">
        <v>2000</v>
      </c>
      <c r="JD15" s="63" t="s">
        <v>1151</v>
      </c>
      <c r="JE15" s="43">
        <v>1778</v>
      </c>
      <c r="JF15" s="15" t="s">
        <v>1708</v>
      </c>
      <c r="JG15" s="15">
        <f>6.24+2.24</f>
        <v>8.48</v>
      </c>
      <c r="JH15" s="177" t="s">
        <v>1837</v>
      </c>
      <c r="JI15" s="219">
        <v>155000</v>
      </c>
      <c r="JJ15" s="63" t="s">
        <v>1151</v>
      </c>
      <c r="JK15" s="43">
        <v>1556</v>
      </c>
      <c r="JL15" s="15" t="s">
        <v>1838</v>
      </c>
      <c r="JM15" s="212">
        <v>1.96</v>
      </c>
      <c r="JN15" s="170" t="s">
        <v>1557</v>
      </c>
      <c r="JO15" s="41">
        <v>53.91</v>
      </c>
      <c r="JP15" s="63" t="s">
        <v>1776</v>
      </c>
      <c r="JQ15" s="43">
        <v>76</v>
      </c>
      <c r="JR15" s="15" t="s">
        <v>1839</v>
      </c>
      <c r="JS15" s="38">
        <v>200</v>
      </c>
      <c r="JT15" s="170" t="s">
        <v>1557</v>
      </c>
      <c r="JU15" s="41">
        <v>75.43</v>
      </c>
      <c r="JV15" s="63" t="s">
        <v>1840</v>
      </c>
      <c r="JW15" s="43">
        <v>2151</v>
      </c>
      <c r="JX15" s="42"/>
      <c r="JY15" s="38"/>
      <c r="JZ15" s="163" t="s">
        <v>1551</v>
      </c>
      <c r="KA15" s="15">
        <f>259.2+410.4</f>
        <v>669.6</v>
      </c>
      <c r="KB15" s="63" t="s">
        <v>1708</v>
      </c>
      <c r="KC15" s="43">
        <v>100491</v>
      </c>
      <c r="KD15" s="287" t="s">
        <v>1707</v>
      </c>
      <c r="KE15" s="287"/>
      <c r="KF15" s="170" t="s">
        <v>1841</v>
      </c>
      <c r="KG15" s="41">
        <v>180</v>
      </c>
      <c r="KH15" s="69" t="s">
        <v>1725</v>
      </c>
      <c r="KI15" s="251"/>
      <c r="KJ15" s="15" t="s">
        <v>1704</v>
      </c>
      <c r="KK15" s="38"/>
      <c r="KL15" s="72" t="s">
        <v>1842</v>
      </c>
      <c r="KM15" s="219">
        <v>50065.8</v>
      </c>
      <c r="KN15" s="61" t="s">
        <v>1703</v>
      </c>
      <c r="KO15" s="94">
        <v>199006</v>
      </c>
      <c r="KP15" s="42" t="s">
        <v>1843</v>
      </c>
      <c r="KQ15" s="38">
        <f>1.52</f>
        <v>1.52</v>
      </c>
      <c r="KR15" s="86" t="s">
        <v>1346</v>
      </c>
      <c r="KS15" s="61">
        <v>194.04</v>
      </c>
      <c r="KT15" s="63" t="s">
        <v>1518</v>
      </c>
      <c r="KU15" s="43">
        <v>0</v>
      </c>
      <c r="KV15" s="42" t="s">
        <v>1700</v>
      </c>
      <c r="KW15" s="38"/>
      <c r="KX15" s="86" t="s">
        <v>1844</v>
      </c>
      <c r="KY15" s="61">
        <f>221.76+48.93</f>
        <v>270.69</v>
      </c>
      <c r="KZ15" s="63" t="s">
        <v>1708</v>
      </c>
      <c r="LA15" s="43">
        <v>101577</v>
      </c>
      <c r="LB15" s="15" t="s">
        <v>1704</v>
      </c>
      <c r="LC15" s="38"/>
      <c r="LD15" s="163" t="s">
        <v>1845</v>
      </c>
      <c r="LE15" s="306">
        <f>3.06*0</f>
        <v>0</v>
      </c>
      <c r="LF15" s="48" t="s">
        <v>1846</v>
      </c>
      <c r="LG15" s="94">
        <v>-132</v>
      </c>
      <c r="LH15" s="287" t="s">
        <v>1707</v>
      </c>
      <c r="LI15" s="287"/>
      <c r="LJ15" s="163" t="s">
        <v>1847</v>
      </c>
      <c r="LK15" s="306">
        <v>34.38</v>
      </c>
      <c r="LL15" s="48" t="s">
        <v>1846</v>
      </c>
      <c r="LM15" s="94">
        <v>-76</v>
      </c>
      <c r="LN15" s="65"/>
      <c r="LO15" s="56"/>
      <c r="LP15" s="163" t="s">
        <v>1848</v>
      </c>
      <c r="LQ15" s="57">
        <v>30</v>
      </c>
      <c r="LR15" s="63" t="s">
        <v>1370</v>
      </c>
      <c r="LS15" s="240">
        <v>2000</v>
      </c>
      <c r="LT15" s="42" t="s">
        <v>1849</v>
      </c>
      <c r="LU15" s="38">
        <v>33.001</v>
      </c>
      <c r="LV15" s="314" t="s">
        <v>1850</v>
      </c>
      <c r="LW15" s="15">
        <v>50065.8</v>
      </c>
      <c r="LX15" s="63" t="s">
        <v>1370</v>
      </c>
      <c r="LY15" s="240">
        <v>2000</v>
      </c>
      <c r="LZ15" s="42" t="s">
        <v>1851</v>
      </c>
      <c r="MA15" s="41">
        <v>34.15</v>
      </c>
      <c r="MB15" s="42" t="s">
        <v>1421</v>
      </c>
      <c r="MC15" s="15">
        <v>131.17</v>
      </c>
      <c r="MD15" s="63" t="s">
        <v>1708</v>
      </c>
      <c r="ME15" s="43">
        <v>101103</v>
      </c>
      <c r="MF15" s="61" t="s">
        <v>1508</v>
      </c>
      <c r="MG15" s="38">
        <v>38.5</v>
      </c>
      <c r="MH15" s="151" t="s">
        <v>1569</v>
      </c>
      <c r="MI15" s="44">
        <f>153.11*2+10.9</f>
        <v>317.12</v>
      </c>
      <c r="MJ15" s="48" t="s">
        <v>1503</v>
      </c>
      <c r="MK15" s="94">
        <v>-92000</v>
      </c>
      <c r="ML15" s="61" t="s">
        <v>1852</v>
      </c>
      <c r="MM15" s="41">
        <f>56.25*2</f>
        <v>112.5</v>
      </c>
      <c r="MN15" s="151" t="s">
        <v>1569</v>
      </c>
      <c r="MO15" s="44">
        <f>10.9</f>
        <v>10.9</v>
      </c>
      <c r="MP15" s="48" t="s">
        <v>1503</v>
      </c>
      <c r="MQ15" s="94">
        <v>-92000</v>
      </c>
      <c r="MR15" s="15" t="s">
        <v>1853</v>
      </c>
      <c r="MS15" s="38">
        <v>118.69</v>
      </c>
      <c r="MT15" s="151" t="s">
        <v>1569</v>
      </c>
      <c r="MU15" s="44">
        <f>153.26+10.9</f>
        <v>164.16</v>
      </c>
      <c r="MV15" s="48" t="s">
        <v>1854</v>
      </c>
      <c r="MW15" s="94">
        <v>-92000</v>
      </c>
      <c r="MX15" s="48" t="s">
        <v>1855</v>
      </c>
      <c r="MY15" s="38">
        <f>212.33+76.44+42.47</f>
        <v>331.24</v>
      </c>
      <c r="MZ15" s="327" t="s">
        <v>1856</v>
      </c>
      <c r="NA15" s="41">
        <v>30</v>
      </c>
      <c r="NB15" s="63" t="s">
        <v>1857</v>
      </c>
      <c r="NC15" s="43">
        <v>208005</v>
      </c>
      <c r="ND15" s="61" t="s">
        <v>1858</v>
      </c>
      <c r="NE15" s="38"/>
      <c r="NF15" s="151" t="s">
        <v>1788</v>
      </c>
      <c r="NG15" s="41">
        <f>18.73+14.7+14.81+17.41+16.69+1.4+10+17.09</f>
        <v>110.83</v>
      </c>
      <c r="NH15" s="69" t="s">
        <v>1725</v>
      </c>
      <c r="NI15" s="251"/>
      <c r="NJ15" s="42" t="s">
        <v>1859</v>
      </c>
      <c r="NK15" s="41">
        <f>34+0.74</f>
        <v>34.74</v>
      </c>
      <c r="NL15" s="151" t="s">
        <v>1788</v>
      </c>
      <c r="NM15" s="41">
        <f>14.72+17.58+14.81+14.9+10+19.87+17.03+16.87</f>
        <v>125.78</v>
      </c>
      <c r="NN15" s="63" t="s">
        <v>1521</v>
      </c>
      <c r="NO15" s="43">
        <v>13</v>
      </c>
      <c r="NP15" s="48" t="s">
        <v>1860</v>
      </c>
      <c r="NQ15" s="38">
        <f>212.33+76.44+42.47</f>
        <v>331.24</v>
      </c>
      <c r="NR15" s="151" t="s">
        <v>1636</v>
      </c>
      <c r="NS15" s="57">
        <f>7.6+5</f>
        <v>12.6</v>
      </c>
      <c r="NT15" s="69" t="s">
        <v>1725</v>
      </c>
      <c r="NU15" s="251"/>
      <c r="NV15" s="15" t="s">
        <v>1382</v>
      </c>
      <c r="NW15" s="38"/>
      <c r="NX15" s="151" t="s">
        <v>1650</v>
      </c>
      <c r="NY15" s="15">
        <v>300</v>
      </c>
      <c r="NZ15" s="332">
        <v>93.29</v>
      </c>
      <c r="OA15" s="94"/>
      <c r="OB15" s="15" t="s">
        <v>1382</v>
      </c>
      <c r="OC15" s="38"/>
      <c r="OD15" s="151" t="s">
        <v>1861</v>
      </c>
      <c r="OE15" s="57"/>
      <c r="OF15" s="65" t="s">
        <v>1862</v>
      </c>
      <c r="OG15" s="173">
        <v>50</v>
      </c>
      <c r="OH15" s="347">
        <v>45667</v>
      </c>
    </row>
    <row r="16" spans="1:398">
      <c r="A16" s="22" t="s">
        <v>266</v>
      </c>
      <c r="B16" s="55">
        <v>0</v>
      </c>
      <c r="E16" s="58" t="s">
        <v>321</v>
      </c>
      <c r="F16" s="58"/>
      <c r="G16" s="22" t="s">
        <v>266</v>
      </c>
      <c r="H16" s="55">
        <v>0</v>
      </c>
      <c r="K16" s="58" t="s">
        <v>1863</v>
      </c>
      <c r="M16" s="15" t="s">
        <v>148</v>
      </c>
      <c r="N16" s="41">
        <v>0</v>
      </c>
      <c r="Q16" s="71" t="s">
        <v>1864</v>
      </c>
      <c r="R16" s="15">
        <v>200</v>
      </c>
      <c r="S16" s="15" t="s">
        <v>148</v>
      </c>
      <c r="T16" s="41">
        <v>0</v>
      </c>
      <c r="U16" s="15" t="s">
        <v>1731</v>
      </c>
      <c r="W16" s="58" t="s">
        <v>346</v>
      </c>
      <c r="Y16" s="15" t="s">
        <v>148</v>
      </c>
      <c r="Z16" s="41">
        <v>0</v>
      </c>
      <c r="AA16" s="15" t="s">
        <v>1731</v>
      </c>
      <c r="AC16" s="66" t="s">
        <v>1865</v>
      </c>
      <c r="AD16" s="15">
        <v>0</v>
      </c>
      <c r="AE16" s="22" t="s">
        <v>1729</v>
      </c>
      <c r="AF16" s="55">
        <v>115.37</v>
      </c>
      <c r="AI16" s="66" t="s">
        <v>1865</v>
      </c>
      <c r="AJ16" s="61">
        <v>0</v>
      </c>
      <c r="AK16" s="22" t="s">
        <v>1729</v>
      </c>
      <c r="AL16" s="55">
        <v>115.001</v>
      </c>
      <c r="AO16" s="71" t="s">
        <v>1866</v>
      </c>
      <c r="AP16" s="61">
        <v>100</v>
      </c>
      <c r="AQ16" s="22" t="s">
        <v>1867</v>
      </c>
      <c r="AR16" s="55">
        <v>19</v>
      </c>
      <c r="AS16" s="25"/>
      <c r="AU16" s="71" t="s">
        <v>1868</v>
      </c>
      <c r="AV16" s="15">
        <v>100</v>
      </c>
      <c r="AW16" s="22" t="s">
        <v>1867</v>
      </c>
      <c r="AX16" s="55">
        <v>19.001</v>
      </c>
      <c r="AY16" s="71"/>
      <c r="BA16" s="22" t="s">
        <v>1867</v>
      </c>
      <c r="BB16" s="55">
        <f t="shared" si="0"/>
        <v>19.001</v>
      </c>
      <c r="BC16" s="15" t="s">
        <v>1804</v>
      </c>
      <c r="BD16" s="15" t="s">
        <v>646</v>
      </c>
      <c r="BE16" s="58" t="s">
        <v>1869</v>
      </c>
      <c r="BF16" s="61">
        <v>420</v>
      </c>
      <c r="BG16" s="22" t="s">
        <v>1592</v>
      </c>
      <c r="BH16" s="55">
        <v>17.37</v>
      </c>
      <c r="BK16" s="87" t="s">
        <v>1870</v>
      </c>
      <c r="BL16" s="61">
        <v>459</v>
      </c>
      <c r="BM16" s="22" t="s">
        <v>1592</v>
      </c>
      <c r="BN16" s="55">
        <v>17.37</v>
      </c>
      <c r="BQ16" s="87" t="s">
        <v>321</v>
      </c>
      <c r="BR16" s="61" t="s">
        <v>646</v>
      </c>
      <c r="BS16" s="22" t="s">
        <v>1592</v>
      </c>
      <c r="BT16" s="55">
        <v>17.37</v>
      </c>
      <c r="BU16" s="42" t="s">
        <v>1731</v>
      </c>
      <c r="BV16" s="61" t="s">
        <v>646</v>
      </c>
      <c r="BW16" s="87" t="s">
        <v>1871</v>
      </c>
      <c r="BX16" s="61">
        <v>1476</v>
      </c>
      <c r="BY16" s="15" t="s">
        <v>148</v>
      </c>
      <c r="BZ16" s="57">
        <v>0</v>
      </c>
      <c r="CC16" s="87" t="s">
        <v>321</v>
      </c>
      <c r="CD16" s="61" t="s">
        <v>646</v>
      </c>
      <c r="CE16" s="15" t="s">
        <v>148</v>
      </c>
      <c r="CF16" s="57">
        <v>0</v>
      </c>
      <c r="CG16" s="42" t="s">
        <v>1731</v>
      </c>
      <c r="CH16" s="61" t="s">
        <v>646</v>
      </c>
      <c r="CI16" s="86" t="s">
        <v>1872</v>
      </c>
      <c r="CJ16" s="42">
        <v>100</v>
      </c>
      <c r="CK16" s="22" t="s">
        <v>1873</v>
      </c>
      <c r="CL16" s="55"/>
      <c r="CM16" s="42" t="s">
        <v>1731</v>
      </c>
      <c r="CN16" s="61" t="s">
        <v>646</v>
      </c>
      <c r="CO16" s="87" t="s">
        <v>321</v>
      </c>
      <c r="CP16" s="61" t="s">
        <v>646</v>
      </c>
      <c r="CQ16" s="15" t="s">
        <v>148</v>
      </c>
      <c r="CR16" s="57" t="s">
        <v>646</v>
      </c>
      <c r="CS16" s="57" t="s">
        <v>1874</v>
      </c>
      <c r="CT16" s="42">
        <v>9.75</v>
      </c>
      <c r="CU16" s="87" t="s">
        <v>321</v>
      </c>
      <c r="CV16" s="42" t="s">
        <v>646</v>
      </c>
      <c r="CW16" s="60" t="s">
        <v>1326</v>
      </c>
      <c r="CX16" s="98">
        <v>100.01</v>
      </c>
      <c r="CY16" s="57" t="s">
        <v>1273</v>
      </c>
      <c r="DA16" s="115" t="s">
        <v>1598</v>
      </c>
      <c r="DB16" s="42">
        <v>288.75</v>
      </c>
      <c r="DC16" s="22" t="s">
        <v>1592</v>
      </c>
      <c r="DD16" s="55">
        <v>14.37</v>
      </c>
      <c r="DE16" s="61" t="s">
        <v>657</v>
      </c>
      <c r="DG16" s="114" t="s">
        <v>1875</v>
      </c>
      <c r="DH16" s="57">
        <v>100</v>
      </c>
      <c r="DI16" s="60" t="s">
        <v>1326</v>
      </c>
      <c r="DJ16" s="98">
        <v>100.001</v>
      </c>
      <c r="DM16" s="114" t="s">
        <v>1226</v>
      </c>
      <c r="DN16" s="44">
        <f>1800.02+1800.03</f>
        <v>3600.05</v>
      </c>
      <c r="DO16" s="22" t="s">
        <v>1813</v>
      </c>
      <c r="DP16" s="92">
        <f>10000+10000</f>
        <v>20000</v>
      </c>
      <c r="DS16" s="114" t="s">
        <v>1226</v>
      </c>
      <c r="DT16" s="44">
        <v>1800.04</v>
      </c>
      <c r="DU16" s="22" t="s">
        <v>1746</v>
      </c>
      <c r="DV16" s="92">
        <v>10000</v>
      </c>
      <c r="DW16" s="15" t="s">
        <v>1745</v>
      </c>
      <c r="DX16" s="15">
        <v>32.1</v>
      </c>
      <c r="DY16" s="66" t="s">
        <v>1876</v>
      </c>
      <c r="DZ16" s="15">
        <v>64.88</v>
      </c>
      <c r="EA16" s="22" t="s">
        <v>1813</v>
      </c>
      <c r="EB16" s="92">
        <v>10000</v>
      </c>
      <c r="EE16" s="66" t="s">
        <v>1876</v>
      </c>
      <c r="EF16" s="15">
        <v>56.99</v>
      </c>
      <c r="EH16" s="48" t="s">
        <v>1877</v>
      </c>
      <c r="EI16" s="94">
        <v>40000</v>
      </c>
      <c r="EJ16" s="15" t="s">
        <v>1636</v>
      </c>
      <c r="EK16" s="15">
        <v>19.5</v>
      </c>
      <c r="EL16" s="66" t="s">
        <v>1816</v>
      </c>
      <c r="EM16" s="15" t="s">
        <v>1878</v>
      </c>
      <c r="EN16" s="48" t="s">
        <v>1746</v>
      </c>
      <c r="EO16" s="94">
        <v>10000</v>
      </c>
      <c r="EP16" s="61" t="s">
        <v>1877</v>
      </c>
      <c r="EQ16" s="15">
        <v>54.94</v>
      </c>
      <c r="ER16" s="170" t="s">
        <v>1816</v>
      </c>
      <c r="ES16" s="15">
        <v>88.98</v>
      </c>
      <c r="ET16" s="48" t="s">
        <v>1879</v>
      </c>
      <c r="EU16" s="94">
        <v>25000</v>
      </c>
      <c r="EX16" s="170" t="s">
        <v>1880</v>
      </c>
      <c r="EY16" s="15">
        <v>77.72</v>
      </c>
      <c r="EZ16" s="48" t="s">
        <v>1815</v>
      </c>
      <c r="FA16" s="94">
        <v>4000</v>
      </c>
      <c r="FB16" s="15" t="s">
        <v>1881</v>
      </c>
      <c r="FD16" s="170" t="s">
        <v>1816</v>
      </c>
      <c r="FE16" s="15">
        <v>50.06</v>
      </c>
      <c r="FF16" s="48" t="s">
        <v>1815</v>
      </c>
      <c r="FG16" s="94">
        <v>4000</v>
      </c>
      <c r="FH16" s="614" t="s">
        <v>1882</v>
      </c>
      <c r="FI16" s="15">
        <f>15053.39-15000</f>
        <v>53.3899999999994</v>
      </c>
      <c r="FJ16" s="170" t="s">
        <v>1880</v>
      </c>
      <c r="FK16" s="15">
        <v>67.08</v>
      </c>
      <c r="FL16" s="61" t="s">
        <v>1749</v>
      </c>
      <c r="FM16" s="91">
        <v>1000</v>
      </c>
      <c r="FN16" s="15" t="s">
        <v>1883</v>
      </c>
      <c r="FO16" s="15">
        <v>2730</v>
      </c>
      <c r="FP16" s="163" t="s">
        <v>1884</v>
      </c>
      <c r="FQ16" s="15">
        <f>143.5+188.4-28</f>
        <v>303.9</v>
      </c>
      <c r="FR16" s="48" t="s">
        <v>1673</v>
      </c>
      <c r="FS16" s="94">
        <v>3000</v>
      </c>
      <c r="FT16" s="15" t="s">
        <v>1192</v>
      </c>
      <c r="FV16" s="175" t="s">
        <v>1885</v>
      </c>
      <c r="FW16" s="15">
        <v>3779.24</v>
      </c>
      <c r="FX16" s="48" t="s">
        <v>1398</v>
      </c>
      <c r="FY16" s="15">
        <v>120</v>
      </c>
      <c r="FZ16" s="69" t="s">
        <v>148</v>
      </c>
      <c r="GA16" s="15">
        <v>161.64</v>
      </c>
      <c r="GB16" s="175" t="s">
        <v>1886</v>
      </c>
      <c r="GC16" s="15">
        <v>378.81</v>
      </c>
      <c r="GD16" s="48" t="s">
        <v>1398</v>
      </c>
      <c r="GE16" s="15">
        <v>130</v>
      </c>
      <c r="GF16" s="15" t="s">
        <v>1340</v>
      </c>
      <c r="GH16" s="175" t="s">
        <v>1887</v>
      </c>
      <c r="GI16" s="15">
        <v>2454.05</v>
      </c>
      <c r="GJ16" s="63" t="s">
        <v>1215</v>
      </c>
      <c r="GK16" s="61">
        <v>0</v>
      </c>
      <c r="GN16" s="179" t="s">
        <v>1888</v>
      </c>
      <c r="GO16" s="15">
        <v>324.7</v>
      </c>
      <c r="GP16" s="63" t="s">
        <v>1215</v>
      </c>
      <c r="GQ16" s="61">
        <v>0</v>
      </c>
      <c r="GR16" s="15" t="s">
        <v>1340</v>
      </c>
      <c r="GT16" s="72" t="s">
        <v>1889</v>
      </c>
      <c r="GU16" s="15">
        <f>84250</f>
        <v>84250</v>
      </c>
      <c r="GV16" s="48" t="s">
        <v>1398</v>
      </c>
      <c r="GW16" s="15">
        <v>174</v>
      </c>
      <c r="GY16" s="18"/>
      <c r="GZ16" s="163" t="s">
        <v>1609</v>
      </c>
      <c r="HA16" s="15">
        <v>1867.15</v>
      </c>
      <c r="HB16" s="63" t="s">
        <v>1686</v>
      </c>
      <c r="HC16" s="15">
        <v>402</v>
      </c>
      <c r="HE16" s="18"/>
      <c r="HF16" s="72" t="s">
        <v>1405</v>
      </c>
      <c r="HG16" s="186">
        <f>HG20*5</f>
        <v>2104.93333333333</v>
      </c>
      <c r="HH16" s="48" t="s">
        <v>1398</v>
      </c>
      <c r="HI16" s="15">
        <v>90</v>
      </c>
      <c r="HJ16" s="197">
        <v>-114.61</v>
      </c>
      <c r="HK16" s="15" t="s">
        <v>1890</v>
      </c>
      <c r="HL16" s="170" t="s">
        <v>1891</v>
      </c>
      <c r="HM16" s="15">
        <v>32</v>
      </c>
      <c r="HN16" s="63" t="s">
        <v>1686</v>
      </c>
      <c r="HO16" s="15">
        <v>407</v>
      </c>
      <c r="HP16" s="194"/>
      <c r="HQ16" s="188"/>
      <c r="HR16" s="170" t="s">
        <v>1680</v>
      </c>
      <c r="HS16" s="15">
        <v>113.11</v>
      </c>
      <c r="HT16" s="63" t="s">
        <v>1177</v>
      </c>
      <c r="HU16" s="15">
        <v>0</v>
      </c>
      <c r="HV16" s="194" t="s">
        <v>1892</v>
      </c>
      <c r="HW16" s="212">
        <f>18.8+37.6</f>
        <v>56.4</v>
      </c>
      <c r="HX16" s="170" t="s">
        <v>1475</v>
      </c>
      <c r="HY16" s="186">
        <f>2525.92/6</f>
        <v>420.986666666667</v>
      </c>
      <c r="HZ16" s="63" t="s">
        <v>1607</v>
      </c>
      <c r="IA16" s="15">
        <v>606</v>
      </c>
      <c r="IB16" s="223" t="s">
        <v>1893</v>
      </c>
      <c r="IC16" s="224">
        <f>208.9*2</f>
        <v>417.8</v>
      </c>
      <c r="ID16" s="72" t="s">
        <v>1407</v>
      </c>
      <c r="IE16" s="15">
        <v>100</v>
      </c>
      <c r="IF16" s="63" t="s">
        <v>1894</v>
      </c>
      <c r="IG16" s="15">
        <f>10500+2</f>
        <v>10502</v>
      </c>
      <c r="IH16" s="15" t="s">
        <v>1188</v>
      </c>
      <c r="II16" s="219">
        <f>1.64+37.8</f>
        <v>39.44</v>
      </c>
      <c r="IJ16" s="170" t="s">
        <v>1475</v>
      </c>
      <c r="IK16" s="186">
        <f>2750.62/3</f>
        <v>916.873333333333</v>
      </c>
      <c r="IL16" s="63" t="s">
        <v>1686</v>
      </c>
      <c r="IM16" s="43">
        <v>102</v>
      </c>
      <c r="IN16" s="15" t="s">
        <v>1474</v>
      </c>
      <c r="IO16" s="219">
        <v>1.55</v>
      </c>
      <c r="IP16" s="170" t="s">
        <v>1636</v>
      </c>
      <c r="IQ16" s="41">
        <f>15+6.5</f>
        <v>21.5</v>
      </c>
      <c r="IR16" s="63" t="s">
        <v>1895</v>
      </c>
      <c r="IS16" s="15">
        <f>10502+14002</f>
        <v>24504</v>
      </c>
      <c r="IT16" s="42" t="s">
        <v>1896</v>
      </c>
      <c r="IU16" s="219">
        <v>7.57</v>
      </c>
      <c r="IV16" s="170" t="s">
        <v>1557</v>
      </c>
      <c r="IW16" s="41">
        <v>47.54</v>
      </c>
      <c r="IX16" s="63" t="s">
        <v>1897</v>
      </c>
      <c r="IY16" s="43">
        <v>24</v>
      </c>
      <c r="IZ16" s="15" t="s">
        <v>1898</v>
      </c>
      <c r="JA16" s="219">
        <v>16.05</v>
      </c>
      <c r="JB16" s="72" t="s">
        <v>1698</v>
      </c>
      <c r="JC16" s="18">
        <f>JC17*2</f>
        <v>2116.98</v>
      </c>
      <c r="JD16" s="63" t="s">
        <v>1899</v>
      </c>
      <c r="JE16" s="43">
        <v>89</v>
      </c>
      <c r="JF16" s="194" t="s">
        <v>1900</v>
      </c>
      <c r="JG16" s="212">
        <v>379.39</v>
      </c>
      <c r="JH16" s="170" t="s">
        <v>1901</v>
      </c>
      <c r="JI16" s="41" t="s">
        <v>663</v>
      </c>
      <c r="JJ16" s="63" t="s">
        <v>1899</v>
      </c>
      <c r="JK16" s="43">
        <v>4000</v>
      </c>
      <c r="JL16" s="15" t="s">
        <v>1902</v>
      </c>
      <c r="JM16" s="41">
        <f>25.72</f>
        <v>25.72</v>
      </c>
      <c r="JN16" s="170" t="s">
        <v>1903</v>
      </c>
      <c r="JO16" s="41">
        <v>23.96</v>
      </c>
      <c r="JP16" s="63" t="s">
        <v>1840</v>
      </c>
      <c r="JQ16" s="251">
        <v>2441</v>
      </c>
      <c r="JR16" s="15" t="s">
        <v>1904</v>
      </c>
      <c r="JS16" s="38">
        <v>300</v>
      </c>
      <c r="JT16" s="170" t="s">
        <v>1903</v>
      </c>
      <c r="JU16" s="41">
        <v>129.6</v>
      </c>
      <c r="JV16" s="77" t="s">
        <v>1905</v>
      </c>
      <c r="JW16" s="251"/>
      <c r="JX16" s="15" t="s">
        <v>1704</v>
      </c>
      <c r="JY16" s="38"/>
      <c r="JZ16" s="163" t="s">
        <v>1906</v>
      </c>
      <c r="KA16" s="15">
        <v>10</v>
      </c>
      <c r="KB16" s="77" t="s">
        <v>1907</v>
      </c>
      <c r="KC16" s="251"/>
      <c r="KD16" s="287"/>
      <c r="KE16" s="287"/>
      <c r="KF16" s="170" t="s">
        <v>1908</v>
      </c>
      <c r="KG16" s="41">
        <v>10.8</v>
      </c>
      <c r="KH16" s="48" t="s">
        <v>1909</v>
      </c>
      <c r="KI16" s="193">
        <v>30</v>
      </c>
      <c r="KJ16" s="42" t="s">
        <v>1910</v>
      </c>
      <c r="KK16" s="38">
        <f>7.87+11.3</f>
        <v>19.17</v>
      </c>
      <c r="KL16" s="72" t="s">
        <v>1911</v>
      </c>
      <c r="KM16" s="219">
        <f>KM19*9</f>
        <v>1272.276</v>
      </c>
      <c r="KN16" s="63" t="s">
        <v>1708</v>
      </c>
      <c r="KO16" s="43">
        <v>100842</v>
      </c>
      <c r="KP16" s="61" t="s">
        <v>1912</v>
      </c>
      <c r="KQ16" s="15">
        <f>30000*(1-0.9807)</f>
        <v>579</v>
      </c>
      <c r="KR16" s="86" t="s">
        <v>1913</v>
      </c>
      <c r="KS16" s="61">
        <f>111.95+16.63</f>
        <v>128.58</v>
      </c>
      <c r="KT16" s="63" t="s">
        <v>1708</v>
      </c>
      <c r="KU16" s="43">
        <v>101064</v>
      </c>
      <c r="KV16" s="287" t="s">
        <v>1707</v>
      </c>
      <c r="KW16" s="287"/>
      <c r="KX16" s="86" t="s">
        <v>1914</v>
      </c>
      <c r="KY16" s="61">
        <v>49.7</v>
      </c>
      <c r="KZ16" s="69" t="s">
        <v>1725</v>
      </c>
      <c r="LA16" s="251"/>
      <c r="LB16" s="48" t="s">
        <v>1721</v>
      </c>
      <c r="LC16" s="38">
        <f>205.48+73.97+65.75+0.51</f>
        <v>345.71</v>
      </c>
      <c r="LD16" s="163" t="s">
        <v>1627</v>
      </c>
      <c r="LE16" s="306">
        <v>14.9</v>
      </c>
      <c r="LF16" s="69" t="s">
        <v>1862</v>
      </c>
      <c r="LG16" s="173">
        <v>10</v>
      </c>
      <c r="LH16" s="42"/>
      <c r="LI16" s="38"/>
      <c r="LJ16" s="163" t="s">
        <v>1915</v>
      </c>
      <c r="LK16" s="306">
        <v>50</v>
      </c>
      <c r="LL16" s="69" t="s">
        <v>1862</v>
      </c>
      <c r="LM16" s="173">
        <v>11</v>
      </c>
      <c r="LN16" s="15" t="s">
        <v>1299</v>
      </c>
      <c r="LO16" s="38"/>
      <c r="LP16" s="163" t="s">
        <v>1916</v>
      </c>
      <c r="LQ16" s="57">
        <f>1021.88+238.15</f>
        <v>1260.03</v>
      </c>
      <c r="LR16" s="69" t="s">
        <v>1725</v>
      </c>
      <c r="LS16" s="251"/>
      <c r="LT16" s="42" t="s">
        <v>1917</v>
      </c>
      <c r="LU16" s="38">
        <v>283.13</v>
      </c>
      <c r="LV16" s="314" t="s">
        <v>1918</v>
      </c>
      <c r="LW16" s="56">
        <v>138.97</v>
      </c>
      <c r="LX16" s="63" t="s">
        <v>1919</v>
      </c>
      <c r="LY16" s="43">
        <v>100001</v>
      </c>
      <c r="LZ16" s="42" t="s">
        <v>1920</v>
      </c>
      <c r="MA16" s="38">
        <v>309.74</v>
      </c>
      <c r="MB16" s="42" t="s">
        <v>1921</v>
      </c>
      <c r="MC16" s="57">
        <v>375.8</v>
      </c>
      <c r="MD16" s="63" t="s">
        <v>1324</v>
      </c>
      <c r="ME16" s="43">
        <v>0</v>
      </c>
      <c r="MF16" s="61"/>
      <c r="MG16" s="38"/>
      <c r="MH16" s="151" t="s">
        <v>1636</v>
      </c>
      <c r="MI16" s="41">
        <f>5</f>
        <v>5</v>
      </c>
      <c r="MJ16" s="63" t="s">
        <v>1451</v>
      </c>
      <c r="MK16" s="43">
        <v>61003</v>
      </c>
      <c r="ML16" s="321" t="s">
        <v>1922</v>
      </c>
      <c r="MM16" s="328">
        <f>74.6*2</f>
        <v>149.2</v>
      </c>
      <c r="MN16" s="151" t="s">
        <v>1636</v>
      </c>
      <c r="MO16" s="41">
        <v>5</v>
      </c>
      <c r="MP16" s="63" t="s">
        <v>1451</v>
      </c>
      <c r="MQ16" s="43">
        <v>0</v>
      </c>
      <c r="MR16" s="48" t="s">
        <v>1855</v>
      </c>
      <c r="MS16" s="38">
        <f>41+74+205</f>
        <v>320</v>
      </c>
      <c r="MT16" s="151" t="s">
        <v>1923</v>
      </c>
      <c r="MU16" s="44">
        <v>153.11</v>
      </c>
      <c r="MV16" s="63" t="s">
        <v>1451</v>
      </c>
      <c r="MW16" s="41">
        <v>0</v>
      </c>
      <c r="MX16" s="42" t="s">
        <v>1924</v>
      </c>
      <c r="MY16" s="41">
        <f>34.21+0.66</f>
        <v>34.87</v>
      </c>
      <c r="MZ16" s="327" t="s">
        <v>1925</v>
      </c>
      <c r="NA16" s="41">
        <v>4</v>
      </c>
      <c r="NB16" s="63" t="s">
        <v>1708</v>
      </c>
      <c r="NC16" s="43">
        <v>100686</v>
      </c>
      <c r="ND16" s="15" t="s">
        <v>1637</v>
      </c>
      <c r="NE16" s="38"/>
      <c r="NF16" s="327" t="s">
        <v>1926</v>
      </c>
      <c r="NG16" s="41">
        <v>10</v>
      </c>
      <c r="NH16" s="48" t="s">
        <v>1726</v>
      </c>
      <c r="NI16" s="94">
        <v>-1486</v>
      </c>
      <c r="NJ16" s="42" t="s">
        <v>1927</v>
      </c>
      <c r="NK16" s="41">
        <v>11.23</v>
      </c>
      <c r="NL16" s="327" t="s">
        <v>1928</v>
      </c>
      <c r="NM16" s="41">
        <v>20</v>
      </c>
      <c r="NN16" s="69" t="s">
        <v>1725</v>
      </c>
      <c r="NO16" s="251"/>
      <c r="NP16" s="42" t="s">
        <v>1929</v>
      </c>
      <c r="NQ16" s="38">
        <v>33.13</v>
      </c>
      <c r="NR16" s="151" t="s">
        <v>1714</v>
      </c>
      <c r="NS16" s="41">
        <f>13.57+9+9</f>
        <v>31.57</v>
      </c>
      <c r="NT16" s="48" t="s">
        <v>1726</v>
      </c>
      <c r="NU16" s="94">
        <v>-506</v>
      </c>
      <c r="NV16" s="15" t="s">
        <v>1374</v>
      </c>
      <c r="NW16" s="38">
        <f>78.59+0.19</f>
        <v>78.78</v>
      </c>
      <c r="NX16" s="151" t="s">
        <v>1516</v>
      </c>
      <c r="NY16" s="57">
        <v>71.6</v>
      </c>
      <c r="NZ16" s="65" t="s">
        <v>1862</v>
      </c>
      <c r="OA16" s="173">
        <v>50</v>
      </c>
      <c r="OB16" s="15" t="s">
        <v>1930</v>
      </c>
      <c r="OC16" s="38">
        <f>34.82+100.62</f>
        <v>135.44</v>
      </c>
      <c r="OD16" s="151" t="s">
        <v>1636</v>
      </c>
      <c r="OE16" s="57"/>
      <c r="OF16" s="61" t="s">
        <v>1931</v>
      </c>
      <c r="OG16" s="337">
        <f>OF17-0.99*195000</f>
        <v>-1039</v>
      </c>
      <c r="OH16" s="347"/>
    </row>
    <row r="17" ht="12" customHeight="1" spans="1:399">
      <c r="A17" s="48" t="s">
        <v>1455</v>
      </c>
      <c r="B17" s="56">
        <v>0</v>
      </c>
      <c r="E17" s="58" t="s">
        <v>346</v>
      </c>
      <c r="F17" s="58"/>
      <c r="G17" s="48" t="s">
        <v>1455</v>
      </c>
      <c r="H17" s="56">
        <v>0</v>
      </c>
      <c r="K17" s="58" t="s">
        <v>346</v>
      </c>
      <c r="M17" s="22" t="s">
        <v>1932</v>
      </c>
      <c r="N17" s="55"/>
      <c r="S17" s="22" t="s">
        <v>1932</v>
      </c>
      <c r="T17" s="55"/>
      <c r="U17" s="15" t="s">
        <v>1933</v>
      </c>
      <c r="V17" s="15">
        <v>100</v>
      </c>
      <c r="W17" s="58" t="s">
        <v>355</v>
      </c>
      <c r="X17" s="15">
        <v>288.75</v>
      </c>
      <c r="Y17" s="22" t="s">
        <v>1932</v>
      </c>
      <c r="Z17" s="55"/>
      <c r="AA17" s="15" t="s">
        <v>1933</v>
      </c>
      <c r="AB17" s="15">
        <v>0</v>
      </c>
      <c r="AC17" s="66" t="s">
        <v>1609</v>
      </c>
      <c r="AD17" s="61">
        <v>0</v>
      </c>
      <c r="AE17" s="15" t="s">
        <v>148</v>
      </c>
      <c r="AF17" s="41">
        <v>0</v>
      </c>
      <c r="AI17" s="66" t="s">
        <v>1609</v>
      </c>
      <c r="AJ17" s="61">
        <v>0</v>
      </c>
      <c r="AK17" s="15" t="s">
        <v>148</v>
      </c>
      <c r="AL17" s="41">
        <v>0</v>
      </c>
      <c r="AO17" s="58" t="s">
        <v>1934</v>
      </c>
      <c r="AP17" s="61">
        <v>2354.05</v>
      </c>
      <c r="AQ17" s="15" t="s">
        <v>148</v>
      </c>
      <c r="AR17" s="57">
        <v>0</v>
      </c>
      <c r="AU17" s="71" t="s">
        <v>1935</v>
      </c>
      <c r="AV17" s="61">
        <v>100</v>
      </c>
      <c r="AW17" s="15" t="s">
        <v>148</v>
      </c>
      <c r="AX17" s="57">
        <v>0</v>
      </c>
      <c r="AY17" s="71"/>
      <c r="AZ17" s="61"/>
      <c r="BA17" s="15" t="s">
        <v>148</v>
      </c>
      <c r="BB17" s="55">
        <f t="shared" si="0"/>
        <v>0</v>
      </c>
      <c r="BE17" s="58" t="s">
        <v>1672</v>
      </c>
      <c r="BF17" s="61"/>
      <c r="BG17" s="15" t="s">
        <v>148</v>
      </c>
      <c r="BH17" s="57">
        <v>0</v>
      </c>
      <c r="BK17" s="87"/>
      <c r="BL17" s="61"/>
      <c r="BM17" s="15" t="s">
        <v>148</v>
      </c>
      <c r="BN17" s="57">
        <v>0</v>
      </c>
      <c r="BO17" s="61" t="s">
        <v>1736</v>
      </c>
      <c r="BQ17" s="87"/>
      <c r="BR17" s="61"/>
      <c r="BS17" s="15" t="s">
        <v>148</v>
      </c>
      <c r="BT17" s="91">
        <v>0</v>
      </c>
      <c r="BU17" s="42" t="s">
        <v>1804</v>
      </c>
      <c r="BV17" s="61" t="s">
        <v>646</v>
      </c>
      <c r="BW17" s="87"/>
      <c r="BX17" s="61"/>
      <c r="BY17" s="22" t="s">
        <v>1873</v>
      </c>
      <c r="BZ17" s="55"/>
      <c r="CA17" s="42" t="s">
        <v>1731</v>
      </c>
      <c r="CB17" s="61" t="s">
        <v>646</v>
      </c>
      <c r="CC17" s="87"/>
      <c r="CD17" s="61"/>
      <c r="CE17" s="22" t="s">
        <v>1873</v>
      </c>
      <c r="CF17" s="55"/>
      <c r="CI17" s="87" t="s">
        <v>321</v>
      </c>
      <c r="CJ17" s="61"/>
      <c r="CK17" s="22" t="s">
        <v>1936</v>
      </c>
      <c r="CL17" s="55">
        <v>5920</v>
      </c>
      <c r="CO17" s="87"/>
      <c r="CP17" s="61"/>
      <c r="CQ17" s="22" t="s">
        <v>1873</v>
      </c>
      <c r="CR17" s="55"/>
      <c r="CU17" s="88" t="s">
        <v>1937</v>
      </c>
      <c r="CV17" s="42">
        <v>615.2</v>
      </c>
      <c r="CW17" s="22" t="s">
        <v>1873</v>
      </c>
      <c r="CX17" s="55"/>
      <c r="CY17" s="57" t="s">
        <v>1938</v>
      </c>
      <c r="CZ17" s="42">
        <v>14</v>
      </c>
      <c r="DA17" s="116" t="s">
        <v>1939</v>
      </c>
      <c r="DB17" s="42">
        <v>1316.1</v>
      </c>
      <c r="DC17" s="60" t="s">
        <v>1326</v>
      </c>
      <c r="DD17" s="98">
        <v>150</v>
      </c>
      <c r="DE17" s="57" t="s">
        <v>1940</v>
      </c>
      <c r="DF17" s="61">
        <v>19.8</v>
      </c>
      <c r="DG17" s="114" t="s">
        <v>1591</v>
      </c>
      <c r="DH17" s="57">
        <v>132.93</v>
      </c>
      <c r="DI17" s="48" t="s">
        <v>1460</v>
      </c>
      <c r="DJ17" s="57" t="s">
        <v>694</v>
      </c>
      <c r="DK17" s="57" t="s">
        <v>1668</v>
      </c>
      <c r="DM17" s="114" t="s">
        <v>1941</v>
      </c>
      <c r="DN17" s="57">
        <v>18</v>
      </c>
      <c r="DO17" s="22" t="s">
        <v>1877</v>
      </c>
      <c r="DP17" s="92">
        <f>40000+10000+10000</f>
        <v>60000</v>
      </c>
      <c r="DQ17" s="57" t="s">
        <v>1668</v>
      </c>
      <c r="DS17" s="114" t="s">
        <v>1662</v>
      </c>
      <c r="DT17" s="57" t="s">
        <v>646</v>
      </c>
      <c r="DU17" s="22" t="s">
        <v>1813</v>
      </c>
      <c r="DV17" s="92">
        <v>10000</v>
      </c>
      <c r="DW17" s="15" t="s">
        <v>1284</v>
      </c>
      <c r="DX17" s="15">
        <v>12.9</v>
      </c>
      <c r="DY17" s="66" t="s">
        <v>1636</v>
      </c>
      <c r="DZ17" s="15">
        <f>6.5+15</f>
        <v>21.5</v>
      </c>
      <c r="EA17" s="22" t="s">
        <v>1877</v>
      </c>
      <c r="EB17" s="92">
        <v>40000</v>
      </c>
      <c r="EE17" s="66" t="s">
        <v>1636</v>
      </c>
      <c r="EF17" s="15">
        <f>15+6.5+97.5</f>
        <v>119</v>
      </c>
      <c r="EH17" s="48" t="s">
        <v>1942</v>
      </c>
      <c r="EI17" s="94">
        <v>20000</v>
      </c>
      <c r="EJ17" s="15" t="s">
        <v>1284</v>
      </c>
      <c r="EK17" s="15">
        <v>3.9</v>
      </c>
      <c r="EL17" s="66" t="s">
        <v>1880</v>
      </c>
      <c r="EM17" s="15">
        <v>73.87</v>
      </c>
      <c r="EN17" s="48" t="s">
        <v>1943</v>
      </c>
      <c r="EO17" s="94">
        <v>5000</v>
      </c>
      <c r="ER17" s="170" t="s">
        <v>1880</v>
      </c>
      <c r="ES17" s="15">
        <v>78.4</v>
      </c>
      <c r="ET17" s="48" t="s">
        <v>1746</v>
      </c>
      <c r="EU17" s="94">
        <v>10000</v>
      </c>
      <c r="EX17" s="170" t="s">
        <v>1944</v>
      </c>
      <c r="EY17" s="15">
        <v>72</v>
      </c>
      <c r="EZ17" s="48" t="s">
        <v>1879</v>
      </c>
      <c r="FA17" s="94">
        <v>25000</v>
      </c>
      <c r="FB17" s="15" t="s">
        <v>1945</v>
      </c>
      <c r="FC17" s="15">
        <v>1888</v>
      </c>
      <c r="FD17" s="170" t="s">
        <v>1880</v>
      </c>
      <c r="FE17" s="15">
        <v>81.84</v>
      </c>
      <c r="FF17" s="48" t="s">
        <v>1946</v>
      </c>
      <c r="FG17" s="94">
        <v>25000</v>
      </c>
      <c r="FH17" s="15" t="s">
        <v>1947</v>
      </c>
      <c r="FI17" s="15">
        <f>20057.44-20000</f>
        <v>57.4399999999987</v>
      </c>
      <c r="FJ17" s="170" t="s">
        <v>1680</v>
      </c>
      <c r="FK17" s="15">
        <v>140.45</v>
      </c>
      <c r="FL17" s="61" t="s">
        <v>1817</v>
      </c>
      <c r="FM17" s="91" t="s">
        <v>1818</v>
      </c>
      <c r="FN17" s="15" t="s">
        <v>1948</v>
      </c>
      <c r="FO17" s="15">
        <v>103</v>
      </c>
      <c r="FP17" s="163" t="s">
        <v>1609</v>
      </c>
      <c r="FQ17" s="153">
        <v>1861.8</v>
      </c>
      <c r="FR17" s="61" t="s">
        <v>1749</v>
      </c>
      <c r="FS17" s="91" t="s">
        <v>1949</v>
      </c>
      <c r="FT17" s="15" t="s">
        <v>1950</v>
      </c>
      <c r="FU17" s="18">
        <v>18.4</v>
      </c>
      <c r="FV17" s="163" t="s">
        <v>1951</v>
      </c>
      <c r="FW17" s="153">
        <v>29.62</v>
      </c>
      <c r="FX17" s="77" t="s">
        <v>1952</v>
      </c>
      <c r="FZ17" s="15" t="s">
        <v>1474</v>
      </c>
      <c r="GA17" s="15">
        <v>13.32</v>
      </c>
      <c r="GB17" s="175" t="s">
        <v>1953</v>
      </c>
      <c r="GC17" s="15">
        <v>134</v>
      </c>
      <c r="GD17" s="77" t="s">
        <v>1952</v>
      </c>
      <c r="GF17" s="69" t="s">
        <v>148</v>
      </c>
      <c r="GG17" s="15">
        <v>130.45</v>
      </c>
      <c r="GH17" s="179" t="s">
        <v>1954</v>
      </c>
      <c r="GI17" s="15">
        <v>350</v>
      </c>
      <c r="GJ17" s="48" t="s">
        <v>1398</v>
      </c>
      <c r="GK17" s="15">
        <v>160</v>
      </c>
      <c r="GL17" s="15" t="s">
        <v>1192</v>
      </c>
      <c r="GM17" s="18"/>
      <c r="GN17" s="163" t="s">
        <v>1753</v>
      </c>
      <c r="GO17" s="15">
        <v>29.25</v>
      </c>
      <c r="GP17" s="48" t="s">
        <v>1398</v>
      </c>
      <c r="GQ17" s="15">
        <v>156</v>
      </c>
      <c r="GR17" s="69" t="s">
        <v>148</v>
      </c>
      <c r="GS17" s="15">
        <v>141.45</v>
      </c>
      <c r="GT17" s="72" t="s">
        <v>1955</v>
      </c>
      <c r="GU17" s="15">
        <v>5</v>
      </c>
      <c r="GV17" s="77" t="s">
        <v>1956</v>
      </c>
      <c r="GY17" s="18"/>
      <c r="GZ17" s="180" t="s">
        <v>1957</v>
      </c>
      <c r="HA17" s="61">
        <f>109.5+145</f>
        <v>254.5</v>
      </c>
      <c r="HB17" s="48" t="s">
        <v>1398</v>
      </c>
      <c r="HC17" s="15">
        <v>90</v>
      </c>
      <c r="HD17" s="15" t="s">
        <v>1192</v>
      </c>
      <c r="HF17" s="179" t="s">
        <v>1958</v>
      </c>
      <c r="HG17" s="15">
        <v>48.24</v>
      </c>
      <c r="HH17" s="77" t="s">
        <v>1956</v>
      </c>
      <c r="HJ17" s="195">
        <v>258.44</v>
      </c>
      <c r="HK17" s="188" t="s">
        <v>1959</v>
      </c>
      <c r="HL17" s="170" t="s">
        <v>1960</v>
      </c>
      <c r="HM17" s="15">
        <f>HK7</f>
        <v>30.001</v>
      </c>
      <c r="HN17" s="63" t="s">
        <v>1766</v>
      </c>
      <c r="HO17" s="15">
        <v>89</v>
      </c>
      <c r="HP17" s="194"/>
      <c r="HQ17" s="188"/>
      <c r="HR17" s="170" t="s">
        <v>1636</v>
      </c>
      <c r="HS17" s="15">
        <f>6.5+15</f>
        <v>21.5</v>
      </c>
      <c r="HT17" s="63" t="s">
        <v>1607</v>
      </c>
      <c r="HU17" s="15">
        <v>659</v>
      </c>
      <c r="HV17" s="196" t="s">
        <v>1961</v>
      </c>
      <c r="HW17" s="18">
        <v>37.6</v>
      </c>
      <c r="HX17" s="170" t="s">
        <v>1681</v>
      </c>
      <c r="HY17" s="186">
        <v>177.48</v>
      </c>
      <c r="HZ17" s="63" t="s">
        <v>1686</v>
      </c>
      <c r="IA17" s="15">
        <v>311</v>
      </c>
      <c r="IB17" s="225" t="s">
        <v>1962</v>
      </c>
      <c r="IC17" s="226">
        <v>835.6</v>
      </c>
      <c r="ID17" s="72" t="s">
        <v>1610</v>
      </c>
      <c r="IE17" s="186">
        <f>IE18*2</f>
        <v>1833.74666666667</v>
      </c>
      <c r="IF17" s="63" t="s">
        <v>1963</v>
      </c>
      <c r="IG17" s="43" t="s">
        <v>646</v>
      </c>
      <c r="IH17" s="15" t="s">
        <v>1474</v>
      </c>
      <c r="II17" s="219">
        <v>1.67</v>
      </c>
      <c r="IJ17" s="170" t="s">
        <v>1681</v>
      </c>
      <c r="IK17" s="186" t="s">
        <v>1964</v>
      </c>
      <c r="IL17" s="63" t="s">
        <v>1766</v>
      </c>
      <c r="IM17" s="43">
        <v>4000</v>
      </c>
      <c r="IN17" s="15" t="s">
        <v>1965</v>
      </c>
      <c r="IO17" s="219">
        <f>149.59*2</f>
        <v>299.18</v>
      </c>
      <c r="IP17" s="170" t="s">
        <v>1826</v>
      </c>
      <c r="IQ17" s="41">
        <v>18</v>
      </c>
      <c r="IR17" s="63" t="s">
        <v>1966</v>
      </c>
      <c r="IS17" s="18">
        <v>65005</v>
      </c>
      <c r="IT17" s="15" t="s">
        <v>1474</v>
      </c>
      <c r="IU17" s="15">
        <v>13.86</v>
      </c>
      <c r="IV17" s="170" t="s">
        <v>1540</v>
      </c>
      <c r="IW17" s="15">
        <f>30+59.31</f>
        <v>89.31</v>
      </c>
      <c r="IX17" s="63" t="s">
        <v>1966</v>
      </c>
      <c r="IY17" s="18">
        <v>65005</v>
      </c>
      <c r="IZ17" s="15" t="s">
        <v>1708</v>
      </c>
      <c r="JA17" s="15">
        <f>5.9+2.12</f>
        <v>8.02</v>
      </c>
      <c r="JB17" s="170" t="s">
        <v>1836</v>
      </c>
      <c r="JC17" s="18">
        <f>3175.47/3</f>
        <v>1058.49</v>
      </c>
      <c r="JD17" s="63" t="s">
        <v>1966</v>
      </c>
      <c r="JE17" s="43">
        <v>65005</v>
      </c>
      <c r="JF17" s="194" t="s">
        <v>1967</v>
      </c>
      <c r="JG17" s="15">
        <v>442.61</v>
      </c>
      <c r="JH17" s="170" t="s">
        <v>1968</v>
      </c>
      <c r="JI17" s="41">
        <v>59.36</v>
      </c>
      <c r="JJ17" s="63" t="s">
        <v>1969</v>
      </c>
      <c r="JK17" s="43">
        <f>25000.29+90000.29+140000.29+10000</f>
        <v>265000.87</v>
      </c>
      <c r="JL17" s="15" t="s">
        <v>1715</v>
      </c>
      <c r="JM17" s="41">
        <f>180.39+64.94+57.72</f>
        <v>303.05</v>
      </c>
      <c r="JN17" s="170" t="s">
        <v>1970</v>
      </c>
      <c r="JO17" s="41">
        <v>30</v>
      </c>
      <c r="JP17" s="77" t="s">
        <v>1905</v>
      </c>
      <c r="JQ17" s="251"/>
      <c r="JR17" s="15" t="s">
        <v>1838</v>
      </c>
      <c r="JS17" s="38">
        <v>2.95</v>
      </c>
      <c r="JT17" s="170" t="s">
        <v>1971</v>
      </c>
      <c r="JU17" s="44">
        <v>131.6</v>
      </c>
      <c r="JV17" s="63" t="s">
        <v>1972</v>
      </c>
      <c r="JW17" s="43">
        <v>0</v>
      </c>
      <c r="JX17" s="42" t="s">
        <v>1973</v>
      </c>
      <c r="JY17" s="38">
        <f>1.29+1.15</f>
        <v>2.44</v>
      </c>
      <c r="JZ17" s="163" t="s">
        <v>1974</v>
      </c>
      <c r="KA17" s="15">
        <f>6.8+7.8</f>
        <v>14.6</v>
      </c>
      <c r="KB17" s="63" t="s">
        <v>1972</v>
      </c>
      <c r="KC17" s="43">
        <v>0</v>
      </c>
      <c r="KD17" s="15" t="s">
        <v>1704</v>
      </c>
      <c r="KE17" s="38"/>
      <c r="KF17" s="170" t="s">
        <v>1788</v>
      </c>
      <c r="KG17" s="41">
        <f>14.89+17.36+13.36+15.59+10+15.78+15.59</f>
        <v>102.57</v>
      </c>
      <c r="KH17" s="61" t="s">
        <v>1975</v>
      </c>
      <c r="KI17" s="173">
        <f>686-1000</f>
        <v>-314</v>
      </c>
      <c r="KJ17" s="42" t="s">
        <v>1451</v>
      </c>
      <c r="KK17" s="38">
        <v>7.97</v>
      </c>
      <c r="KL17" s="220" t="s">
        <v>1976</v>
      </c>
      <c r="KM17" s="219">
        <f>1388.33-KM18</f>
        <v>1240.58</v>
      </c>
      <c r="KN17" s="63" t="s">
        <v>1977</v>
      </c>
      <c r="KO17" s="43">
        <v>129000</v>
      </c>
      <c r="KP17" s="61" t="s">
        <v>1978</v>
      </c>
      <c r="KQ17" s="15">
        <f>20000*(1-0.9803)</f>
        <v>394.000000000001</v>
      </c>
      <c r="KR17" s="72" t="s">
        <v>1979</v>
      </c>
      <c r="KS17" s="219">
        <f>1363.36-KS18</f>
        <v>1223.29</v>
      </c>
      <c r="KT17" s="63" t="s">
        <v>1977</v>
      </c>
      <c r="KU17" s="43">
        <v>199369</v>
      </c>
      <c r="KV17" s="42"/>
      <c r="KW17" s="38"/>
      <c r="KX17" s="86" t="s">
        <v>1980</v>
      </c>
      <c r="KY17" s="61">
        <f>82.2+45.07</f>
        <v>127.27</v>
      </c>
      <c r="KZ17" s="48" t="s">
        <v>1846</v>
      </c>
      <c r="LA17" s="94">
        <v>-143</v>
      </c>
      <c r="LB17" s="42" t="s">
        <v>1843</v>
      </c>
      <c r="LC17" s="38">
        <f>33.25+1.5</f>
        <v>34.75</v>
      </c>
      <c r="LD17" s="163" t="s">
        <v>1981</v>
      </c>
      <c r="LE17" s="306">
        <v>69.9</v>
      </c>
      <c r="LF17" s="61" t="s">
        <v>1931</v>
      </c>
      <c r="LG17" s="43">
        <f>LF18-0.99*195000</f>
        <v>-677</v>
      </c>
      <c r="LH17" s="15" t="s">
        <v>1704</v>
      </c>
      <c r="LI17" s="38"/>
      <c r="LJ17" s="88" t="s">
        <v>1982</v>
      </c>
      <c r="LK17" s="61">
        <f>88.33+39.69</f>
        <v>128.02</v>
      </c>
      <c r="LL17" s="61" t="s">
        <v>1931</v>
      </c>
      <c r="LM17" s="43">
        <v>-11827</v>
      </c>
      <c r="LN17" s="15" t="s">
        <v>1430</v>
      </c>
      <c r="LO17" s="38">
        <v>62.001</v>
      </c>
      <c r="LP17" s="163" t="s">
        <v>1983</v>
      </c>
      <c r="LQ17" s="57">
        <v>38.38</v>
      </c>
      <c r="LR17" s="48" t="s">
        <v>1846</v>
      </c>
      <c r="LS17" s="94">
        <v>-317</v>
      </c>
      <c r="LT17" s="61" t="s">
        <v>1984</v>
      </c>
      <c r="LU17" s="38">
        <v>473.98</v>
      </c>
      <c r="LV17" s="314" t="s">
        <v>1985</v>
      </c>
      <c r="LW17" s="57">
        <v>202.58</v>
      </c>
      <c r="LX17" s="69" t="s">
        <v>1725</v>
      </c>
      <c r="LY17" s="251"/>
      <c r="LZ17" s="42" t="s">
        <v>1986</v>
      </c>
      <c r="MA17" s="38">
        <v>758.42</v>
      </c>
      <c r="MB17" s="327" t="s">
        <v>1987</v>
      </c>
      <c r="MC17" s="41">
        <f>1+5</f>
        <v>6</v>
      </c>
      <c r="MD17" s="69" t="s">
        <v>1725</v>
      </c>
      <c r="ME17" s="251"/>
      <c r="MF17" s="15" t="s">
        <v>1637</v>
      </c>
      <c r="MG17" s="38"/>
      <c r="MH17" s="151" t="s">
        <v>1714</v>
      </c>
      <c r="MI17" s="41">
        <f>9+9+13.57</f>
        <v>31.57</v>
      </c>
      <c r="MJ17" s="63" t="s">
        <v>1708</v>
      </c>
      <c r="MK17" s="43">
        <v>101153</v>
      </c>
      <c r="ML17" s="321" t="s">
        <v>1988</v>
      </c>
      <c r="MM17" s="328">
        <v>984.001</v>
      </c>
      <c r="MN17" s="151" t="s">
        <v>1714</v>
      </c>
      <c r="MO17" s="41">
        <f>9+9+13.57</f>
        <v>31.57</v>
      </c>
      <c r="MP17" s="63" t="s">
        <v>1708</v>
      </c>
      <c r="MQ17" s="43">
        <v>100737</v>
      </c>
      <c r="MR17" s="42" t="s">
        <v>1989</v>
      </c>
      <c r="MS17" s="41">
        <v>33</v>
      </c>
      <c r="MT17" s="151" t="s">
        <v>1636</v>
      </c>
      <c r="MU17" s="41">
        <v>5</v>
      </c>
      <c r="MV17" s="63" t="s">
        <v>1708</v>
      </c>
      <c r="MW17" s="43">
        <v>101741</v>
      </c>
      <c r="MX17" s="42" t="s">
        <v>1990</v>
      </c>
      <c r="MY17" s="38">
        <f>746.61+10.67</f>
        <v>757.28</v>
      </c>
      <c r="MZ17" s="327" t="s">
        <v>1991</v>
      </c>
      <c r="NA17" s="41">
        <v>17.11</v>
      </c>
      <c r="NB17" s="69" t="s">
        <v>1725</v>
      </c>
      <c r="NC17" s="251"/>
      <c r="ND17" s="48" t="s">
        <v>1992</v>
      </c>
      <c r="NE17" s="38">
        <f>206.48+74.33+41.3</f>
        <v>322.11</v>
      </c>
      <c r="NF17" s="327" t="s">
        <v>1925</v>
      </c>
      <c r="NG17" s="41">
        <f>1+7+1+5+10</f>
        <v>24</v>
      </c>
      <c r="NH17" s="65" t="s">
        <v>1862</v>
      </c>
      <c r="NI17" s="173">
        <v>0</v>
      </c>
      <c r="NJ17" s="287" t="s">
        <v>1993</v>
      </c>
      <c r="NK17" s="287">
        <v>293.59</v>
      </c>
      <c r="NL17" s="327" t="s">
        <v>1994</v>
      </c>
      <c r="NM17" s="41">
        <f>22.6+15.7+21.7+30.5+30.8</f>
        <v>121.3</v>
      </c>
      <c r="NN17" s="48" t="s">
        <v>1726</v>
      </c>
      <c r="NO17" s="94">
        <v>-952</v>
      </c>
      <c r="NP17" s="42" t="s">
        <v>1995</v>
      </c>
      <c r="NQ17" s="41">
        <v>9.43</v>
      </c>
      <c r="NR17" s="151" t="s">
        <v>1788</v>
      </c>
      <c r="NS17" s="41">
        <f>2.13+15.29+17.7+15.2+17.87+10+15.23+5.87</f>
        <v>99.29</v>
      </c>
      <c r="NT17" s="332"/>
      <c r="NU17" s="94"/>
      <c r="NV17" s="61" t="s">
        <v>1996</v>
      </c>
      <c r="NW17" s="38">
        <v>70.22</v>
      </c>
      <c r="NX17" s="151" t="s">
        <v>1997</v>
      </c>
      <c r="NY17" s="44">
        <f>20+20+13+(10.9+5.63)</f>
        <v>69.53</v>
      </c>
      <c r="NZ17" s="61" t="s">
        <v>1931</v>
      </c>
      <c r="OA17" s="337">
        <f>NZ18-0.99*195000</f>
        <v>-319</v>
      </c>
      <c r="OB17" s="15" t="s">
        <v>1374</v>
      </c>
      <c r="OC17" s="38">
        <f>9.23+639.97</f>
        <v>649.2</v>
      </c>
      <c r="OD17" s="151" t="s">
        <v>1714</v>
      </c>
      <c r="OE17" s="41">
        <f>13.12</f>
        <v>13.12</v>
      </c>
      <c r="OF17" s="288">
        <v>192011</v>
      </c>
      <c r="OG17" s="15" t="s">
        <v>1998</v>
      </c>
      <c r="OH17" s="347">
        <v>45668</v>
      </c>
      <c r="OI17" s="288"/>
    </row>
    <row r="18" ht="12.75" customHeight="1" spans="1:398">
      <c r="A18" s="15" t="s">
        <v>148</v>
      </c>
      <c r="B18" s="41">
        <v>0</v>
      </c>
      <c r="E18" s="58" t="s">
        <v>355</v>
      </c>
      <c r="F18" s="58"/>
      <c r="G18" s="15" t="s">
        <v>148</v>
      </c>
      <c r="H18" s="41">
        <v>0</v>
      </c>
      <c r="K18" s="58" t="s">
        <v>355</v>
      </c>
      <c r="M18" s="22" t="s">
        <v>1999</v>
      </c>
      <c r="N18" s="55">
        <v>1218</v>
      </c>
      <c r="Q18" s="53"/>
      <c r="S18" s="22" t="s">
        <v>1999</v>
      </c>
      <c r="T18" s="55">
        <v>1142</v>
      </c>
      <c r="W18" s="58" t="s">
        <v>364</v>
      </c>
      <c r="Y18" s="22" t="s">
        <v>1936</v>
      </c>
      <c r="Z18" s="55">
        <v>100.54</v>
      </c>
      <c r="AC18" s="67" t="s">
        <v>2000</v>
      </c>
      <c r="AD18" s="15">
        <v>104</v>
      </c>
      <c r="AE18" s="22" t="s">
        <v>1932</v>
      </c>
      <c r="AF18" s="55"/>
      <c r="AI18" s="67" t="s">
        <v>2001</v>
      </c>
      <c r="AJ18" s="61">
        <v>0</v>
      </c>
      <c r="AK18" s="22" t="s">
        <v>1932</v>
      </c>
      <c r="AL18" s="55"/>
      <c r="AM18" s="15" t="s">
        <v>1731</v>
      </c>
      <c r="AO18" s="58" t="s">
        <v>2002</v>
      </c>
      <c r="AP18" s="61">
        <v>378.81</v>
      </c>
      <c r="AQ18" s="22" t="s">
        <v>1932</v>
      </c>
      <c r="AR18" s="55"/>
      <c r="AS18" s="15" t="s">
        <v>1804</v>
      </c>
      <c r="AT18" s="15" t="s">
        <v>646</v>
      </c>
      <c r="AU18" s="58" t="s">
        <v>1672</v>
      </c>
      <c r="AV18" s="61"/>
      <c r="AW18" s="22" t="s">
        <v>1873</v>
      </c>
      <c r="AX18" s="55"/>
      <c r="AY18" s="58"/>
      <c r="AZ18" s="61"/>
      <c r="BA18" s="22" t="s">
        <v>1873</v>
      </c>
      <c r="BB18" s="55">
        <f t="shared" si="0"/>
        <v>0</v>
      </c>
      <c r="BE18" s="66" t="s">
        <v>2003</v>
      </c>
      <c r="BF18" s="61" t="s">
        <v>646</v>
      </c>
      <c r="BG18" s="22" t="s">
        <v>1873</v>
      </c>
      <c r="BH18" s="55"/>
      <c r="BJ18" s="61"/>
      <c r="BK18" s="88" t="s">
        <v>2003</v>
      </c>
      <c r="BL18" s="61">
        <f>172+215</f>
        <v>387</v>
      </c>
      <c r="BM18" s="22" t="s">
        <v>1873</v>
      </c>
      <c r="BN18" s="55"/>
      <c r="BO18" s="61" t="s">
        <v>1805</v>
      </c>
      <c r="BP18" s="61">
        <v>7</v>
      </c>
      <c r="BQ18" s="88" t="s">
        <v>2004</v>
      </c>
      <c r="BR18" s="61">
        <v>172</v>
      </c>
      <c r="BS18" s="22" t="s">
        <v>1873</v>
      </c>
      <c r="BT18" s="23"/>
      <c r="BU18" s="61"/>
      <c r="BV18" s="61"/>
      <c r="BW18" s="88" t="s">
        <v>2005</v>
      </c>
      <c r="BX18" s="61">
        <v>172</v>
      </c>
      <c r="BY18" s="22" t="s">
        <v>1936</v>
      </c>
      <c r="BZ18" s="55">
        <v>1013</v>
      </c>
      <c r="CA18" s="42" t="s">
        <v>1804</v>
      </c>
      <c r="CB18" s="61" t="s">
        <v>646</v>
      </c>
      <c r="CC18" s="88" t="s">
        <v>2006</v>
      </c>
      <c r="CD18" s="61">
        <v>215</v>
      </c>
      <c r="CE18" s="22" t="s">
        <v>1936</v>
      </c>
      <c r="CF18" s="55">
        <v>1014</v>
      </c>
      <c r="CG18" s="57"/>
      <c r="CI18" s="87"/>
      <c r="CJ18" s="61"/>
      <c r="CK18" s="22" t="s">
        <v>1999</v>
      </c>
      <c r="CL18" s="55">
        <v>21145.64</v>
      </c>
      <c r="CM18" s="57" t="s">
        <v>1273</v>
      </c>
      <c r="CN18" s="42">
        <f>5+5</f>
        <v>10</v>
      </c>
      <c r="CO18" s="88" t="s">
        <v>2003</v>
      </c>
      <c r="CP18" s="61" t="s">
        <v>646</v>
      </c>
      <c r="CQ18" s="22" t="s">
        <v>1936</v>
      </c>
      <c r="CR18" s="55">
        <v>60</v>
      </c>
      <c r="CS18" s="57" t="s">
        <v>1740</v>
      </c>
      <c r="CT18" s="61"/>
      <c r="CU18" s="88" t="s">
        <v>1798</v>
      </c>
      <c r="CV18" s="61" t="s">
        <v>646</v>
      </c>
      <c r="CW18" s="22" t="s">
        <v>1936</v>
      </c>
      <c r="CX18" s="55">
        <v>60</v>
      </c>
      <c r="CY18" s="61" t="s">
        <v>657</v>
      </c>
      <c r="DA18" s="88" t="s">
        <v>2007</v>
      </c>
      <c r="DB18" s="61">
        <v>115.81</v>
      </c>
      <c r="DC18" s="22" t="s">
        <v>1873</v>
      </c>
      <c r="DD18" s="55"/>
      <c r="DE18" s="57" t="s">
        <v>2008</v>
      </c>
      <c r="DF18" s="61">
        <v>57.6</v>
      </c>
      <c r="DG18" s="114" t="s">
        <v>2009</v>
      </c>
      <c r="DH18" s="57">
        <v>2000</v>
      </c>
      <c r="DI18" s="130" t="s">
        <v>2010</v>
      </c>
      <c r="DJ18" s="131"/>
      <c r="DK18" s="57"/>
      <c r="DM18" s="114" t="s">
        <v>1662</v>
      </c>
      <c r="DN18" s="57"/>
      <c r="DO18" s="22" t="s">
        <v>2011</v>
      </c>
      <c r="DP18" s="92">
        <v>10000</v>
      </c>
      <c r="DQ18" s="57"/>
      <c r="DS18" s="115" t="s">
        <v>2012</v>
      </c>
      <c r="DT18" s="44">
        <v>382</v>
      </c>
      <c r="DU18" s="22" t="s">
        <v>1877</v>
      </c>
      <c r="DV18" s="92">
        <v>40000</v>
      </c>
      <c r="DY18" s="66" t="s">
        <v>2013</v>
      </c>
      <c r="DZ18" s="15">
        <v>140.95</v>
      </c>
      <c r="EA18" s="22" t="s">
        <v>1942</v>
      </c>
      <c r="EB18" s="92">
        <v>10000</v>
      </c>
      <c r="EE18" s="66" t="s">
        <v>2013</v>
      </c>
      <c r="EF18" s="15">
        <v>140.45</v>
      </c>
      <c r="EH18" s="48" t="s">
        <v>2014</v>
      </c>
      <c r="EI18" s="94">
        <v>10000</v>
      </c>
      <c r="EJ18" s="15" t="s">
        <v>1284</v>
      </c>
      <c r="EK18" s="15">
        <v>28.7</v>
      </c>
      <c r="EL18" s="66" t="s">
        <v>1944</v>
      </c>
      <c r="EM18" s="15">
        <f>34.42+10.73</f>
        <v>45.15</v>
      </c>
      <c r="EN18" s="48" t="s">
        <v>2015</v>
      </c>
      <c r="EO18" s="94">
        <v>5000</v>
      </c>
      <c r="ER18" s="170" t="s">
        <v>1944</v>
      </c>
      <c r="ES18" s="15">
        <v>0</v>
      </c>
      <c r="ET18" s="48" t="s">
        <v>2016</v>
      </c>
      <c r="EU18" s="94">
        <v>5000</v>
      </c>
      <c r="EV18" s="614" t="s">
        <v>1754</v>
      </c>
      <c r="EX18" s="170" t="s">
        <v>1636</v>
      </c>
      <c r="EY18" s="15">
        <f>15+6.5</f>
        <v>21.5</v>
      </c>
      <c r="EZ18" s="48" t="s">
        <v>1746</v>
      </c>
      <c r="FA18" s="94">
        <v>15000</v>
      </c>
      <c r="FB18" s="614" t="s">
        <v>1754</v>
      </c>
      <c r="FD18" s="170" t="s">
        <v>2017</v>
      </c>
      <c r="FE18" s="15">
        <v>139.01</v>
      </c>
      <c r="FF18" s="48" t="s">
        <v>1746</v>
      </c>
      <c r="FG18" s="94">
        <v>15000</v>
      </c>
      <c r="FH18" s="61" t="s">
        <v>2018</v>
      </c>
      <c r="FI18" s="64">
        <f>1021.65+992.81-2000</f>
        <v>14.46</v>
      </c>
      <c r="FJ18" s="170" t="s">
        <v>1636</v>
      </c>
      <c r="FK18" s="15">
        <f>6.5+15+7.2</f>
        <v>28.7</v>
      </c>
      <c r="FL18" s="48" t="s">
        <v>1815</v>
      </c>
      <c r="FM18" s="94">
        <v>4000</v>
      </c>
      <c r="FN18" s="15" t="s">
        <v>2019</v>
      </c>
      <c r="FO18" s="18">
        <v>55</v>
      </c>
      <c r="FP18" s="170" t="s">
        <v>2020</v>
      </c>
      <c r="FQ18" s="15">
        <v>184.77</v>
      </c>
      <c r="FR18" s="61" t="s">
        <v>2021</v>
      </c>
      <c r="FS18" s="91"/>
      <c r="FU18" s="18"/>
      <c r="FV18" s="170" t="s">
        <v>2022</v>
      </c>
      <c r="FW18" s="15">
        <f>3.08+89.15</f>
        <v>92.23</v>
      </c>
      <c r="FX18" s="48" t="s">
        <v>2023</v>
      </c>
      <c r="FY18" s="77">
        <v>748</v>
      </c>
      <c r="GB18" s="163" t="s">
        <v>2024</v>
      </c>
      <c r="GD18" s="48" t="s">
        <v>2023</v>
      </c>
      <c r="GE18" s="77">
        <v>856</v>
      </c>
      <c r="GF18" s="15" t="s">
        <v>1474</v>
      </c>
      <c r="GG18" s="15" t="s">
        <v>646</v>
      </c>
      <c r="GH18" s="163" t="s">
        <v>2025</v>
      </c>
      <c r="GI18" s="15">
        <v>3.87</v>
      </c>
      <c r="GJ18" s="65" t="s">
        <v>2026</v>
      </c>
      <c r="GK18" s="15">
        <v>1200</v>
      </c>
      <c r="GM18" s="18"/>
      <c r="GN18" s="163" t="s">
        <v>2027</v>
      </c>
      <c r="GO18" s="15">
        <v>54.38</v>
      </c>
      <c r="GP18" s="77" t="s">
        <v>2028</v>
      </c>
      <c r="GR18" s="15" t="s">
        <v>1474</v>
      </c>
      <c r="GS18" s="15">
        <v>13.53</v>
      </c>
      <c r="GT18" s="170" t="s">
        <v>2029</v>
      </c>
      <c r="GU18" s="15">
        <v>67.42</v>
      </c>
      <c r="GV18" s="65" t="s">
        <v>2026</v>
      </c>
      <c r="GW18" s="15">
        <v>1001</v>
      </c>
      <c r="GZ18" s="170" t="s">
        <v>1475</v>
      </c>
      <c r="HA18" s="186">
        <f>2525.92/6</f>
        <v>420.986666666667</v>
      </c>
      <c r="HB18" s="77" t="s">
        <v>1956</v>
      </c>
      <c r="HD18" s="15" t="s">
        <v>2030</v>
      </c>
      <c r="HE18" s="15">
        <f>1.25*3</f>
        <v>3.75</v>
      </c>
      <c r="HF18" s="163" t="s">
        <v>2031</v>
      </c>
      <c r="HG18" s="15">
        <v>33</v>
      </c>
      <c r="HH18" s="65" t="s">
        <v>2026</v>
      </c>
      <c r="HI18" s="15">
        <v>2041</v>
      </c>
      <c r="HJ18" s="195">
        <v>23.05</v>
      </c>
      <c r="HK18" s="188" t="s">
        <v>1959</v>
      </c>
      <c r="HL18" s="170" t="s">
        <v>2032</v>
      </c>
      <c r="HM18" s="198">
        <f>15.88+15.81+18.55+16.76+17.32+18.76</f>
        <v>103.08</v>
      </c>
      <c r="HN18" s="48" t="s">
        <v>1398</v>
      </c>
      <c r="HO18" s="15">
        <v>150</v>
      </c>
      <c r="HP18" s="199"/>
      <c r="HQ18" s="189"/>
      <c r="HR18" s="170" t="s">
        <v>1826</v>
      </c>
      <c r="HS18" s="15">
        <f>9+10.96</f>
        <v>19.96</v>
      </c>
      <c r="HT18" s="63" t="s">
        <v>1686</v>
      </c>
      <c r="HU18" s="15">
        <v>457</v>
      </c>
      <c r="HV18" s="194" t="s">
        <v>2033</v>
      </c>
      <c r="HW18" s="212">
        <f>18.8*3+56.4</f>
        <v>112.8</v>
      </c>
      <c r="HX18" s="170" t="s">
        <v>1602</v>
      </c>
      <c r="HY18" s="15">
        <v>96.35</v>
      </c>
      <c r="HZ18" s="63" t="s">
        <v>1766</v>
      </c>
      <c r="IA18" s="15">
        <v>0</v>
      </c>
      <c r="IB18" s="227" t="s">
        <v>2034</v>
      </c>
      <c r="IC18" s="226">
        <f>20.89*3</f>
        <v>62.67</v>
      </c>
      <c r="ID18" s="170" t="s">
        <v>1475</v>
      </c>
      <c r="IE18" s="186">
        <f>2750.62/3</f>
        <v>916.873333333333</v>
      </c>
      <c r="IF18" s="63" t="s">
        <v>2035</v>
      </c>
      <c r="IG18" s="43">
        <v>295021.18</v>
      </c>
      <c r="IH18" s="15" t="s">
        <v>2036</v>
      </c>
      <c r="II18" s="219">
        <v>17.73</v>
      </c>
      <c r="IJ18" s="170" t="s">
        <v>1540</v>
      </c>
      <c r="IK18" s="15" t="s">
        <v>1964</v>
      </c>
      <c r="IL18" s="77" t="s">
        <v>2037</v>
      </c>
      <c r="IM18" s="43">
        <f>100*(120+1000+330+310)</f>
        <v>176000</v>
      </c>
      <c r="IN18" s="15" t="s">
        <v>1708</v>
      </c>
      <c r="IO18" s="15">
        <v>3</v>
      </c>
      <c r="IP18" s="170" t="s">
        <v>2038</v>
      </c>
      <c r="IQ18" s="41">
        <v>42.65</v>
      </c>
      <c r="IR18" s="63" t="s">
        <v>1708</v>
      </c>
      <c r="IS18" s="43">
        <v>1143</v>
      </c>
      <c r="IT18" s="15" t="s">
        <v>1898</v>
      </c>
      <c r="IU18" s="219">
        <v>14</v>
      </c>
      <c r="IV18" s="170" t="s">
        <v>2039</v>
      </c>
      <c r="IW18" s="44">
        <v>110.02</v>
      </c>
      <c r="IX18" s="63" t="s">
        <v>2040</v>
      </c>
      <c r="IY18" s="251">
        <v>4175</v>
      </c>
      <c r="IZ18" s="194"/>
      <c r="JA18" s="212"/>
      <c r="JB18" s="170" t="s">
        <v>2041</v>
      </c>
      <c r="JC18" s="41">
        <v>110.79</v>
      </c>
      <c r="JD18" s="63" t="s">
        <v>2042</v>
      </c>
      <c r="JE18" s="251">
        <v>3083</v>
      </c>
      <c r="JF18" s="194"/>
      <c r="JG18" s="212"/>
      <c r="JH18" s="170" t="s">
        <v>2043</v>
      </c>
      <c r="JI18" s="41">
        <v>30</v>
      </c>
      <c r="JJ18" s="63" t="s">
        <v>2042</v>
      </c>
      <c r="JK18" s="43">
        <v>99936</v>
      </c>
      <c r="JL18" s="194" t="s">
        <v>2044</v>
      </c>
      <c r="JM18" s="212">
        <f>228.82+344.82+65.55+23.84</f>
        <v>663.03</v>
      </c>
      <c r="JN18" s="170" t="s">
        <v>1622</v>
      </c>
      <c r="JO18" s="44">
        <v>157.54</v>
      </c>
      <c r="JP18" s="63" t="s">
        <v>1972</v>
      </c>
      <c r="JQ18" s="43">
        <v>0</v>
      </c>
      <c r="JR18" s="256" t="s">
        <v>1902</v>
      </c>
      <c r="JS18" s="257">
        <f>28.96</f>
        <v>28.96</v>
      </c>
      <c r="JT18" s="170" t="s">
        <v>1636</v>
      </c>
      <c r="JU18" s="41">
        <f>15+6.5</f>
        <v>21.5</v>
      </c>
      <c r="JV18" s="63" t="s">
        <v>2045</v>
      </c>
      <c r="JW18" s="43">
        <v>15</v>
      </c>
      <c r="JX18" s="42" t="s">
        <v>2046</v>
      </c>
      <c r="JY18" s="38">
        <f>65.16+2.55</f>
        <v>67.71</v>
      </c>
      <c r="JZ18" s="163" t="s">
        <v>2047</v>
      </c>
      <c r="KA18" s="15">
        <f>73.44/2</f>
        <v>36.72</v>
      </c>
      <c r="KB18" s="63" t="s">
        <v>2045</v>
      </c>
      <c r="KC18" s="43">
        <v>14</v>
      </c>
      <c r="KD18" s="42" t="s">
        <v>2046</v>
      </c>
      <c r="KE18" s="38">
        <v>92.26</v>
      </c>
      <c r="KF18" s="151" t="s">
        <v>2048</v>
      </c>
      <c r="KG18" s="41">
        <v>10</v>
      </c>
      <c r="KH18" s="61" t="s">
        <v>2049</v>
      </c>
      <c r="KI18" s="173"/>
      <c r="KJ18" s="42" t="s">
        <v>2050</v>
      </c>
      <c r="KK18" s="38">
        <v>12.01</v>
      </c>
      <c r="KL18" s="222" t="s">
        <v>2051</v>
      </c>
      <c r="KM18" s="80">
        <v>147.75</v>
      </c>
      <c r="KN18" s="69" t="s">
        <v>1725</v>
      </c>
      <c r="KO18" s="251"/>
      <c r="KP18" s="42" t="s">
        <v>2052</v>
      </c>
      <c r="KQ18" s="212">
        <v>939.02</v>
      </c>
      <c r="KR18" s="72" t="s">
        <v>1369</v>
      </c>
      <c r="KS18" s="80">
        <v>140.07</v>
      </c>
      <c r="KT18" s="69" t="s">
        <v>1725</v>
      </c>
      <c r="KU18" s="251"/>
      <c r="KV18" s="15" t="s">
        <v>1704</v>
      </c>
      <c r="KW18" s="38"/>
      <c r="KX18" s="86" t="s">
        <v>2053</v>
      </c>
      <c r="KY18" s="61">
        <v>52.42</v>
      </c>
      <c r="KZ18" s="69" t="s">
        <v>1862</v>
      </c>
      <c r="LA18" s="173">
        <v>-78.54</v>
      </c>
      <c r="LB18" s="61" t="s">
        <v>2054</v>
      </c>
      <c r="LC18" s="15">
        <v>32.48</v>
      </c>
      <c r="LD18" s="163" t="s">
        <v>1496</v>
      </c>
      <c r="LE18" s="61">
        <f>5+1.69</f>
        <v>6.69</v>
      </c>
      <c r="LF18" s="288">
        <v>192373</v>
      </c>
      <c r="LG18" s="614" t="s">
        <v>2055</v>
      </c>
      <c r="LH18" s="48" t="s">
        <v>2056</v>
      </c>
      <c r="LI18" s="38">
        <f>212+76+43</f>
        <v>331</v>
      </c>
      <c r="LJ18" s="88" t="s">
        <v>2057</v>
      </c>
      <c r="LK18" s="61">
        <v>66</v>
      </c>
      <c r="LL18" s="288">
        <v>176526</v>
      </c>
      <c r="LM18" s="15" t="s">
        <v>2058</v>
      </c>
      <c r="LN18" s="61" t="s">
        <v>2059</v>
      </c>
      <c r="LO18" s="38">
        <v>164.85</v>
      </c>
      <c r="LP18" s="163" t="s">
        <v>1498</v>
      </c>
      <c r="LQ18" s="57">
        <v>20</v>
      </c>
      <c r="LR18" s="61" t="s">
        <v>1931</v>
      </c>
      <c r="LS18" s="43">
        <f>LR19-0.99*195000</f>
        <v>-216</v>
      </c>
      <c r="LT18" s="61" t="s">
        <v>1984</v>
      </c>
      <c r="LU18" s="41">
        <v>10.37</v>
      </c>
      <c r="LV18" s="67" t="s">
        <v>1557</v>
      </c>
      <c r="LW18" s="41">
        <v>56.41</v>
      </c>
      <c r="LX18" s="48" t="s">
        <v>1846</v>
      </c>
      <c r="LY18" s="94">
        <v>-325</v>
      </c>
      <c r="LZ18" s="42" t="s">
        <v>1986</v>
      </c>
      <c r="MA18" s="38">
        <v>14.63</v>
      </c>
      <c r="MB18" s="327" t="s">
        <v>2060</v>
      </c>
      <c r="MC18" s="41">
        <v>40</v>
      </c>
      <c r="MD18" s="48" t="s">
        <v>1846</v>
      </c>
      <c r="ME18" s="94">
        <v>-404</v>
      </c>
      <c r="MF18" s="48" t="s">
        <v>1715</v>
      </c>
      <c r="MG18" s="38">
        <f>205.48+73.97+41.1</f>
        <v>320.55</v>
      </c>
      <c r="MH18" s="151" t="s">
        <v>1788</v>
      </c>
      <c r="MI18" s="41">
        <f>17.1+10+15.9+16.45+10+15.33+17.87+10+13.36+10</f>
        <v>136.01</v>
      </c>
      <c r="MJ18" s="63" t="s">
        <v>1324</v>
      </c>
      <c r="MK18" s="43">
        <v>0</v>
      </c>
      <c r="ML18" s="321"/>
      <c r="MM18" s="328"/>
      <c r="MN18" s="151" t="s">
        <v>2061</v>
      </c>
      <c r="MO18" s="41">
        <v>10</v>
      </c>
      <c r="MP18" s="63" t="s">
        <v>1324</v>
      </c>
      <c r="MQ18" s="43">
        <v>214001</v>
      </c>
      <c r="MR18" s="42" t="s">
        <v>2062</v>
      </c>
      <c r="MS18" s="38">
        <f>3+211.45</f>
        <v>214.45</v>
      </c>
      <c r="MT18" s="151" t="s">
        <v>1714</v>
      </c>
      <c r="MU18" s="41">
        <f>13.57+9+9</f>
        <v>31.57</v>
      </c>
      <c r="MV18" s="63" t="s">
        <v>1324</v>
      </c>
      <c r="MW18" s="43">
        <v>194001</v>
      </c>
      <c r="MX18" s="15" t="s">
        <v>2063</v>
      </c>
      <c r="MY18" s="41">
        <v>11.93</v>
      </c>
      <c r="MZ18" s="327" t="s">
        <v>2064</v>
      </c>
      <c r="NA18" s="41">
        <v>80</v>
      </c>
      <c r="NB18" s="48" t="s">
        <v>1726</v>
      </c>
      <c r="NC18" s="94">
        <v>-1807</v>
      </c>
      <c r="ND18" s="42" t="s">
        <v>2065</v>
      </c>
      <c r="NE18" s="41">
        <f>32.87+0.59</f>
        <v>33.46</v>
      </c>
      <c r="NF18" s="327" t="s">
        <v>2066</v>
      </c>
      <c r="NG18" s="41">
        <v>2270</v>
      </c>
      <c r="NH18" s="61" t="s">
        <v>2067</v>
      </c>
      <c r="NI18" s="337">
        <f>NH19-0.99*195000</f>
        <v>-2206</v>
      </c>
      <c r="NJ18" s="15" t="s">
        <v>2068</v>
      </c>
      <c r="NL18" s="327" t="s">
        <v>2069</v>
      </c>
      <c r="NM18" s="41">
        <v>33.4</v>
      </c>
      <c r="NN18" s="332">
        <v>23.73</v>
      </c>
      <c r="NO18" s="94"/>
      <c r="NP18" s="42" t="s">
        <v>2070</v>
      </c>
      <c r="NQ18" s="41">
        <v>741.19</v>
      </c>
      <c r="NR18" s="327" t="s">
        <v>2071</v>
      </c>
      <c r="NS18" s="41">
        <f>10+10+10</f>
        <v>30</v>
      </c>
      <c r="NT18" s="65" t="s">
        <v>1862</v>
      </c>
      <c r="NU18" s="173">
        <v>20</v>
      </c>
      <c r="NV18" s="48" t="s">
        <v>2072</v>
      </c>
      <c r="NW18" s="38">
        <f>205.48+73.97+41.1</f>
        <v>320.55</v>
      </c>
      <c r="NX18" s="151" t="s">
        <v>2073</v>
      </c>
      <c r="NY18" s="57">
        <f>111.61+93.29</f>
        <v>204.9</v>
      </c>
      <c r="NZ18" s="288">
        <v>192731</v>
      </c>
      <c r="OA18" s="15" t="s">
        <v>1998</v>
      </c>
      <c r="OB18" s="15" t="s">
        <v>2074</v>
      </c>
      <c r="OC18" s="38">
        <v>12.82</v>
      </c>
      <c r="OD18" s="151" t="s">
        <v>1788</v>
      </c>
      <c r="OE18" s="41">
        <f>16.27+16.39</f>
        <v>32.66</v>
      </c>
      <c r="OF18" s="61" t="s">
        <v>2075</v>
      </c>
      <c r="OG18" s="43">
        <v>2600</v>
      </c>
      <c r="OH18" s="347">
        <v>45670</v>
      </c>
    </row>
    <row r="19" spans="1:399">
      <c r="A19" s="22" t="s">
        <v>1932</v>
      </c>
      <c r="B19" s="55"/>
      <c r="E19" s="58" t="s">
        <v>364</v>
      </c>
      <c r="F19" s="58"/>
      <c r="G19" s="22" t="s">
        <v>1932</v>
      </c>
      <c r="H19" s="55"/>
      <c r="K19" s="58" t="s">
        <v>364</v>
      </c>
      <c r="M19" s="22" t="s">
        <v>2076</v>
      </c>
      <c r="N19" s="55">
        <v>550</v>
      </c>
      <c r="Q19" s="58" t="s">
        <v>1863</v>
      </c>
      <c r="S19" s="22" t="s">
        <v>2077</v>
      </c>
      <c r="T19" s="55">
        <v>550</v>
      </c>
      <c r="W19" s="58" t="s">
        <v>2078</v>
      </c>
      <c r="Y19" s="22" t="s">
        <v>1999</v>
      </c>
      <c r="Z19" s="55">
        <v>1142</v>
      </c>
      <c r="AA19" s="15" t="s">
        <v>2079</v>
      </c>
      <c r="AB19" s="15">
        <v>50</v>
      </c>
      <c r="AC19" s="67" t="s">
        <v>2080</v>
      </c>
      <c r="AD19" s="15">
        <v>0</v>
      </c>
      <c r="AE19" s="22" t="s">
        <v>1936</v>
      </c>
      <c r="AF19" s="55">
        <v>10001</v>
      </c>
      <c r="AI19" s="67" t="s">
        <v>2081</v>
      </c>
      <c r="AJ19" s="61">
        <v>56</v>
      </c>
      <c r="AK19" s="22" t="s">
        <v>1936</v>
      </c>
      <c r="AL19" s="55" t="s">
        <v>1949</v>
      </c>
      <c r="AM19" s="25"/>
      <c r="AO19" s="58" t="s">
        <v>2082</v>
      </c>
      <c r="AP19" s="61">
        <v>146</v>
      </c>
      <c r="AQ19" s="22" t="s">
        <v>1936</v>
      </c>
      <c r="AR19" s="55">
        <f>AN21</f>
        <v>2200</v>
      </c>
      <c r="AU19" s="58" t="s">
        <v>2083</v>
      </c>
      <c r="AV19" s="61">
        <v>42.53</v>
      </c>
      <c r="AW19" s="22" t="s">
        <v>1936</v>
      </c>
      <c r="AX19" s="55">
        <f>10000+2200</f>
        <v>12200</v>
      </c>
      <c r="AY19" s="58"/>
      <c r="AZ19" s="61"/>
      <c r="BA19" s="22" t="s">
        <v>1936</v>
      </c>
      <c r="BB19" s="55">
        <f t="shared" si="0"/>
        <v>12200</v>
      </c>
      <c r="BC19" s="15" t="s">
        <v>2084</v>
      </c>
      <c r="BE19" s="66" t="s">
        <v>2085</v>
      </c>
      <c r="BF19" s="61">
        <v>325.28</v>
      </c>
      <c r="BG19" s="22" t="s">
        <v>1936</v>
      </c>
      <c r="BH19" s="55">
        <v>10000</v>
      </c>
      <c r="BK19" s="88" t="s">
        <v>2085</v>
      </c>
      <c r="BL19" s="42" t="s">
        <v>646</v>
      </c>
      <c r="BM19" s="22" t="s">
        <v>1936</v>
      </c>
      <c r="BN19" s="55">
        <v>10000</v>
      </c>
      <c r="BO19" s="61" t="s">
        <v>1805</v>
      </c>
      <c r="BP19" s="42">
        <v>7</v>
      </c>
      <c r="BQ19" s="88" t="s">
        <v>2086</v>
      </c>
      <c r="BR19" s="42">
        <v>280</v>
      </c>
      <c r="BS19" s="22" t="s">
        <v>1936</v>
      </c>
      <c r="BT19" s="23">
        <v>7025</v>
      </c>
      <c r="BU19" s="61"/>
      <c r="BW19" s="88" t="s">
        <v>2085</v>
      </c>
      <c r="BX19" s="42" t="s">
        <v>646</v>
      </c>
      <c r="BY19" s="22" t="s">
        <v>1999</v>
      </c>
      <c r="BZ19" s="55">
        <v>7142</v>
      </c>
      <c r="CA19" s="61"/>
      <c r="CC19" s="88" t="s">
        <v>2085</v>
      </c>
      <c r="CD19" s="42" t="s">
        <v>2087</v>
      </c>
      <c r="CE19" s="22" t="s">
        <v>1999</v>
      </c>
      <c r="CF19" s="55">
        <v>11142</v>
      </c>
      <c r="CG19" s="57"/>
      <c r="CI19" s="88" t="s">
        <v>2088</v>
      </c>
      <c r="CJ19" s="61">
        <v>172</v>
      </c>
      <c r="CK19" s="22" t="s">
        <v>2077</v>
      </c>
      <c r="CL19" s="55">
        <v>527.62</v>
      </c>
      <c r="CM19" s="57"/>
      <c r="CO19" s="88" t="s">
        <v>1609</v>
      </c>
      <c r="CP19" s="102" t="s">
        <v>646</v>
      </c>
      <c r="CQ19" s="22" t="s">
        <v>1999</v>
      </c>
      <c r="CR19" s="55">
        <v>26991</v>
      </c>
      <c r="CS19" s="42" t="s">
        <v>1731</v>
      </c>
      <c r="CT19" s="61" t="s">
        <v>646</v>
      </c>
      <c r="CU19" s="89" t="s">
        <v>2089</v>
      </c>
      <c r="CV19" s="61">
        <v>70.38</v>
      </c>
      <c r="CW19" s="22" t="s">
        <v>2090</v>
      </c>
      <c r="CX19" s="55">
        <v>17242.32</v>
      </c>
      <c r="CY19" s="57"/>
      <c r="CZ19" s="61"/>
      <c r="DA19" s="88" t="s">
        <v>2091</v>
      </c>
      <c r="DB19" s="61">
        <v>51.41</v>
      </c>
      <c r="DC19" s="22" t="s">
        <v>1936</v>
      </c>
      <c r="DD19" s="55">
        <v>60</v>
      </c>
      <c r="DE19" s="57" t="s">
        <v>2092</v>
      </c>
      <c r="DF19" s="42">
        <v>192.6</v>
      </c>
      <c r="DG19" s="114" t="s">
        <v>1226</v>
      </c>
      <c r="DH19" s="44">
        <v>1800.01</v>
      </c>
      <c r="DI19" s="22" t="s">
        <v>2093</v>
      </c>
      <c r="DJ19" s="23">
        <v>2065</v>
      </c>
      <c r="DM19" s="115" t="s">
        <v>2094</v>
      </c>
      <c r="DN19" s="44">
        <v>2454.05</v>
      </c>
      <c r="DO19" s="22" t="s">
        <v>2014</v>
      </c>
      <c r="DP19" s="92">
        <v>10000</v>
      </c>
      <c r="DS19" s="88" t="s">
        <v>1816</v>
      </c>
      <c r="DT19" s="57" t="s">
        <v>2095</v>
      </c>
      <c r="DU19" s="22" t="s">
        <v>1942</v>
      </c>
      <c r="DV19" s="92">
        <v>10000</v>
      </c>
      <c r="DY19" s="66" t="s">
        <v>2096</v>
      </c>
      <c r="DZ19" s="15">
        <v>11</v>
      </c>
      <c r="EA19" s="22" t="s">
        <v>2014</v>
      </c>
      <c r="EB19" s="92">
        <v>10000</v>
      </c>
      <c r="EC19" s="614" t="s">
        <v>1754</v>
      </c>
      <c r="ED19" s="15" t="s">
        <v>646</v>
      </c>
      <c r="EE19" s="66" t="s">
        <v>2096</v>
      </c>
      <c r="EF19" s="15">
        <v>11</v>
      </c>
      <c r="EH19" s="48" t="s">
        <v>1671</v>
      </c>
      <c r="EI19" s="94">
        <v>5000</v>
      </c>
      <c r="EL19" s="66" t="s">
        <v>1636</v>
      </c>
      <c r="EM19" s="15">
        <f>15+6.5</f>
        <v>21.5</v>
      </c>
      <c r="EN19" s="48" t="s">
        <v>2097</v>
      </c>
      <c r="EO19" s="94">
        <f>5000+2000</f>
        <v>7000</v>
      </c>
      <c r="ER19" s="170" t="s">
        <v>1636</v>
      </c>
      <c r="ES19" s="15">
        <f>15+6.5</f>
        <v>21.5</v>
      </c>
      <c r="ET19" s="48" t="s">
        <v>2016</v>
      </c>
      <c r="EU19" s="94">
        <v>5000</v>
      </c>
      <c r="EV19" s="61" t="s">
        <v>1942</v>
      </c>
      <c r="EW19" s="15">
        <v>39.85</v>
      </c>
      <c r="EX19" s="170" t="s">
        <v>2013</v>
      </c>
      <c r="EY19" s="15">
        <v>145.45</v>
      </c>
      <c r="EZ19" s="48" t="s">
        <v>2016</v>
      </c>
      <c r="FA19" s="94">
        <v>0</v>
      </c>
      <c r="FB19" s="614" t="s">
        <v>2098</v>
      </c>
      <c r="FC19" s="15">
        <v>30</v>
      </c>
      <c r="FD19" s="170" t="s">
        <v>2099</v>
      </c>
      <c r="FE19" s="15">
        <f>6.5+15</f>
        <v>21.5</v>
      </c>
      <c r="FF19" s="48" t="s">
        <v>2016</v>
      </c>
      <c r="FG19" s="94">
        <v>1000</v>
      </c>
      <c r="FH19" s="61" t="s">
        <v>2100</v>
      </c>
      <c r="FI19" s="64">
        <v>7.64</v>
      </c>
      <c r="FJ19" s="170" t="s">
        <v>2101</v>
      </c>
      <c r="FK19" s="15">
        <v>64</v>
      </c>
      <c r="FL19" s="48" t="s">
        <v>1946</v>
      </c>
      <c r="FM19" s="94">
        <v>25000</v>
      </c>
      <c r="FN19" s="614" t="s">
        <v>1754</v>
      </c>
      <c r="FP19" s="170" t="s">
        <v>1680</v>
      </c>
      <c r="FQ19" s="15">
        <v>140.45</v>
      </c>
      <c r="FR19" s="48" t="s">
        <v>1815</v>
      </c>
      <c r="FS19" s="94">
        <v>4000</v>
      </c>
      <c r="FT19" s="614" t="s">
        <v>2102</v>
      </c>
      <c r="FV19" s="170" t="s">
        <v>1680</v>
      </c>
      <c r="FW19" s="15">
        <v>140.45</v>
      </c>
      <c r="FX19" s="48" t="s">
        <v>2103</v>
      </c>
      <c r="FY19" s="77">
        <v>39</v>
      </c>
      <c r="FZ19" s="614" t="s">
        <v>2104</v>
      </c>
      <c r="GB19" s="170" t="s">
        <v>1681</v>
      </c>
      <c r="GC19" s="15">
        <v>90.65</v>
      </c>
      <c r="GD19" s="48" t="s">
        <v>2103</v>
      </c>
      <c r="GE19" s="77">
        <v>33</v>
      </c>
      <c r="GH19" s="170" t="s">
        <v>1681</v>
      </c>
      <c r="GI19" s="15">
        <v>73.96</v>
      </c>
      <c r="GJ19" s="77" t="s">
        <v>2105</v>
      </c>
      <c r="GL19" s="614" t="s">
        <v>2106</v>
      </c>
      <c r="GN19" s="163" t="s">
        <v>1282</v>
      </c>
      <c r="GO19" s="15">
        <v>1867</v>
      </c>
      <c r="GP19" s="65" t="s">
        <v>2026</v>
      </c>
      <c r="GQ19" s="15">
        <v>2000.001</v>
      </c>
      <c r="GR19" s="15" t="s">
        <v>2107</v>
      </c>
      <c r="GS19" s="15">
        <v>1.1</v>
      </c>
      <c r="GT19" s="170" t="s">
        <v>2108</v>
      </c>
      <c r="GU19" s="15" t="s">
        <v>2109</v>
      </c>
      <c r="GV19" s="48" t="s">
        <v>2023</v>
      </c>
      <c r="GW19" s="77">
        <v>745</v>
      </c>
      <c r="GZ19" s="170" t="s">
        <v>2110</v>
      </c>
      <c r="HA19" s="15">
        <v>77.3</v>
      </c>
      <c r="HB19" s="65" t="s">
        <v>2026</v>
      </c>
      <c r="HC19" s="15">
        <v>2041</v>
      </c>
      <c r="HD19" s="15" t="s">
        <v>2111</v>
      </c>
      <c r="HE19" s="15">
        <v>106.89</v>
      </c>
      <c r="HF19" s="163" t="s">
        <v>2112</v>
      </c>
      <c r="HG19" s="15">
        <v>12</v>
      </c>
      <c r="HH19" s="48" t="s">
        <v>2113</v>
      </c>
      <c r="HI19" s="77" t="s">
        <v>1719</v>
      </c>
      <c r="HJ19" s="200">
        <v>1580.64</v>
      </c>
      <c r="HK19" s="189" t="s">
        <v>2114</v>
      </c>
      <c r="HL19" s="151" t="s">
        <v>2115</v>
      </c>
      <c r="HM19" s="15">
        <v>20</v>
      </c>
      <c r="HN19" s="77" t="s">
        <v>1956</v>
      </c>
      <c r="HR19" s="170" t="s">
        <v>2116</v>
      </c>
      <c r="HS19" s="15">
        <v>160</v>
      </c>
      <c r="HT19" s="63" t="s">
        <v>1766</v>
      </c>
      <c r="HU19" s="15">
        <v>0</v>
      </c>
      <c r="HV19" s="194" t="s">
        <v>2117</v>
      </c>
      <c r="HW19" s="212">
        <v>18.8</v>
      </c>
      <c r="HX19" s="170" t="s">
        <v>1680</v>
      </c>
      <c r="HY19" s="15">
        <v>112.57</v>
      </c>
      <c r="HZ19" s="63" t="s">
        <v>1831</v>
      </c>
      <c r="IA19" s="15">
        <v>12000</v>
      </c>
      <c r="IB19" s="225" t="s">
        <v>2118</v>
      </c>
      <c r="IC19" s="226">
        <v>146.23</v>
      </c>
      <c r="ID19" s="170" t="s">
        <v>1681</v>
      </c>
      <c r="IE19" s="186">
        <v>16.18</v>
      </c>
      <c r="IF19" s="63" t="s">
        <v>2119</v>
      </c>
      <c r="IG19" s="43">
        <v>2234</v>
      </c>
      <c r="IH19" s="15" t="s">
        <v>2120</v>
      </c>
      <c r="II19" s="219">
        <v>35.67</v>
      </c>
      <c r="IJ19" s="170" t="s">
        <v>1833</v>
      </c>
      <c r="IK19" s="15">
        <v>114.44</v>
      </c>
      <c r="IL19" s="63" t="s">
        <v>1895</v>
      </c>
      <c r="IM19" s="15">
        <f>10502+14002</f>
        <v>24504</v>
      </c>
      <c r="IN19" s="15" t="s">
        <v>1898</v>
      </c>
      <c r="IO19" s="219">
        <v>5</v>
      </c>
      <c r="IP19" s="170" t="s">
        <v>2121</v>
      </c>
      <c r="IQ19" s="41">
        <f>IM29</f>
        <v>21.35</v>
      </c>
      <c r="IR19" s="48" t="s">
        <v>2122</v>
      </c>
      <c r="IS19" s="15">
        <v>170</v>
      </c>
      <c r="IT19" s="199" t="s">
        <v>2123</v>
      </c>
      <c r="IU19" s="212">
        <v>6</v>
      </c>
      <c r="IV19" s="170" t="s">
        <v>1826</v>
      </c>
      <c r="IW19" s="41">
        <f>9</f>
        <v>9</v>
      </c>
      <c r="IX19" s="63" t="s">
        <v>2124</v>
      </c>
      <c r="IY19" s="43">
        <v>10</v>
      </c>
      <c r="JB19" s="170" t="s">
        <v>1903</v>
      </c>
      <c r="JC19" s="41">
        <v>109.57</v>
      </c>
      <c r="JD19" s="63" t="s">
        <v>2125</v>
      </c>
      <c r="JE19" s="43">
        <v>0</v>
      </c>
      <c r="JH19" s="170" t="s">
        <v>1622</v>
      </c>
      <c r="JI19" s="44">
        <v>115.37</v>
      </c>
      <c r="JJ19" s="63" t="s">
        <v>2125</v>
      </c>
      <c r="JK19" s="43">
        <v>0</v>
      </c>
      <c r="JL19" s="15" t="s">
        <v>2126</v>
      </c>
      <c r="JM19" s="15">
        <v>2</v>
      </c>
      <c r="JN19" s="170" t="s">
        <v>1636</v>
      </c>
      <c r="JO19" s="41">
        <f>15+6.5+30</f>
        <v>51.5</v>
      </c>
      <c r="JP19" s="63" t="s">
        <v>2045</v>
      </c>
      <c r="JQ19" s="43">
        <v>14</v>
      </c>
      <c r="JR19" s="258" t="s">
        <v>1715</v>
      </c>
      <c r="JS19" s="259">
        <f>183.29+65.98+58.65</f>
        <v>307.92</v>
      </c>
      <c r="JT19" s="170" t="s">
        <v>1714</v>
      </c>
      <c r="JU19" s="41">
        <f>9+14.32</f>
        <v>23.32</v>
      </c>
      <c r="JV19" s="48" t="s">
        <v>2127</v>
      </c>
      <c r="JW19" s="43">
        <v>240</v>
      </c>
      <c r="JX19" s="42" t="s">
        <v>2128</v>
      </c>
      <c r="JY19" s="38">
        <v>24.55</v>
      </c>
      <c r="JZ19" s="163" t="s">
        <v>2129</v>
      </c>
      <c r="KA19" s="41">
        <v>5.01</v>
      </c>
      <c r="KB19" s="48" t="s">
        <v>2127</v>
      </c>
      <c r="KC19" s="43">
        <v>220</v>
      </c>
      <c r="KD19" s="42" t="s">
        <v>2130</v>
      </c>
      <c r="KE19" s="38">
        <v>31.03</v>
      </c>
      <c r="KF19" s="151" t="s">
        <v>2131</v>
      </c>
      <c r="KG19" s="41">
        <v>108.001</v>
      </c>
      <c r="KH19" s="48" t="s">
        <v>1453</v>
      </c>
      <c r="KI19" s="94">
        <v>-1680</v>
      </c>
      <c r="KJ19" s="48" t="s">
        <v>1715</v>
      </c>
      <c r="KK19" s="38">
        <f>135.77+48.88+27.16</f>
        <v>211.81</v>
      </c>
      <c r="KL19" s="72" t="s">
        <v>2132</v>
      </c>
      <c r="KM19" s="80">
        <f>1413.64/10</f>
        <v>141.364</v>
      </c>
      <c r="KN19" s="48" t="s">
        <v>2133</v>
      </c>
      <c r="KO19" s="193">
        <v>-114.8</v>
      </c>
      <c r="KP19" s="42" t="s">
        <v>2134</v>
      </c>
      <c r="KQ19" s="212">
        <v>14.02</v>
      </c>
      <c r="KR19" s="72" t="s">
        <v>2135</v>
      </c>
      <c r="KS19" s="56">
        <v>170.22</v>
      </c>
      <c r="KT19" s="48" t="s">
        <v>1846</v>
      </c>
      <c r="KU19" s="94">
        <v>-479</v>
      </c>
      <c r="KV19" s="48" t="s">
        <v>1721</v>
      </c>
      <c r="KW19" s="38">
        <f>212.33+76.44+67.94</f>
        <v>356.71</v>
      </c>
      <c r="KX19" s="86" t="s">
        <v>2136</v>
      </c>
      <c r="KY19" s="61">
        <v>32</v>
      </c>
      <c r="KZ19" s="61" t="s">
        <v>2137</v>
      </c>
      <c r="LA19" s="43">
        <f>KZ20-0.99*195000</f>
        <v>-1722</v>
      </c>
      <c r="LB19" s="61" t="s">
        <v>2138</v>
      </c>
      <c r="LC19" s="15">
        <v>21.18</v>
      </c>
      <c r="LD19" s="86" t="s">
        <v>2139</v>
      </c>
      <c r="LE19" s="61">
        <v>51.99</v>
      </c>
      <c r="LF19" s="61" t="s">
        <v>1554</v>
      </c>
      <c r="LG19" s="307">
        <v>2600</v>
      </c>
      <c r="LH19" s="42" t="s">
        <v>2140</v>
      </c>
      <c r="LI19" s="38">
        <f>34.38+0.62+0.58</f>
        <v>35.58</v>
      </c>
      <c r="LJ19" s="88" t="s">
        <v>2141</v>
      </c>
      <c r="LK19" s="306">
        <v>491.7</v>
      </c>
      <c r="LL19" s="61" t="s">
        <v>1554</v>
      </c>
      <c r="LM19" s="43">
        <v>2600</v>
      </c>
      <c r="LN19" s="61" t="s">
        <v>1563</v>
      </c>
      <c r="LO19" s="38">
        <v>3</v>
      </c>
      <c r="LP19" s="88" t="s">
        <v>1982</v>
      </c>
      <c r="LQ19" s="57">
        <v>112.57</v>
      </c>
      <c r="LR19" s="288">
        <v>192834</v>
      </c>
      <c r="LS19" s="15" t="s">
        <v>2058</v>
      </c>
      <c r="LT19" s="287" t="s">
        <v>1707</v>
      </c>
      <c r="LU19" s="287"/>
      <c r="LV19" s="67" t="s">
        <v>2142</v>
      </c>
      <c r="LW19" s="44">
        <f>153.26+10.9</f>
        <v>164.16</v>
      </c>
      <c r="LX19" s="61" t="s">
        <v>1931</v>
      </c>
      <c r="LY19" s="43">
        <f>LX20-0.99*195000</f>
        <v>-51228</v>
      </c>
      <c r="LZ19" s="287" t="s">
        <v>1707</v>
      </c>
      <c r="MA19" s="287"/>
      <c r="MB19" s="327" t="s">
        <v>2143</v>
      </c>
      <c r="MC19" s="41">
        <f>30.5+35.8+40.4+36.4+28.5</f>
        <v>171.6</v>
      </c>
      <c r="MD19" s="61" t="s">
        <v>1931</v>
      </c>
      <c r="ME19" s="43">
        <f>MD20-0.99*195000</f>
        <v>-194</v>
      </c>
      <c r="MF19" s="42" t="s">
        <v>2144</v>
      </c>
      <c r="MG19" s="41">
        <v>33.68</v>
      </c>
      <c r="MH19" s="327" t="s">
        <v>2145</v>
      </c>
      <c r="MI19" s="41">
        <f>10+10</f>
        <v>20</v>
      </c>
      <c r="MJ19" s="69" t="s">
        <v>1725</v>
      </c>
      <c r="MK19" s="251"/>
      <c r="ML19" s="321"/>
      <c r="MM19" s="328"/>
      <c r="MN19" s="151" t="s">
        <v>1788</v>
      </c>
      <c r="MO19" s="41">
        <f>17.79+10+17.08+17.14+18+10+15.71+14.99+10</f>
        <v>130.71</v>
      </c>
      <c r="MP19" s="69" t="s">
        <v>1725</v>
      </c>
      <c r="MQ19" s="251"/>
      <c r="MR19" s="69" t="s">
        <v>2146</v>
      </c>
      <c r="MS19" s="41">
        <v>489.97</v>
      </c>
      <c r="MT19" s="151" t="s">
        <v>2147</v>
      </c>
      <c r="MU19" s="41">
        <f>1.3+2.3</f>
        <v>3.6</v>
      </c>
      <c r="MV19" s="69" t="s">
        <v>1725</v>
      </c>
      <c r="MW19" s="251"/>
      <c r="MX19" s="287" t="s">
        <v>1707</v>
      </c>
      <c r="MY19" s="287"/>
      <c r="MZ19" s="327" t="s">
        <v>2148</v>
      </c>
      <c r="NA19" s="41">
        <v>98.8</v>
      </c>
      <c r="NB19" s="332">
        <v>16</v>
      </c>
      <c r="NC19" s="94" t="s">
        <v>2149</v>
      </c>
      <c r="ND19" s="287" t="s">
        <v>2150</v>
      </c>
      <c r="NE19" s="287"/>
      <c r="NF19" s="327" t="s">
        <v>2151</v>
      </c>
      <c r="NG19" s="41">
        <v>115</v>
      </c>
      <c r="NH19" s="288">
        <v>190844</v>
      </c>
      <c r="NI19" s="15" t="s">
        <v>1998</v>
      </c>
      <c r="NJ19" s="15" t="s">
        <v>2152</v>
      </c>
      <c r="NK19" s="119">
        <f>1820</f>
        <v>1820</v>
      </c>
      <c r="NL19" s="327" t="s">
        <v>2153</v>
      </c>
      <c r="NM19" s="41">
        <v>29.9</v>
      </c>
      <c r="NN19" s="65" t="s">
        <v>2154</v>
      </c>
      <c r="NO19" s="94">
        <v>0</v>
      </c>
      <c r="NP19" s="15" t="s">
        <v>2063</v>
      </c>
      <c r="NR19" s="327" t="s">
        <v>2155</v>
      </c>
      <c r="NS19" s="186">
        <v>995</v>
      </c>
      <c r="NT19" s="61" t="s">
        <v>1931</v>
      </c>
      <c r="NU19" s="337">
        <f>NT20-0.99*195000</f>
        <v>-3867</v>
      </c>
      <c r="NV19" s="42" t="s">
        <v>2156</v>
      </c>
      <c r="NW19" s="41">
        <v>632.14</v>
      </c>
      <c r="NX19" s="151" t="s">
        <v>1636</v>
      </c>
      <c r="NY19" s="57">
        <f>8.6+5</f>
        <v>13.6</v>
      </c>
      <c r="NZ19" s="61" t="s">
        <v>2075</v>
      </c>
      <c r="OA19" s="43">
        <v>2600</v>
      </c>
      <c r="OB19" s="15" t="s">
        <v>2157</v>
      </c>
      <c r="OC19" s="38">
        <v>31.47</v>
      </c>
      <c r="OD19" s="327" t="s">
        <v>1925</v>
      </c>
      <c r="OE19" s="41">
        <f>3.5+5</f>
        <v>8.5</v>
      </c>
      <c r="OF19" s="63" t="s">
        <v>2158</v>
      </c>
      <c r="OG19" s="43">
        <v>666</v>
      </c>
      <c r="OH19" s="347">
        <v>45670</v>
      </c>
      <c r="OI19" s="43"/>
    </row>
    <row r="20" spans="1:399">
      <c r="A20" s="22" t="s">
        <v>1999</v>
      </c>
      <c r="B20" s="55">
        <v>1218</v>
      </c>
      <c r="E20" s="58"/>
      <c r="F20" s="58"/>
      <c r="G20" s="22" t="s">
        <v>1999</v>
      </c>
      <c r="H20" s="55">
        <v>1218</v>
      </c>
      <c r="K20" s="58"/>
      <c r="M20" s="22"/>
      <c r="N20" s="55"/>
      <c r="Q20" s="58" t="s">
        <v>346</v>
      </c>
      <c r="S20" s="22" t="s">
        <v>2090</v>
      </c>
      <c r="T20" s="55">
        <v>3800</v>
      </c>
      <c r="W20" s="66" t="s">
        <v>1730</v>
      </c>
      <c r="X20" s="15">
        <v>0</v>
      </c>
      <c r="Y20" s="22" t="s">
        <v>2077</v>
      </c>
      <c r="Z20" s="55">
        <v>550</v>
      </c>
      <c r="AC20" s="67" t="s">
        <v>1861</v>
      </c>
      <c r="AD20" s="15">
        <v>132.35</v>
      </c>
      <c r="AE20" s="22" t="s">
        <v>1999</v>
      </c>
      <c r="AF20" s="55">
        <v>1142</v>
      </c>
      <c r="AI20" s="67" t="s">
        <v>1861</v>
      </c>
      <c r="AJ20" s="15">
        <v>250</v>
      </c>
      <c r="AK20" s="22" t="s">
        <v>1999</v>
      </c>
      <c r="AL20" s="55">
        <v>1142</v>
      </c>
      <c r="AO20" s="66" t="s">
        <v>1798</v>
      </c>
      <c r="AP20" s="61">
        <v>0</v>
      </c>
      <c r="AQ20" s="22" t="s">
        <v>1999</v>
      </c>
      <c r="AR20" s="55">
        <v>1142</v>
      </c>
      <c r="AU20" s="66" t="s">
        <v>1798</v>
      </c>
      <c r="AV20" s="61" t="s">
        <v>646</v>
      </c>
      <c r="AW20" s="22" t="s">
        <v>1999</v>
      </c>
      <c r="AX20" s="55">
        <v>1142</v>
      </c>
      <c r="AY20" s="66"/>
      <c r="AZ20" s="61"/>
      <c r="BA20" s="22" t="s">
        <v>1999</v>
      </c>
      <c r="BB20" s="55">
        <f t="shared" si="0"/>
        <v>1142</v>
      </c>
      <c r="BC20" s="15" t="s">
        <v>2159</v>
      </c>
      <c r="BD20" s="15">
        <v>34.8</v>
      </c>
      <c r="BE20" s="66" t="s">
        <v>1609</v>
      </c>
      <c r="BF20" s="61">
        <f>930.9+385.2</f>
        <v>1316.1</v>
      </c>
      <c r="BG20" s="22" t="s">
        <v>1999</v>
      </c>
      <c r="BH20" s="55">
        <v>1142</v>
      </c>
      <c r="BI20" s="57"/>
      <c r="BK20" s="88" t="s">
        <v>1609</v>
      </c>
      <c r="BL20" s="61" t="s">
        <v>646</v>
      </c>
      <c r="BM20" s="22" t="s">
        <v>1999</v>
      </c>
      <c r="BN20" s="55">
        <v>1142</v>
      </c>
      <c r="BO20" s="57"/>
      <c r="BQ20" s="88" t="s">
        <v>1609</v>
      </c>
      <c r="BR20" s="61" t="s">
        <v>646</v>
      </c>
      <c r="BS20" s="22" t="s">
        <v>1999</v>
      </c>
      <c r="BT20" s="23">
        <v>1142</v>
      </c>
      <c r="BU20" s="57"/>
      <c r="BW20" s="88" t="s">
        <v>1609</v>
      </c>
      <c r="BX20" s="61" t="s">
        <v>646</v>
      </c>
      <c r="BY20" s="22" t="s">
        <v>2077</v>
      </c>
      <c r="BZ20" s="55">
        <f>BT21</f>
        <v>527.62</v>
      </c>
      <c r="CA20" s="57"/>
      <c r="CC20" s="88" t="s">
        <v>1609</v>
      </c>
      <c r="CD20" s="61" t="s">
        <v>646</v>
      </c>
      <c r="CE20" s="22" t="s">
        <v>2077</v>
      </c>
      <c r="CF20" s="55">
        <v>527.62</v>
      </c>
      <c r="CI20" s="88" t="s">
        <v>1609</v>
      </c>
      <c r="CJ20" s="102">
        <v>1316.1</v>
      </c>
      <c r="CK20" s="22" t="s">
        <v>2090</v>
      </c>
      <c r="CL20" s="55">
        <v>17242.32</v>
      </c>
      <c r="CO20" s="88" t="s">
        <v>1798</v>
      </c>
      <c r="CP20" s="61" t="s">
        <v>646</v>
      </c>
      <c r="CQ20" s="22" t="s">
        <v>2077</v>
      </c>
      <c r="CR20" s="55">
        <v>527.62</v>
      </c>
      <c r="CS20" s="57" t="s">
        <v>1273</v>
      </c>
      <c r="CU20" s="89" t="s">
        <v>2160</v>
      </c>
      <c r="CV20" s="61">
        <v>45.3</v>
      </c>
      <c r="CW20" s="22" t="s">
        <v>2077</v>
      </c>
      <c r="CX20" s="55">
        <v>527.62</v>
      </c>
      <c r="CY20" s="57"/>
      <c r="DA20" s="88" t="s">
        <v>1636</v>
      </c>
      <c r="DB20" s="61">
        <f>6.5+6.5+12</f>
        <v>25</v>
      </c>
      <c r="DC20" s="22" t="s">
        <v>2090</v>
      </c>
      <c r="DD20" s="55">
        <v>17242</v>
      </c>
      <c r="DE20" s="57" t="s">
        <v>2161</v>
      </c>
      <c r="DF20" s="42">
        <v>100</v>
      </c>
      <c r="DG20" s="114" t="s">
        <v>2162</v>
      </c>
      <c r="DH20" s="44">
        <v>30.01</v>
      </c>
      <c r="DI20" s="22" t="s">
        <v>2163</v>
      </c>
      <c r="DJ20" s="92">
        <v>10000</v>
      </c>
      <c r="DK20" s="631" t="s">
        <v>2164</v>
      </c>
      <c r="DM20" s="115" t="s">
        <v>1954</v>
      </c>
      <c r="DN20" s="44">
        <v>420</v>
      </c>
      <c r="DO20" s="22" t="s">
        <v>2165</v>
      </c>
      <c r="DP20" s="92">
        <v>10000</v>
      </c>
      <c r="DQ20" s="631" t="s">
        <v>1754</v>
      </c>
      <c r="DS20" s="88" t="s">
        <v>1876</v>
      </c>
      <c r="DT20" s="57">
        <v>49.07</v>
      </c>
      <c r="DU20" s="22" t="s">
        <v>2014</v>
      </c>
      <c r="DV20" s="92">
        <v>10000</v>
      </c>
      <c r="DY20" s="66" t="s">
        <v>2101</v>
      </c>
      <c r="DZ20" s="15" t="s">
        <v>2166</v>
      </c>
      <c r="EA20" s="22"/>
      <c r="EB20" s="92"/>
      <c r="EE20" s="66" t="s">
        <v>2101</v>
      </c>
      <c r="EF20" s="15">
        <v>64</v>
      </c>
      <c r="EH20" s="48" t="s">
        <v>1747</v>
      </c>
      <c r="EI20" s="94">
        <v>5000</v>
      </c>
      <c r="EJ20" s="614" t="s">
        <v>1754</v>
      </c>
      <c r="EL20" s="66" t="s">
        <v>2013</v>
      </c>
      <c r="EM20" s="15">
        <v>158.45</v>
      </c>
      <c r="EN20" s="48" t="s">
        <v>2167</v>
      </c>
      <c r="EO20" s="94">
        <f>5000+5000</f>
        <v>10000</v>
      </c>
      <c r="ER20" s="170" t="s">
        <v>2013</v>
      </c>
      <c r="ES20" s="15">
        <v>136.79</v>
      </c>
      <c r="ET20" s="48" t="s">
        <v>2015</v>
      </c>
      <c r="EU20" s="94">
        <v>7000</v>
      </c>
      <c r="EV20" s="61" t="s">
        <v>2168</v>
      </c>
      <c r="EW20" s="15">
        <v>15</v>
      </c>
      <c r="EX20" s="170" t="s">
        <v>2096</v>
      </c>
      <c r="EY20" s="15" t="s">
        <v>2169</v>
      </c>
      <c r="EZ20" s="48" t="s">
        <v>2016</v>
      </c>
      <c r="FA20" s="94">
        <v>1000</v>
      </c>
      <c r="FB20" s="15" t="s">
        <v>2168</v>
      </c>
      <c r="FC20" s="15">
        <v>8.71</v>
      </c>
      <c r="FD20" s="170" t="s">
        <v>2170</v>
      </c>
      <c r="FE20" s="15">
        <v>32</v>
      </c>
      <c r="FF20" s="48" t="s">
        <v>2016</v>
      </c>
      <c r="FG20" s="94">
        <v>1000</v>
      </c>
      <c r="FH20" s="61"/>
      <c r="FI20" s="64"/>
      <c r="FJ20" s="170" t="s">
        <v>2171</v>
      </c>
      <c r="FK20" s="15">
        <v>12</v>
      </c>
      <c r="FL20" s="48" t="s">
        <v>1746</v>
      </c>
      <c r="FM20" s="94">
        <v>15000</v>
      </c>
      <c r="FN20" s="614" t="s">
        <v>1749</v>
      </c>
      <c r="FO20" s="15">
        <v>6.37</v>
      </c>
      <c r="FP20" s="170" t="s">
        <v>1944</v>
      </c>
      <c r="FQ20" s="15">
        <f>20+20+31</f>
        <v>71</v>
      </c>
      <c r="FR20" s="48" t="s">
        <v>1946</v>
      </c>
      <c r="FS20" s="94">
        <v>25000</v>
      </c>
      <c r="FT20" s="632" t="s">
        <v>2172</v>
      </c>
      <c r="FU20" s="15">
        <v>1200</v>
      </c>
      <c r="FV20" s="170" t="s">
        <v>1636</v>
      </c>
      <c r="FW20" s="15">
        <f>6.5+15</f>
        <v>21.5</v>
      </c>
      <c r="FX20" s="48" t="s">
        <v>2173</v>
      </c>
      <c r="FY20" s="94">
        <v>209</v>
      </c>
      <c r="FZ20" s="15" t="s">
        <v>2174</v>
      </c>
      <c r="GA20" s="15">
        <f>207-202</f>
        <v>5</v>
      </c>
      <c r="GB20" s="170" t="s">
        <v>2175</v>
      </c>
      <c r="GC20" s="15">
        <v>126.93</v>
      </c>
      <c r="GD20" s="48" t="s">
        <v>2173</v>
      </c>
      <c r="GE20" s="94">
        <v>1202</v>
      </c>
      <c r="GF20" s="15" t="s">
        <v>1192</v>
      </c>
      <c r="GG20" s="18"/>
      <c r="GH20" s="170" t="s">
        <v>2175</v>
      </c>
      <c r="GI20" s="15">
        <v>95.54</v>
      </c>
      <c r="GJ20" s="48" t="s">
        <v>2023</v>
      </c>
      <c r="GK20" s="77">
        <v>744</v>
      </c>
      <c r="GL20" s="15" t="s">
        <v>2176</v>
      </c>
      <c r="GM20" s="15">
        <f>1966-2002</f>
        <v>-36</v>
      </c>
      <c r="GN20" s="170" t="s">
        <v>2029</v>
      </c>
      <c r="GO20" s="15" t="s">
        <v>2177</v>
      </c>
      <c r="GP20" s="48" t="s">
        <v>2023</v>
      </c>
      <c r="GQ20" s="77">
        <v>745</v>
      </c>
      <c r="GR20" s="69" t="s">
        <v>2178</v>
      </c>
      <c r="GS20" s="15">
        <v>128.33</v>
      </c>
      <c r="GT20" s="170" t="s">
        <v>1680</v>
      </c>
      <c r="GU20" s="15">
        <v>140.45</v>
      </c>
      <c r="GV20" s="48" t="s">
        <v>2103</v>
      </c>
      <c r="GW20" s="77">
        <v>33</v>
      </c>
      <c r="GZ20" s="170" t="s">
        <v>2108</v>
      </c>
      <c r="HA20" s="15">
        <v>97.12</v>
      </c>
      <c r="HB20" s="48" t="s">
        <v>2023</v>
      </c>
      <c r="HC20" s="77">
        <v>827</v>
      </c>
      <c r="HF20" s="170" t="s">
        <v>1475</v>
      </c>
      <c r="HG20" s="186">
        <f>2525.92/6</f>
        <v>420.986666666667</v>
      </c>
      <c r="HH20" s="48" t="s">
        <v>1544</v>
      </c>
      <c r="HI20" s="94">
        <v>3000</v>
      </c>
      <c r="HJ20" s="201">
        <f>SUM(HJ15:HJ19)</f>
        <v>4926.78</v>
      </c>
      <c r="HK20" s="189" t="s">
        <v>2179</v>
      </c>
      <c r="HL20" s="151" t="s">
        <v>2180</v>
      </c>
      <c r="HM20" s="15">
        <v>33.5</v>
      </c>
      <c r="HN20" s="65" t="s">
        <v>2026</v>
      </c>
      <c r="HO20" s="15">
        <v>1000</v>
      </c>
      <c r="HR20" s="170" t="s">
        <v>2181</v>
      </c>
      <c r="HS20" s="15">
        <v>42.65</v>
      </c>
      <c r="HT20" s="63" t="s">
        <v>1708</v>
      </c>
      <c r="HU20" s="15">
        <v>2063</v>
      </c>
      <c r="HV20" s="199"/>
      <c r="HW20" s="213"/>
      <c r="HX20" s="170" t="s">
        <v>1636</v>
      </c>
      <c r="HY20" s="15">
        <f>6.5+15+10+6.7</f>
        <v>38.2</v>
      </c>
      <c r="HZ20" s="63" t="s">
        <v>1894</v>
      </c>
      <c r="IB20" s="228" t="s">
        <v>2182</v>
      </c>
      <c r="IC20" s="229">
        <v>626.7</v>
      </c>
      <c r="ID20" s="170" t="s">
        <v>1540</v>
      </c>
      <c r="IE20" s="186" t="s">
        <v>2183</v>
      </c>
      <c r="IF20" s="63" t="s">
        <v>2184</v>
      </c>
      <c r="IG20" s="43">
        <v>60000</v>
      </c>
      <c r="IH20" s="15" t="s">
        <v>2185</v>
      </c>
      <c r="II20" s="15">
        <f>18*2</f>
        <v>36</v>
      </c>
      <c r="IJ20" s="170" t="s">
        <v>1636</v>
      </c>
      <c r="IK20" s="15">
        <f>6.5+15</f>
        <v>21.5</v>
      </c>
      <c r="IL20" s="63" t="s">
        <v>2184</v>
      </c>
      <c r="IM20" s="43">
        <v>60000</v>
      </c>
      <c r="IO20" s="219"/>
      <c r="IP20" s="170" t="s">
        <v>1788</v>
      </c>
      <c r="IQ20" s="41">
        <f>17.6+10+15.04+18.67+17.63+10+18.43+12.51+10+16.42</f>
        <v>146.3</v>
      </c>
      <c r="IR20" s="69" t="s">
        <v>2186</v>
      </c>
      <c r="IT20" s="194"/>
      <c r="IU20" s="212"/>
      <c r="IV20" s="170" t="s">
        <v>1788</v>
      </c>
      <c r="IW20" s="41">
        <f>15.7+10+18.29+10+10+15.09+18.53+17.55+15.01+10+16.79</f>
        <v>156.96</v>
      </c>
      <c r="IX20" s="48" t="s">
        <v>2187</v>
      </c>
      <c r="IY20" s="15">
        <v>190</v>
      </c>
      <c r="IZ20" s="194"/>
      <c r="JA20" s="212"/>
      <c r="JB20" s="170" t="s">
        <v>2188</v>
      </c>
      <c r="JC20" s="41">
        <f>10+30</f>
        <v>40</v>
      </c>
      <c r="JD20" s="63" t="s">
        <v>2045</v>
      </c>
      <c r="JE20" s="43">
        <v>10</v>
      </c>
      <c r="JF20" s="194"/>
      <c r="JG20" s="212"/>
      <c r="JH20" s="170" t="s">
        <v>1636</v>
      </c>
      <c r="JI20" s="41">
        <f>6.5+15</f>
        <v>21.5</v>
      </c>
      <c r="JJ20" s="63" t="s">
        <v>2189</v>
      </c>
      <c r="JK20" s="193">
        <v>44.23</v>
      </c>
      <c r="JL20" s="194"/>
      <c r="JM20" s="212"/>
      <c r="JN20" s="170" t="s">
        <v>1714</v>
      </c>
      <c r="JO20" s="41">
        <f>9+14.32</f>
        <v>23.32</v>
      </c>
      <c r="JP20" s="48" t="s">
        <v>2127</v>
      </c>
      <c r="JQ20" s="43">
        <v>210</v>
      </c>
      <c r="JR20" s="258" t="s">
        <v>2190</v>
      </c>
      <c r="JS20" s="260">
        <v>15.42</v>
      </c>
      <c r="JT20" s="170" t="s">
        <v>2191</v>
      </c>
      <c r="JU20" s="41">
        <f>64+64+3</f>
        <v>131</v>
      </c>
      <c r="JV20" s="48" t="s">
        <v>2192</v>
      </c>
      <c r="JW20" s="94"/>
      <c r="JX20" s="42" t="s">
        <v>2193</v>
      </c>
      <c r="JY20" s="38">
        <v>27.05</v>
      </c>
      <c r="JZ20" s="163" t="s">
        <v>2194</v>
      </c>
      <c r="KA20" s="15">
        <v>10.87</v>
      </c>
      <c r="KB20" s="48" t="s">
        <v>2192</v>
      </c>
      <c r="KC20" s="43"/>
      <c r="KD20" s="42" t="s">
        <v>2195</v>
      </c>
      <c r="KE20" s="38" t="s">
        <v>2196</v>
      </c>
      <c r="KF20" s="151" t="s">
        <v>2197</v>
      </c>
      <c r="KG20" s="15">
        <v>135.7</v>
      </c>
      <c r="KH20" s="61" t="s">
        <v>2198</v>
      </c>
      <c r="KI20" s="15">
        <f>KH21-0.99*195000</f>
        <v>-242</v>
      </c>
      <c r="KJ20" s="42" t="s">
        <v>2199</v>
      </c>
      <c r="KK20" s="38">
        <v>33</v>
      </c>
      <c r="KL20" s="72" t="s">
        <v>2200</v>
      </c>
      <c r="KM20" s="56">
        <v>198.07</v>
      </c>
      <c r="KN20" s="48" t="s">
        <v>1846</v>
      </c>
      <c r="KO20" s="94">
        <v>-425</v>
      </c>
      <c r="KR20" s="67" t="s">
        <v>1557</v>
      </c>
      <c r="KS20" s="41">
        <v>82.42</v>
      </c>
      <c r="KT20" s="61" t="s">
        <v>2137</v>
      </c>
      <c r="KU20" s="43">
        <f>KT21-0.99*195000</f>
        <v>-468</v>
      </c>
      <c r="KV20" s="42" t="s">
        <v>1843</v>
      </c>
      <c r="KW20" s="38">
        <f>34.33+1.58+0.5</f>
        <v>36.41</v>
      </c>
      <c r="KX20" s="86" t="s">
        <v>2201</v>
      </c>
      <c r="KY20" s="61">
        <f>466.26+15.92</f>
        <v>482.18</v>
      </c>
      <c r="KZ20" s="288">
        <v>191328</v>
      </c>
      <c r="LB20" s="61" t="s">
        <v>2202</v>
      </c>
      <c r="LC20" s="212">
        <v>35.44</v>
      </c>
      <c r="LD20" s="86" t="s">
        <v>2203</v>
      </c>
      <c r="LE20" s="61">
        <v>83.17</v>
      </c>
      <c r="LF20" s="63" t="s">
        <v>1619</v>
      </c>
      <c r="LG20" s="43">
        <v>843</v>
      </c>
      <c r="LH20" s="61" t="s">
        <v>2204</v>
      </c>
      <c r="LI20" s="38">
        <v>676.21</v>
      </c>
      <c r="LJ20" s="72" t="s">
        <v>1979</v>
      </c>
      <c r="LK20" s="38">
        <f>1291.31-LK21</f>
        <v>1154.33</v>
      </c>
      <c r="LL20" s="63" t="s">
        <v>1619</v>
      </c>
      <c r="LM20" s="43">
        <v>695</v>
      </c>
      <c r="LN20" s="61" t="s">
        <v>2205</v>
      </c>
      <c r="LO20" s="38">
        <v>36</v>
      </c>
      <c r="LP20" s="88" t="s">
        <v>2206</v>
      </c>
      <c r="LQ20" s="57">
        <f>38.8+16.8</f>
        <v>55.6</v>
      </c>
      <c r="LR20" s="61" t="s">
        <v>1554</v>
      </c>
      <c r="LS20" s="43">
        <v>2601</v>
      </c>
      <c r="LT20" s="61" t="s">
        <v>2207</v>
      </c>
      <c r="LU20" s="41">
        <v>94.75</v>
      </c>
      <c r="LV20" s="67" t="s">
        <v>1636</v>
      </c>
      <c r="LW20" s="41">
        <v>5</v>
      </c>
      <c r="LX20" s="288">
        <v>141822</v>
      </c>
      <c r="LY20" s="15" t="s">
        <v>2058</v>
      </c>
      <c r="LZ20" s="61" t="s">
        <v>2208</v>
      </c>
      <c r="MA20" s="41">
        <v>149.6</v>
      </c>
      <c r="MB20" s="327" t="s">
        <v>2209</v>
      </c>
      <c r="MC20" s="41">
        <v>22</v>
      </c>
      <c r="MD20" s="288">
        <v>192856</v>
      </c>
      <c r="ME20" s="15" t="s">
        <v>1998</v>
      </c>
      <c r="MF20" s="42" t="s">
        <v>2210</v>
      </c>
      <c r="MG20" s="41">
        <v>1.7</v>
      </c>
      <c r="MH20" s="327" t="s">
        <v>2211</v>
      </c>
      <c r="MI20" s="41">
        <f>5+10</f>
        <v>15</v>
      </c>
      <c r="MJ20" s="48" t="s">
        <v>1846</v>
      </c>
      <c r="MK20" s="94">
        <v>-477</v>
      </c>
      <c r="ML20" s="321"/>
      <c r="MM20" s="328"/>
      <c r="MN20" s="327" t="s">
        <v>2212</v>
      </c>
      <c r="MO20" s="41">
        <f>20+20+20</f>
        <v>60</v>
      </c>
      <c r="MP20" s="48" t="s">
        <v>1846</v>
      </c>
      <c r="MQ20" s="94">
        <v>-1735</v>
      </c>
      <c r="MR20" s="321" t="s">
        <v>2213</v>
      </c>
      <c r="MS20" s="328">
        <v>1275.27</v>
      </c>
      <c r="MT20" s="151" t="s">
        <v>1788</v>
      </c>
      <c r="MU20" s="41">
        <f>16.93+10+14.71+15.32+19.32+10+14.31+10+15.1+16.51+10+12.63</f>
        <v>164.83</v>
      </c>
      <c r="MV20" s="48" t="s">
        <v>1846</v>
      </c>
      <c r="MW20" s="94">
        <v>-1751</v>
      </c>
      <c r="MX20" s="321" t="s">
        <v>2214</v>
      </c>
      <c r="MY20" s="328">
        <v>94.9</v>
      </c>
      <c r="MZ20" s="327" t="s">
        <v>2215</v>
      </c>
      <c r="NA20" s="41">
        <v>29.6</v>
      </c>
      <c r="NB20" s="65" t="s">
        <v>1862</v>
      </c>
      <c r="NC20" s="173">
        <v>-40</v>
      </c>
      <c r="ND20" s="287"/>
      <c r="NE20" s="287"/>
      <c r="NF20" s="327" t="s">
        <v>2216</v>
      </c>
      <c r="NG20" s="41">
        <f>15+14.3</f>
        <v>29.3</v>
      </c>
      <c r="NH20" s="61" t="s">
        <v>2075</v>
      </c>
      <c r="NI20" s="251">
        <v>2600</v>
      </c>
      <c r="NJ20" s="15" t="s">
        <v>2217</v>
      </c>
      <c r="NK20" s="119">
        <f>1830*4</f>
        <v>7320</v>
      </c>
      <c r="NL20" s="327" t="s">
        <v>2218</v>
      </c>
      <c r="NM20" s="41">
        <v>36.9</v>
      </c>
      <c r="NN20" s="65" t="s">
        <v>1862</v>
      </c>
      <c r="NO20" s="173">
        <v>30</v>
      </c>
      <c r="NP20" s="42" t="s">
        <v>2219</v>
      </c>
      <c r="NQ20" s="41">
        <v>11.83</v>
      </c>
      <c r="NR20" s="327" t="s">
        <v>2220</v>
      </c>
      <c r="NS20" s="41">
        <v>30.5</v>
      </c>
      <c r="NT20" s="288">
        <v>189183</v>
      </c>
      <c r="NU20" s="15" t="s">
        <v>2221</v>
      </c>
      <c r="NV20" s="42" t="s">
        <v>2222</v>
      </c>
      <c r="NW20" s="41">
        <v>84.7</v>
      </c>
      <c r="NX20" s="151" t="s">
        <v>1714</v>
      </c>
      <c r="NY20" s="41">
        <f>13.53+18+18</f>
        <v>49.53</v>
      </c>
      <c r="NZ20" s="63" t="s">
        <v>2158</v>
      </c>
      <c r="OA20" s="43">
        <v>938</v>
      </c>
      <c r="OB20" s="48" t="s">
        <v>2223</v>
      </c>
      <c r="OC20" s="38">
        <f>33.5+1.7+0.1</f>
        <v>35.3</v>
      </c>
      <c r="OD20" s="327" t="s">
        <v>2224</v>
      </c>
      <c r="OE20" s="57">
        <v>30</v>
      </c>
      <c r="OF20" s="63" t="s">
        <v>2225</v>
      </c>
      <c r="OG20" s="43">
        <v>1421</v>
      </c>
      <c r="OH20" s="347">
        <v>45670</v>
      </c>
      <c r="OI20" s="43"/>
    </row>
    <row r="21" spans="1:398">
      <c r="A21" s="22" t="s">
        <v>2076</v>
      </c>
      <c r="B21" s="55">
        <v>551</v>
      </c>
      <c r="E21" s="59"/>
      <c r="F21" s="58"/>
      <c r="G21" s="22" t="s">
        <v>2076</v>
      </c>
      <c r="H21" s="55">
        <v>551</v>
      </c>
      <c r="K21" s="66" t="s">
        <v>1730</v>
      </c>
      <c r="L21" s="15">
        <v>0</v>
      </c>
      <c r="M21" s="60" t="s">
        <v>330</v>
      </c>
      <c r="N21" s="60"/>
      <c r="Q21" s="58" t="s">
        <v>355</v>
      </c>
      <c r="S21" s="60" t="s">
        <v>330</v>
      </c>
      <c r="T21" s="60"/>
      <c r="W21" s="66" t="s">
        <v>1798</v>
      </c>
      <c r="X21" s="15">
        <v>0</v>
      </c>
      <c r="Y21" s="22" t="s">
        <v>2090</v>
      </c>
      <c r="Z21" s="55">
        <v>13800</v>
      </c>
      <c r="AC21" s="67" t="s">
        <v>2226</v>
      </c>
      <c r="AD21" s="15">
        <v>0</v>
      </c>
      <c r="AE21" s="22" t="s">
        <v>2077</v>
      </c>
      <c r="AF21" s="55">
        <v>527</v>
      </c>
      <c r="AI21" s="67" t="s">
        <v>2226</v>
      </c>
      <c r="AJ21" s="61">
        <v>64</v>
      </c>
      <c r="AK21" s="22" t="s">
        <v>2077</v>
      </c>
      <c r="AL21" s="55">
        <v>527</v>
      </c>
      <c r="AM21" s="15" t="s">
        <v>1804</v>
      </c>
      <c r="AN21" s="15">
        <v>2200</v>
      </c>
      <c r="AO21" s="66" t="s">
        <v>2227</v>
      </c>
      <c r="AP21" s="61">
        <v>325</v>
      </c>
      <c r="AQ21" s="22" t="s">
        <v>2077</v>
      </c>
      <c r="AR21" s="55">
        <v>527</v>
      </c>
      <c r="AU21" s="66" t="s">
        <v>2085</v>
      </c>
      <c r="AV21" s="61" t="s">
        <v>646</v>
      </c>
      <c r="AW21" s="22" t="s">
        <v>2077</v>
      </c>
      <c r="AX21" s="55">
        <v>527.62</v>
      </c>
      <c r="AY21" s="66"/>
      <c r="AZ21" s="61"/>
      <c r="BA21" s="22" t="s">
        <v>2077</v>
      </c>
      <c r="BB21" s="55">
        <f t="shared" si="0"/>
        <v>527.62</v>
      </c>
      <c r="BC21" s="57"/>
      <c r="BE21" s="66" t="s">
        <v>1798</v>
      </c>
      <c r="BF21" s="61"/>
      <c r="BG21" s="22" t="s">
        <v>2077</v>
      </c>
      <c r="BH21" s="55">
        <v>527.62</v>
      </c>
      <c r="BK21" s="88" t="s">
        <v>1798</v>
      </c>
      <c r="BL21" s="61" t="s">
        <v>646</v>
      </c>
      <c r="BM21" s="22" t="s">
        <v>2077</v>
      </c>
      <c r="BN21" s="55">
        <v>527.62</v>
      </c>
      <c r="BO21" s="57" t="s">
        <v>2228</v>
      </c>
      <c r="BP21" s="42">
        <v>4.5</v>
      </c>
      <c r="BQ21" s="88" t="s">
        <v>1798</v>
      </c>
      <c r="BR21" s="61" t="s">
        <v>646</v>
      </c>
      <c r="BS21" s="22" t="s">
        <v>2077</v>
      </c>
      <c r="BT21" s="23">
        <v>527.62</v>
      </c>
      <c r="BU21" s="57"/>
      <c r="BW21" s="88" t="s">
        <v>1798</v>
      </c>
      <c r="BX21" s="61" t="s">
        <v>646</v>
      </c>
      <c r="BY21" s="22" t="s">
        <v>2090</v>
      </c>
      <c r="BZ21" s="55">
        <f>BT22</f>
        <v>22203.86</v>
      </c>
      <c r="CA21" s="57"/>
      <c r="CC21" s="88" t="s">
        <v>1798</v>
      </c>
      <c r="CD21" s="61" t="s">
        <v>646</v>
      </c>
      <c r="CE21" s="22" t="s">
        <v>2090</v>
      </c>
      <c r="CF21" s="55">
        <v>22203.86</v>
      </c>
      <c r="CI21" s="88" t="s">
        <v>1798</v>
      </c>
      <c r="CJ21" s="61" t="s">
        <v>646</v>
      </c>
      <c r="CK21" s="22" t="s">
        <v>2229</v>
      </c>
      <c r="CL21" s="55" t="s">
        <v>646</v>
      </c>
      <c r="CO21" s="89" t="s">
        <v>1816</v>
      </c>
      <c r="CP21" s="61" t="s">
        <v>2230</v>
      </c>
      <c r="CQ21" s="22" t="s">
        <v>2090</v>
      </c>
      <c r="CR21" s="55">
        <v>17242.32</v>
      </c>
      <c r="CS21" s="57"/>
      <c r="CU21" s="89" t="s">
        <v>1636</v>
      </c>
      <c r="CV21" s="61">
        <v>13</v>
      </c>
      <c r="CW21" s="22" t="s">
        <v>1999</v>
      </c>
      <c r="CX21" s="55">
        <f>26991+10000</f>
        <v>36991</v>
      </c>
      <c r="DA21" s="88" t="s">
        <v>2013</v>
      </c>
      <c r="DB21" s="61">
        <v>119.11</v>
      </c>
      <c r="DC21" s="22" t="s">
        <v>2077</v>
      </c>
      <c r="DD21" s="55">
        <v>527</v>
      </c>
      <c r="DE21" s="57"/>
      <c r="DF21" s="61"/>
      <c r="DG21" s="114" t="s">
        <v>1662</v>
      </c>
      <c r="DH21" s="57">
        <f>24+2.1</f>
        <v>26.1</v>
      </c>
      <c r="DI21" s="22" t="s">
        <v>2231</v>
      </c>
      <c r="DJ21" s="92">
        <v>10000</v>
      </c>
      <c r="DK21" s="61" t="s">
        <v>2018</v>
      </c>
      <c r="DL21" s="42">
        <f>10027-10000</f>
        <v>27</v>
      </c>
      <c r="DM21" s="116" t="s">
        <v>1939</v>
      </c>
      <c r="DO21" s="22"/>
      <c r="DP21" s="92"/>
      <c r="DQ21" s="61" t="s">
        <v>1877</v>
      </c>
      <c r="DR21" s="57">
        <v>80.19</v>
      </c>
      <c r="DS21" s="88" t="s">
        <v>2232</v>
      </c>
      <c r="DT21" s="57">
        <f>6.5+15+171+12</f>
        <v>204.5</v>
      </c>
      <c r="DU21" s="22"/>
      <c r="DV21" s="92"/>
      <c r="DY21" s="66" t="s">
        <v>2233</v>
      </c>
      <c r="DZ21" s="15">
        <f>15.9+16.73+14.68+13.7+15.31+11.22+16.8+10</f>
        <v>114.34</v>
      </c>
      <c r="EA21" s="22" t="s">
        <v>1671</v>
      </c>
      <c r="EB21" s="92">
        <v>5000</v>
      </c>
      <c r="EE21" s="66" t="s">
        <v>2233</v>
      </c>
      <c r="EF21" s="15">
        <f>12.24+16.64+6.43+4+7.12+8</f>
        <v>54.43</v>
      </c>
      <c r="EH21" s="48" t="s">
        <v>1943</v>
      </c>
      <c r="EI21" s="94">
        <v>5000</v>
      </c>
      <c r="EJ21" s="15" t="s">
        <v>2234</v>
      </c>
      <c r="EK21" s="15">
        <v>57.67</v>
      </c>
      <c r="EL21" s="66" t="s">
        <v>2096</v>
      </c>
      <c r="EM21" s="15">
        <v>11</v>
      </c>
      <c r="EN21" s="48" t="s">
        <v>1813</v>
      </c>
      <c r="EO21" s="94">
        <v>10000</v>
      </c>
      <c r="ER21" s="170" t="s">
        <v>2096</v>
      </c>
      <c r="ES21" s="15">
        <v>11</v>
      </c>
      <c r="ET21" s="48" t="s">
        <v>2235</v>
      </c>
      <c r="EU21" s="94">
        <v>12000</v>
      </c>
      <c r="EV21" s="61" t="s">
        <v>2236</v>
      </c>
      <c r="EW21" s="15">
        <v>18</v>
      </c>
      <c r="EX21" s="170" t="s">
        <v>2101</v>
      </c>
      <c r="EY21" s="15">
        <f>64+64</f>
        <v>128</v>
      </c>
      <c r="EZ21" s="48" t="s">
        <v>2015</v>
      </c>
      <c r="FA21" s="94">
        <v>8000</v>
      </c>
      <c r="FB21" s="61" t="s">
        <v>2237</v>
      </c>
      <c r="FC21" s="64" t="s">
        <v>2238</v>
      </c>
      <c r="FD21" s="170" t="s">
        <v>1465</v>
      </c>
      <c r="FE21" s="15">
        <v>9</v>
      </c>
      <c r="FF21" s="48" t="s">
        <v>2015</v>
      </c>
      <c r="FG21" s="94">
        <v>2000</v>
      </c>
      <c r="FH21" s="61"/>
      <c r="FI21" s="61"/>
      <c r="FJ21" s="170" t="s">
        <v>1465</v>
      </c>
      <c r="FK21" s="15">
        <v>9</v>
      </c>
      <c r="FL21" s="48" t="s">
        <v>2016</v>
      </c>
      <c r="FM21" s="94">
        <v>0</v>
      </c>
      <c r="FN21" s="614" t="s">
        <v>2239</v>
      </c>
      <c r="FO21" s="15">
        <v>4.68</v>
      </c>
      <c r="FP21" s="170" t="s">
        <v>1636</v>
      </c>
      <c r="FQ21" s="15">
        <f>15+6.5</f>
        <v>21.5</v>
      </c>
      <c r="FR21" s="48" t="s">
        <v>1746</v>
      </c>
      <c r="FS21" s="94">
        <v>15000</v>
      </c>
      <c r="FT21" s="614" t="s">
        <v>2240</v>
      </c>
      <c r="FU21" s="15">
        <v>200</v>
      </c>
      <c r="FV21" s="170" t="s">
        <v>2241</v>
      </c>
      <c r="FW21" s="15">
        <v>10.96</v>
      </c>
      <c r="FX21" s="48" t="s">
        <v>1673</v>
      </c>
      <c r="FY21" s="94">
        <v>3000</v>
      </c>
      <c r="FZ21" s="15" t="s">
        <v>2242</v>
      </c>
      <c r="GA21" s="15">
        <f>992-1001</f>
        <v>-9</v>
      </c>
      <c r="GB21" s="170" t="s">
        <v>1680</v>
      </c>
      <c r="GC21" s="15">
        <v>140.45</v>
      </c>
      <c r="GD21" s="48" t="s">
        <v>1673</v>
      </c>
      <c r="GE21" s="94">
        <v>3000</v>
      </c>
      <c r="GG21" s="18"/>
      <c r="GH21" s="170" t="s">
        <v>1680</v>
      </c>
      <c r="GI21" s="15">
        <v>140.45</v>
      </c>
      <c r="GJ21" s="48" t="s">
        <v>2103</v>
      </c>
      <c r="GK21" s="77">
        <v>33</v>
      </c>
      <c r="GL21" s="15" t="s">
        <v>2176</v>
      </c>
      <c r="GM21" s="15">
        <f>819.61-808</f>
        <v>11.61</v>
      </c>
      <c r="GN21" s="170" t="s">
        <v>2175</v>
      </c>
      <c r="GO21" s="15">
        <v>111.54</v>
      </c>
      <c r="GP21" s="48" t="s">
        <v>2103</v>
      </c>
      <c r="GQ21" s="77">
        <v>33</v>
      </c>
      <c r="GR21" s="15" t="s">
        <v>2243</v>
      </c>
      <c r="GS21" s="18"/>
      <c r="GT21" s="170" t="s">
        <v>2244</v>
      </c>
      <c r="GU21" s="15">
        <f>9.01+15+6.5</f>
        <v>30.51</v>
      </c>
      <c r="GV21" s="48" t="s">
        <v>2173</v>
      </c>
      <c r="GW21" s="94">
        <v>48</v>
      </c>
      <c r="GZ21" s="170" t="s">
        <v>1680</v>
      </c>
      <c r="HA21" s="15">
        <v>140.45</v>
      </c>
      <c r="HB21" s="48" t="s">
        <v>2103</v>
      </c>
      <c r="HC21" s="77">
        <v>0</v>
      </c>
      <c r="HD21" s="15" t="s">
        <v>2245</v>
      </c>
      <c r="HF21" s="170" t="s">
        <v>2246</v>
      </c>
      <c r="HG21" s="61">
        <v>85</v>
      </c>
      <c r="HH21" s="48" t="s">
        <v>2247</v>
      </c>
      <c r="HI21" s="94">
        <v>4000</v>
      </c>
      <c r="HK21" s="189"/>
      <c r="HL21" s="151" t="s">
        <v>2248</v>
      </c>
      <c r="HM21" s="15">
        <v>48.88</v>
      </c>
      <c r="HN21" s="48" t="s">
        <v>1544</v>
      </c>
      <c r="HO21" s="94">
        <v>3000</v>
      </c>
      <c r="HR21" s="170" t="s">
        <v>2249</v>
      </c>
      <c r="HS21" s="15">
        <v>64</v>
      </c>
      <c r="HT21" s="63" t="s">
        <v>2250</v>
      </c>
      <c r="HU21" s="15">
        <f>5000+5000+5000</f>
        <v>15000</v>
      </c>
      <c r="HW21" s="213"/>
      <c r="HX21" s="170" t="s">
        <v>1465</v>
      </c>
      <c r="HY21" s="15">
        <f>9</f>
        <v>9</v>
      </c>
      <c r="HZ21" s="63" t="s">
        <v>2035</v>
      </c>
      <c r="IA21" s="80">
        <v>345026.96</v>
      </c>
      <c r="IB21" s="230" t="s">
        <v>2182</v>
      </c>
      <c r="IC21" s="231">
        <v>598.5</v>
      </c>
      <c r="ID21" s="170" t="s">
        <v>2251</v>
      </c>
      <c r="IE21" s="15">
        <v>137.03</v>
      </c>
      <c r="IF21" s="63" t="s">
        <v>2252</v>
      </c>
      <c r="IG21" s="43">
        <v>50001</v>
      </c>
      <c r="IH21" s="15" t="s">
        <v>2253</v>
      </c>
      <c r="II21" s="15">
        <v>18</v>
      </c>
      <c r="IJ21" s="170" t="s">
        <v>1826</v>
      </c>
      <c r="IK21" s="15">
        <v>9</v>
      </c>
      <c r="IL21" s="63" t="s">
        <v>2035</v>
      </c>
      <c r="IM21" s="18">
        <v>65005</v>
      </c>
      <c r="IO21" s="219"/>
      <c r="IP21" s="151" t="s">
        <v>2254</v>
      </c>
      <c r="IQ21" s="41">
        <v>30</v>
      </c>
      <c r="IR21" s="65" t="s">
        <v>2255</v>
      </c>
      <c r="IS21" s="15">
        <v>2007</v>
      </c>
      <c r="IT21" s="199"/>
      <c r="IV21" s="151" t="s">
        <v>2151</v>
      </c>
      <c r="IW21" s="41">
        <v>80</v>
      </c>
      <c r="IX21" s="65" t="s">
        <v>2255</v>
      </c>
      <c r="IY21" s="15">
        <v>2013</v>
      </c>
      <c r="IZ21" s="194"/>
      <c r="JA21" s="212"/>
      <c r="JB21" s="170" t="s">
        <v>1622</v>
      </c>
      <c r="JC21" s="44">
        <v>115.37</v>
      </c>
      <c r="JD21" s="48" t="s">
        <v>2127</v>
      </c>
      <c r="JE21" s="15">
        <v>130</v>
      </c>
      <c r="JF21" s="194"/>
      <c r="JG21" s="212"/>
      <c r="JH21" s="170" t="s">
        <v>2256</v>
      </c>
      <c r="JI21" s="41">
        <v>27</v>
      </c>
      <c r="JJ21" s="63" t="s">
        <v>2045</v>
      </c>
      <c r="JK21" s="251">
        <v>10</v>
      </c>
      <c r="JN21" s="170" t="s">
        <v>1788</v>
      </c>
      <c r="JO21" s="41">
        <f>11.94+10+20.54+17.31+14.45+15.78+10</f>
        <v>100.02</v>
      </c>
      <c r="JP21" s="48" t="s">
        <v>2192</v>
      </c>
      <c r="JQ21" s="43"/>
      <c r="JR21" s="261" t="s">
        <v>2257</v>
      </c>
      <c r="JS21" s="262">
        <f>783.33+1167.38+1493.5+2179.3</f>
        <v>5623.51</v>
      </c>
      <c r="JT21" s="170" t="s">
        <v>1908</v>
      </c>
      <c r="JU21" s="41">
        <v>6.97</v>
      </c>
      <c r="JV21" s="65" t="s">
        <v>2255</v>
      </c>
      <c r="JW21" s="43">
        <v>1000</v>
      </c>
      <c r="JX21" s="42" t="s">
        <v>2258</v>
      </c>
      <c r="JY21" s="38">
        <v>13.23</v>
      </c>
      <c r="JZ21" s="72" t="s">
        <v>1552</v>
      </c>
      <c r="KA21" s="219">
        <v>1347.2</v>
      </c>
      <c r="KB21" s="65" t="s">
        <v>2255</v>
      </c>
      <c r="KC21" s="43">
        <v>1000</v>
      </c>
      <c r="KD21" s="48" t="s">
        <v>2259</v>
      </c>
      <c r="KE21" s="212">
        <f>63.91+71.9+199.73+2.07</f>
        <v>337.61</v>
      </c>
      <c r="KF21" s="151" t="s">
        <v>2260</v>
      </c>
      <c r="KG21" s="101">
        <v>10</v>
      </c>
      <c r="KH21" s="288">
        <v>192808</v>
      </c>
      <c r="KJ21" s="42" t="s">
        <v>2261</v>
      </c>
      <c r="KK21" s="38">
        <v>20.67</v>
      </c>
      <c r="KL21" s="67" t="s">
        <v>1557</v>
      </c>
      <c r="KM21" s="41">
        <v>81.91</v>
      </c>
      <c r="KN21" s="61" t="s">
        <v>2262</v>
      </c>
      <c r="KO21" s="43">
        <f>KN22-0.99*195000</f>
        <v>-55900</v>
      </c>
      <c r="KP21" s="61" t="s">
        <v>2263</v>
      </c>
      <c r="KQ21" s="15">
        <v>1895.66</v>
      </c>
      <c r="KR21" s="67" t="s">
        <v>2264</v>
      </c>
      <c r="KS21" s="41">
        <v>30</v>
      </c>
      <c r="KT21" s="288">
        <v>192582</v>
      </c>
      <c r="KV21" s="61" t="s">
        <v>2265</v>
      </c>
      <c r="KW21" s="15">
        <v>546.93</v>
      </c>
      <c r="KX21" s="86" t="s">
        <v>2266</v>
      </c>
      <c r="KY21" s="61">
        <v>20.05</v>
      </c>
      <c r="KZ21" s="61" t="s">
        <v>1554</v>
      </c>
      <c r="LA21" s="43">
        <v>2600</v>
      </c>
      <c r="LB21" s="61" t="s">
        <v>2267</v>
      </c>
      <c r="LC21" s="15">
        <f>611.37+8.86</f>
        <v>620.23</v>
      </c>
      <c r="LD21" s="72" t="s">
        <v>1309</v>
      </c>
      <c r="LE21" s="219">
        <v>10300</v>
      </c>
      <c r="LF21" s="63" t="s">
        <v>1699</v>
      </c>
      <c r="LG21" s="308">
        <v>1832</v>
      </c>
      <c r="LH21" s="61" t="s">
        <v>2268</v>
      </c>
      <c r="LI21" s="15">
        <v>9.26</v>
      </c>
      <c r="LJ21" s="72" t="s">
        <v>1369</v>
      </c>
      <c r="LK21" s="56">
        <v>136.98</v>
      </c>
      <c r="LL21" s="63" t="s">
        <v>1699</v>
      </c>
      <c r="LM21" s="240">
        <v>282</v>
      </c>
      <c r="LN21" s="15" t="s">
        <v>1637</v>
      </c>
      <c r="LO21" s="38"/>
      <c r="LP21" s="72" t="s">
        <v>2269</v>
      </c>
      <c r="LQ21" s="56">
        <v>92.66</v>
      </c>
      <c r="LR21" s="63" t="s">
        <v>1619</v>
      </c>
      <c r="LS21" s="43">
        <v>841</v>
      </c>
      <c r="LT21" s="321" t="s">
        <v>2270</v>
      </c>
      <c r="LU21" s="321">
        <f>113.1*2</f>
        <v>226.2</v>
      </c>
      <c r="LV21" s="67" t="s">
        <v>1714</v>
      </c>
      <c r="LW21" s="41">
        <f>13.57+9+9</f>
        <v>31.57</v>
      </c>
      <c r="LX21" s="61" t="s">
        <v>2075</v>
      </c>
      <c r="LY21" s="43">
        <v>2600</v>
      </c>
      <c r="LZ21" s="321" t="s">
        <v>2271</v>
      </c>
      <c r="MA21" s="328">
        <f>74.6+18.65</f>
        <v>93.25</v>
      </c>
      <c r="MB21" s="327" t="s">
        <v>2272</v>
      </c>
      <c r="MC21" s="41">
        <v>7.5</v>
      </c>
      <c r="MD21" s="61" t="s">
        <v>2075</v>
      </c>
      <c r="ME21" s="43">
        <v>2600</v>
      </c>
      <c r="MF21" s="15" t="s">
        <v>1474</v>
      </c>
      <c r="MG21" s="41">
        <v>12.26</v>
      </c>
      <c r="MH21" s="327" t="s">
        <v>2273</v>
      </c>
      <c r="MI21" s="318">
        <v>2679.34</v>
      </c>
      <c r="MJ21" s="65" t="s">
        <v>1862</v>
      </c>
      <c r="MK21" s="173">
        <v>30</v>
      </c>
      <c r="ML21" s="321"/>
      <c r="MM21" s="328"/>
      <c r="MN21" s="327" t="s">
        <v>2274</v>
      </c>
      <c r="MO21" s="41">
        <f>4+5+10</f>
        <v>19</v>
      </c>
      <c r="MP21" s="65" t="s">
        <v>1862</v>
      </c>
      <c r="MQ21" s="173">
        <v>-20</v>
      </c>
      <c r="MR21" s="321" t="s">
        <v>2275</v>
      </c>
      <c r="MS21" s="328">
        <v>473.7</v>
      </c>
      <c r="MT21" s="327" t="s">
        <v>2276</v>
      </c>
      <c r="MU21" s="41">
        <v>60</v>
      </c>
      <c r="MV21" s="65" t="s">
        <v>1862</v>
      </c>
      <c r="MW21" s="173">
        <v>10.001</v>
      </c>
      <c r="MX21" s="69" t="s">
        <v>2277</v>
      </c>
      <c r="MY21" s="41">
        <v>81.81</v>
      </c>
      <c r="MZ21" s="327" t="s">
        <v>2278</v>
      </c>
      <c r="NA21" s="56">
        <v>30.5</v>
      </c>
      <c r="NB21" s="61" t="s">
        <v>2279</v>
      </c>
      <c r="NC21" s="43">
        <v>-306</v>
      </c>
      <c r="ND21" s="333" t="s">
        <v>2280</v>
      </c>
      <c r="NE21" s="333"/>
      <c r="NF21" s="327" t="s">
        <v>2281</v>
      </c>
      <c r="NG21" s="41">
        <v>16.7</v>
      </c>
      <c r="NH21" s="63" t="s">
        <v>2158</v>
      </c>
      <c r="NI21" s="43">
        <v>608</v>
      </c>
      <c r="NJ21" s="61" t="s">
        <v>2282</v>
      </c>
      <c r="NK21" s="41">
        <f>1840*2</f>
        <v>3680</v>
      </c>
      <c r="NL21" s="327" t="s">
        <v>2283</v>
      </c>
      <c r="NM21" s="41">
        <v>37.89</v>
      </c>
      <c r="NN21" s="61" t="s">
        <v>2067</v>
      </c>
      <c r="NO21" s="337">
        <f>NN22-0.99*195000</f>
        <v>-333</v>
      </c>
      <c r="NP21" s="287" t="s">
        <v>1707</v>
      </c>
      <c r="NQ21" s="287"/>
      <c r="NR21" s="327" t="s">
        <v>2069</v>
      </c>
      <c r="NS21" s="41">
        <v>31.1</v>
      </c>
      <c r="NT21" s="61" t="s">
        <v>2075</v>
      </c>
      <c r="NU21" s="43">
        <v>2600</v>
      </c>
      <c r="NX21" s="151" t="s">
        <v>1788</v>
      </c>
      <c r="NY21" s="41">
        <f>15.34+18.1+4.22+17.37+16.42+1.3+3.16+17.88+16.86</f>
        <v>110.65</v>
      </c>
      <c r="NZ21" s="63" t="s">
        <v>2225</v>
      </c>
      <c r="OA21" s="43">
        <v>1634</v>
      </c>
      <c r="OB21" s="48" t="s">
        <v>2284</v>
      </c>
      <c r="OC21" s="38">
        <f>212.33+76.44+67.94</f>
        <v>356.71</v>
      </c>
      <c r="OD21" s="327" t="s">
        <v>2285</v>
      </c>
      <c r="OE21" s="57">
        <v>339.5</v>
      </c>
      <c r="OF21" s="63" t="s">
        <v>2286</v>
      </c>
      <c r="OG21" s="43">
        <v>10</v>
      </c>
      <c r="OH21" s="347">
        <v>45656</v>
      </c>
    </row>
    <row r="22" spans="1:398">
      <c r="A22" s="22"/>
      <c r="B22" s="55"/>
      <c r="E22" s="613" t="s">
        <v>395</v>
      </c>
      <c r="F22" s="58"/>
      <c r="G22" s="22"/>
      <c r="H22" s="55"/>
      <c r="K22" s="66" t="s">
        <v>1798</v>
      </c>
      <c r="L22" s="15">
        <v>0</v>
      </c>
      <c r="M22" s="61" t="s">
        <v>2287</v>
      </c>
      <c r="N22" s="61"/>
      <c r="Q22" s="58" t="s">
        <v>364</v>
      </c>
      <c r="S22" s="61" t="s">
        <v>2287</v>
      </c>
      <c r="T22" s="61"/>
      <c r="W22" s="66" t="s">
        <v>1865</v>
      </c>
      <c r="X22" s="15">
        <v>0</v>
      </c>
      <c r="Y22" s="60" t="s">
        <v>330</v>
      </c>
      <c r="Z22" s="60"/>
      <c r="AC22" s="67" t="s">
        <v>2288</v>
      </c>
      <c r="AD22" s="15">
        <v>80.001</v>
      </c>
      <c r="AE22" s="22" t="s">
        <v>2090</v>
      </c>
      <c r="AF22" s="55" t="s">
        <v>1949</v>
      </c>
      <c r="AI22" s="67" t="s">
        <v>2288</v>
      </c>
      <c r="AJ22" s="61">
        <v>150</v>
      </c>
      <c r="AK22" s="22" t="s">
        <v>2090</v>
      </c>
      <c r="AL22" s="55" t="s">
        <v>1949</v>
      </c>
      <c r="AO22" s="66" t="s">
        <v>2003</v>
      </c>
      <c r="AP22" s="61">
        <v>0</v>
      </c>
      <c r="AQ22" s="22" t="s">
        <v>2090</v>
      </c>
      <c r="AR22" s="55">
        <v>20000</v>
      </c>
      <c r="AU22" s="66" t="s">
        <v>2003</v>
      </c>
      <c r="AV22" s="61">
        <f>200+150+172</f>
        <v>522</v>
      </c>
      <c r="AW22" s="22" t="s">
        <v>2090</v>
      </c>
      <c r="AX22" s="81">
        <v>19203.86</v>
      </c>
      <c r="AY22" s="66"/>
      <c r="AZ22" s="61"/>
      <c r="BA22" s="22" t="s">
        <v>2090</v>
      </c>
      <c r="BB22" s="55">
        <f t="shared" si="0"/>
        <v>19203.86</v>
      </c>
      <c r="BE22" s="66" t="s">
        <v>1730</v>
      </c>
      <c r="BG22" s="22" t="s">
        <v>2090</v>
      </c>
      <c r="BH22" s="81">
        <v>19203.86</v>
      </c>
      <c r="BK22" s="88" t="s">
        <v>1730</v>
      </c>
      <c r="BL22" s="42" t="s">
        <v>646</v>
      </c>
      <c r="BM22" s="22" t="s">
        <v>2090</v>
      </c>
      <c r="BN22" s="81">
        <v>19203.86</v>
      </c>
      <c r="BQ22" s="88" t="s">
        <v>1730</v>
      </c>
      <c r="BR22" s="42" t="s">
        <v>646</v>
      </c>
      <c r="BS22" s="22" t="s">
        <v>2090</v>
      </c>
      <c r="BT22" s="23">
        <v>22203.86</v>
      </c>
      <c r="BW22" s="88" t="s">
        <v>1730</v>
      </c>
      <c r="BX22" s="42" t="s">
        <v>646</v>
      </c>
      <c r="BY22" s="22" t="s">
        <v>2289</v>
      </c>
      <c r="BZ22" s="55">
        <f>10000+4000</f>
        <v>14000</v>
      </c>
      <c r="CC22" s="88" t="s">
        <v>1730</v>
      </c>
      <c r="CD22" s="42" t="s">
        <v>646</v>
      </c>
      <c r="CE22" s="22" t="s">
        <v>2229</v>
      </c>
      <c r="CF22" s="55">
        <v>10000</v>
      </c>
      <c r="CI22" s="89" t="s">
        <v>2290</v>
      </c>
      <c r="CJ22" s="61">
        <v>91.86</v>
      </c>
      <c r="CK22" s="82" t="s">
        <v>1466</v>
      </c>
      <c r="CL22" s="99">
        <v>-20000</v>
      </c>
      <c r="CO22" s="89" t="s">
        <v>2291</v>
      </c>
      <c r="CP22" s="61">
        <v>57.34</v>
      </c>
      <c r="CQ22" s="82" t="s">
        <v>1466</v>
      </c>
      <c r="CR22" s="99">
        <v>-20000</v>
      </c>
      <c r="CS22" s="57" t="s">
        <v>2292</v>
      </c>
      <c r="CT22" s="57" t="s">
        <v>2293</v>
      </c>
      <c r="CU22" s="89" t="s">
        <v>2013</v>
      </c>
      <c r="CV22" s="61">
        <v>136.53</v>
      </c>
      <c r="CW22" s="82" t="s">
        <v>1466</v>
      </c>
      <c r="CX22" s="99">
        <v>-20000</v>
      </c>
      <c r="DA22" s="88" t="s">
        <v>2294</v>
      </c>
      <c r="DB22" s="61">
        <v>53.24</v>
      </c>
      <c r="DC22" s="22" t="s">
        <v>1999</v>
      </c>
      <c r="DD22" s="55">
        <v>45991</v>
      </c>
      <c r="DF22" s="61"/>
      <c r="DG22" s="114" t="s">
        <v>2295</v>
      </c>
      <c r="DH22" s="57" t="s">
        <v>646</v>
      </c>
      <c r="DI22" s="22" t="s">
        <v>2296</v>
      </c>
      <c r="DJ22" s="92">
        <v>10000</v>
      </c>
      <c r="DM22" s="116" t="s">
        <v>2297</v>
      </c>
      <c r="DN22" s="119">
        <v>189.2</v>
      </c>
      <c r="DO22" s="22" t="s">
        <v>1671</v>
      </c>
      <c r="DP22" s="92">
        <v>5000</v>
      </c>
      <c r="DQ22" s="61" t="s">
        <v>1813</v>
      </c>
      <c r="DR22" s="42">
        <v>10.51</v>
      </c>
      <c r="DS22" s="88" t="s">
        <v>2013</v>
      </c>
      <c r="DT22" s="57">
        <v>140.45</v>
      </c>
      <c r="DU22" s="22" t="s">
        <v>1671</v>
      </c>
      <c r="DV22" s="92">
        <v>5000</v>
      </c>
      <c r="EA22" s="22" t="s">
        <v>1747</v>
      </c>
      <c r="EB22" s="92">
        <v>5000</v>
      </c>
      <c r="EE22" s="151" t="s">
        <v>2298</v>
      </c>
      <c r="EF22" s="15">
        <v>10</v>
      </c>
      <c r="EH22" s="48" t="s">
        <v>2015</v>
      </c>
      <c r="EI22" s="94">
        <v>10000</v>
      </c>
      <c r="EJ22" s="15" t="s">
        <v>2299</v>
      </c>
      <c r="EK22" s="15">
        <v>33.71</v>
      </c>
      <c r="EL22" s="66" t="s">
        <v>2101</v>
      </c>
      <c r="EM22" s="15">
        <f>64+32</f>
        <v>96</v>
      </c>
      <c r="EN22" s="48" t="s">
        <v>1877</v>
      </c>
      <c r="EO22" s="94">
        <v>30000</v>
      </c>
      <c r="ER22" s="170" t="s">
        <v>2101</v>
      </c>
      <c r="ES22" s="15">
        <v>0</v>
      </c>
      <c r="ET22" s="48" t="s">
        <v>2300</v>
      </c>
      <c r="EU22" s="94">
        <v>13000</v>
      </c>
      <c r="EV22" s="61" t="s">
        <v>2301</v>
      </c>
      <c r="EW22" s="15">
        <f>4074+4965-9000</f>
        <v>39</v>
      </c>
      <c r="EX22" s="170" t="s">
        <v>2233</v>
      </c>
      <c r="EY22" s="15">
        <f>5.2+0.88+2.24+16.2+10+1.44+10.21+16.7+1.31+15.1+2.62+2.62+2.53+2.62+2.62+4.71</f>
        <v>97</v>
      </c>
      <c r="EZ22" s="48" t="s">
        <v>2235</v>
      </c>
      <c r="FA22" s="94">
        <v>2000</v>
      </c>
      <c r="FB22" s="61"/>
      <c r="FC22" s="64"/>
      <c r="FD22" s="170" t="s">
        <v>2233</v>
      </c>
      <c r="FE22" s="15">
        <f>2.62+4.71+2.62+13.99+15.65+7.92+10.66+6.21</f>
        <v>64.38</v>
      </c>
      <c r="FF22" s="48" t="s">
        <v>2235</v>
      </c>
      <c r="FG22" s="94">
        <v>2000</v>
      </c>
      <c r="FH22" s="61"/>
      <c r="FJ22" s="170" t="s">
        <v>2233</v>
      </c>
      <c r="FK22" s="15">
        <f>8.69+8.74+7.36+10.96+7.08+7.26</f>
        <v>50.09</v>
      </c>
      <c r="FL22" s="48" t="s">
        <v>2016</v>
      </c>
      <c r="FM22" s="94">
        <v>0</v>
      </c>
      <c r="FP22" s="170" t="s">
        <v>2101</v>
      </c>
      <c r="FQ22" s="15">
        <v>64</v>
      </c>
      <c r="FR22" s="48" t="s">
        <v>2015</v>
      </c>
      <c r="FS22" s="94" t="s">
        <v>1949</v>
      </c>
      <c r="FT22" s="15" t="s">
        <v>2302</v>
      </c>
      <c r="FU22" s="15">
        <v>1193.86</v>
      </c>
      <c r="FV22" s="170" t="s">
        <v>2101</v>
      </c>
      <c r="FW22" s="15" t="s">
        <v>663</v>
      </c>
      <c r="FX22" s="48" t="s">
        <v>1815</v>
      </c>
      <c r="FY22" s="94">
        <v>4000</v>
      </c>
      <c r="GB22" s="170" t="s">
        <v>1636</v>
      </c>
      <c r="GC22" s="15" t="s">
        <v>646</v>
      </c>
      <c r="GD22" s="48" t="s">
        <v>1815</v>
      </c>
      <c r="GE22" s="94">
        <v>4000</v>
      </c>
      <c r="GF22" s="614" t="s">
        <v>2106</v>
      </c>
      <c r="GH22" s="170" t="s">
        <v>1636</v>
      </c>
      <c r="GI22" s="15">
        <f>13+30</f>
        <v>43</v>
      </c>
      <c r="GJ22" s="48" t="s">
        <v>2173</v>
      </c>
      <c r="GK22" s="94">
        <v>182</v>
      </c>
      <c r="GN22" s="170" t="s">
        <v>1680</v>
      </c>
      <c r="GO22" s="15">
        <v>140.45</v>
      </c>
      <c r="GP22" s="48" t="s">
        <v>2173</v>
      </c>
      <c r="GQ22" s="94">
        <v>2148</v>
      </c>
      <c r="GS22" s="18"/>
      <c r="GT22" s="170" t="s">
        <v>2241</v>
      </c>
      <c r="GU22" s="15">
        <v>10.96</v>
      </c>
      <c r="GV22" s="48" t="s">
        <v>1544</v>
      </c>
      <c r="GW22" s="94">
        <v>3000</v>
      </c>
      <c r="GZ22" s="170" t="s">
        <v>2303</v>
      </c>
      <c r="HA22" s="15">
        <f>10.96+9.01+6.5+15</f>
        <v>41.47</v>
      </c>
      <c r="HB22" s="48" t="s">
        <v>2173</v>
      </c>
      <c r="HC22" s="94">
        <v>0</v>
      </c>
      <c r="HD22" s="614" t="s">
        <v>2304</v>
      </c>
      <c r="HE22" s="15">
        <v>10</v>
      </c>
      <c r="HF22" s="170" t="s">
        <v>2108</v>
      </c>
      <c r="HG22" s="15">
        <v>16.71</v>
      </c>
      <c r="HH22" s="48" t="s">
        <v>1685</v>
      </c>
      <c r="HI22" s="94">
        <v>25000</v>
      </c>
      <c r="HK22" s="189"/>
      <c r="HL22" s="151" t="s">
        <v>2305</v>
      </c>
      <c r="HM22" s="15">
        <v>115.9</v>
      </c>
      <c r="HN22" s="48" t="s">
        <v>1606</v>
      </c>
      <c r="HO22" s="94">
        <v>4000</v>
      </c>
      <c r="HR22" s="170" t="s">
        <v>2306</v>
      </c>
      <c r="HS22" s="15">
        <v>10</v>
      </c>
      <c r="HT22" s="63" t="s">
        <v>2307</v>
      </c>
      <c r="HU22" s="15">
        <f>5002+10000+5002+10002+5000</f>
        <v>35006</v>
      </c>
      <c r="HW22" s="189"/>
      <c r="HX22" s="170" t="s">
        <v>2308</v>
      </c>
      <c r="HY22" s="15">
        <v>64</v>
      </c>
      <c r="HZ22" s="63" t="s">
        <v>1708</v>
      </c>
      <c r="IA22" s="94">
        <v>2000</v>
      </c>
      <c r="IB22" s="232" t="s">
        <v>2034</v>
      </c>
      <c r="IC22" s="233">
        <f>19.95*3</f>
        <v>59.85</v>
      </c>
      <c r="ID22" s="170" t="s">
        <v>1833</v>
      </c>
      <c r="IE22" s="15">
        <v>167</v>
      </c>
      <c r="IF22" s="48" t="s">
        <v>1162</v>
      </c>
      <c r="IG22" s="94">
        <v>-80000</v>
      </c>
      <c r="IH22" s="15" t="s">
        <v>2309</v>
      </c>
      <c r="II22" s="15">
        <f>9.86*4</f>
        <v>39.44</v>
      </c>
      <c r="IJ22" s="170" t="s">
        <v>2310</v>
      </c>
      <c r="IK22" s="15">
        <v>64</v>
      </c>
      <c r="IL22" s="63" t="s">
        <v>2119</v>
      </c>
      <c r="IM22" s="43">
        <v>2190</v>
      </c>
      <c r="IO22" s="219"/>
      <c r="IP22" s="151" t="s">
        <v>2311</v>
      </c>
      <c r="IQ22" s="41">
        <v>10</v>
      </c>
      <c r="IR22" s="69" t="s">
        <v>2312</v>
      </c>
      <c r="IT22" s="45" t="s">
        <v>2313</v>
      </c>
      <c r="IU22" s="45"/>
      <c r="IV22" s="151" t="s">
        <v>2314</v>
      </c>
      <c r="IW22" s="41">
        <v>42.51</v>
      </c>
      <c r="IX22" s="69" t="s">
        <v>2312</v>
      </c>
      <c r="IZ22" s="194"/>
      <c r="JA22" s="212"/>
      <c r="JB22" s="170" t="s">
        <v>1636</v>
      </c>
      <c r="JC22" s="41">
        <f>13+30</f>
        <v>43</v>
      </c>
      <c r="JD22" s="48" t="s">
        <v>2192</v>
      </c>
      <c r="JH22" s="170" t="s">
        <v>1826</v>
      </c>
      <c r="JI22" s="41">
        <f>9+14.32</f>
        <v>23.32</v>
      </c>
      <c r="JJ22" s="48" t="s">
        <v>2127</v>
      </c>
      <c r="JK22" s="15">
        <v>230</v>
      </c>
      <c r="JL22" s="194"/>
      <c r="JM22" s="212"/>
      <c r="JN22" s="151" t="s">
        <v>2315</v>
      </c>
      <c r="JO22" s="43">
        <v>2953</v>
      </c>
      <c r="JP22" s="65" t="s">
        <v>2255</v>
      </c>
      <c r="JQ22" s="43">
        <v>1000</v>
      </c>
      <c r="JR22" s="261" t="s">
        <v>2316</v>
      </c>
      <c r="JS22" s="262"/>
      <c r="JT22" s="170" t="s">
        <v>1788</v>
      </c>
      <c r="JU22" s="41">
        <f>17.57+15.78+10+10+16.81+16.4+1.52+17.15+1.19+10.85</f>
        <v>117.27</v>
      </c>
      <c r="JV22" s="69" t="s">
        <v>2312</v>
      </c>
      <c r="JW22" s="41"/>
      <c r="JX22" s="42" t="s">
        <v>2317</v>
      </c>
      <c r="JY22" s="38">
        <v>31.96</v>
      </c>
      <c r="JZ22" s="72" t="s">
        <v>2318</v>
      </c>
      <c r="KA22" s="219">
        <v>1322.98</v>
      </c>
      <c r="KB22" s="69" t="s">
        <v>2319</v>
      </c>
      <c r="KC22" s="41"/>
      <c r="KD22" s="61" t="s">
        <v>2320</v>
      </c>
      <c r="KE22" s="212">
        <f>7000*(1-98.14%)</f>
        <v>130.2</v>
      </c>
      <c r="KF22" s="151" t="s">
        <v>2321</v>
      </c>
      <c r="KG22" s="101">
        <v>38</v>
      </c>
      <c r="KH22" s="61" t="s">
        <v>1554</v>
      </c>
      <c r="KI22" s="43">
        <v>2600</v>
      </c>
      <c r="KJ22" s="42" t="s">
        <v>2322</v>
      </c>
      <c r="KK22" s="212">
        <v>380.32</v>
      </c>
      <c r="KL22" s="67" t="s">
        <v>1636</v>
      </c>
      <c r="KM22" s="41">
        <f>6.5+15</f>
        <v>21.5</v>
      </c>
      <c r="KN22" s="288">
        <v>137150</v>
      </c>
      <c r="KP22" s="61" t="s">
        <v>2323</v>
      </c>
      <c r="KQ22" s="186">
        <v>2121.22</v>
      </c>
      <c r="KR22" s="67" t="s">
        <v>2324</v>
      </c>
      <c r="KS22" s="41">
        <v>100</v>
      </c>
      <c r="KT22" s="61" t="s">
        <v>1554</v>
      </c>
      <c r="KU22" s="43">
        <v>2600</v>
      </c>
      <c r="KV22" s="61" t="s">
        <v>2325</v>
      </c>
      <c r="KW22" s="15">
        <v>297.9</v>
      </c>
      <c r="KX22" s="86" t="s">
        <v>2326</v>
      </c>
      <c r="KY22" s="61">
        <v>399.3</v>
      </c>
      <c r="KZ22" s="63" t="s">
        <v>1619</v>
      </c>
      <c r="LA22" s="43">
        <v>656</v>
      </c>
      <c r="LB22" s="61" t="s">
        <v>2327</v>
      </c>
      <c r="LC22" s="15">
        <v>93.25</v>
      </c>
      <c r="LD22" s="72" t="s">
        <v>1979</v>
      </c>
      <c r="LE22" s="38">
        <f>1314-LE23</f>
        <v>1179</v>
      </c>
      <c r="LF22" s="63" t="s">
        <v>2328</v>
      </c>
      <c r="LG22" s="43">
        <v>10</v>
      </c>
      <c r="LH22" s="61" t="s">
        <v>2327</v>
      </c>
      <c r="LI22" s="15">
        <v>93.25</v>
      </c>
      <c r="LJ22" s="72" t="s">
        <v>2329</v>
      </c>
      <c r="LK22" s="57">
        <v>42.95</v>
      </c>
      <c r="LL22" s="63" t="s">
        <v>2328</v>
      </c>
      <c r="LM22" s="43">
        <v>10</v>
      </c>
      <c r="LN22" s="48" t="s">
        <v>2330</v>
      </c>
      <c r="LO22" s="38">
        <f>212.33+76.44+67.94</f>
        <v>356.71</v>
      </c>
      <c r="LP22" s="72" t="s">
        <v>2331</v>
      </c>
      <c r="LQ22" s="57">
        <v>153</v>
      </c>
      <c r="LR22" s="63" t="s">
        <v>1699</v>
      </c>
      <c r="LS22" s="240">
        <v>1531</v>
      </c>
      <c r="LT22" s="321" t="s">
        <v>2332</v>
      </c>
      <c r="LU22" s="321">
        <f>132.65*2</f>
        <v>265.3</v>
      </c>
      <c r="LV22" s="67" t="s">
        <v>1788</v>
      </c>
      <c r="LW22" s="41">
        <f>13.41*2+10+10+15.88+15.54+15.1+10+15.45</f>
        <v>118.79</v>
      </c>
      <c r="LX22" s="63" t="s">
        <v>1619</v>
      </c>
      <c r="LY22" s="43">
        <v>665</v>
      </c>
      <c r="LZ22" s="321"/>
      <c r="MA22" s="321"/>
      <c r="MB22" s="327" t="s">
        <v>2333</v>
      </c>
      <c r="MC22" s="41">
        <v>41.37</v>
      </c>
      <c r="MD22" s="63" t="s">
        <v>1619</v>
      </c>
      <c r="ME22" s="43">
        <v>835</v>
      </c>
      <c r="MF22" s="287" t="s">
        <v>1707</v>
      </c>
      <c r="MG22" s="287"/>
      <c r="MH22" s="327" t="s">
        <v>2334</v>
      </c>
      <c r="MI22" s="318">
        <v>468.82</v>
      </c>
      <c r="MJ22" s="61" t="s">
        <v>1931</v>
      </c>
      <c r="MK22" s="43">
        <f>MJ23-0.99*195000</f>
        <v>-615</v>
      </c>
      <c r="ML22" s="321"/>
      <c r="MM22" s="328"/>
      <c r="MN22" s="327" t="s">
        <v>2335</v>
      </c>
      <c r="MO22" s="41">
        <f>92.34+4</f>
        <v>96.34</v>
      </c>
      <c r="MP22" s="61" t="s">
        <v>1931</v>
      </c>
      <c r="MQ22" s="43">
        <f>MP23-0.99*195000</f>
        <v>-1461</v>
      </c>
      <c r="MR22" s="321" t="s">
        <v>2336</v>
      </c>
      <c r="MS22" s="328">
        <f>110.7*2</f>
        <v>221.4</v>
      </c>
      <c r="MT22" s="327" t="s">
        <v>2337</v>
      </c>
      <c r="MU22" s="41">
        <f>1.5+10</f>
        <v>11.5</v>
      </c>
      <c r="MV22" s="61" t="s">
        <v>1931</v>
      </c>
      <c r="MW22" s="43">
        <f>MV23-0.99*195000</f>
        <v>1</v>
      </c>
      <c r="MX22" s="321" t="s">
        <v>2338</v>
      </c>
      <c r="MY22" s="328">
        <v>101.1</v>
      </c>
      <c r="MZ22" s="327" t="s">
        <v>2339</v>
      </c>
      <c r="NA22" s="41">
        <f>30.5*2</f>
        <v>61</v>
      </c>
      <c r="NB22" s="288">
        <v>192745</v>
      </c>
      <c r="NC22" s="15" t="s">
        <v>1998</v>
      </c>
      <c r="ND22" s="333"/>
      <c r="NE22" s="333"/>
      <c r="NF22" s="327" t="s">
        <v>2340</v>
      </c>
      <c r="NG22" s="56">
        <f>34.5+30.5+32.5+36</f>
        <v>133.5</v>
      </c>
      <c r="NH22" s="63" t="s">
        <v>2341</v>
      </c>
      <c r="NI22" s="43">
        <v>528</v>
      </c>
      <c r="NJ22" s="321"/>
      <c r="NK22" s="328"/>
      <c r="NL22" s="327" t="s">
        <v>2342</v>
      </c>
      <c r="NM22" s="57">
        <v>43.7</v>
      </c>
      <c r="NN22" s="288">
        <v>192717</v>
      </c>
      <c r="NO22" s="15" t="s">
        <v>1998</v>
      </c>
      <c r="NP22" s="287"/>
      <c r="NQ22" s="287"/>
      <c r="NR22" s="327" t="s">
        <v>2343</v>
      </c>
      <c r="NS22" s="41">
        <f>26.26+40.53</f>
        <v>66.79</v>
      </c>
      <c r="NT22" s="63" t="s">
        <v>2158</v>
      </c>
      <c r="NU22" s="43">
        <v>893</v>
      </c>
      <c r="NV22" s="42"/>
      <c r="NX22" s="342" t="s">
        <v>2344</v>
      </c>
      <c r="NY22" s="41">
        <v>7.35</v>
      </c>
      <c r="NZ22" s="63" t="s">
        <v>2286</v>
      </c>
      <c r="OA22" s="43">
        <v>10</v>
      </c>
      <c r="OB22" s="42" t="s">
        <v>2156</v>
      </c>
      <c r="OD22" s="327" t="s">
        <v>2345</v>
      </c>
      <c r="OE22" s="348">
        <v>425.17</v>
      </c>
      <c r="OF22" s="48" t="s">
        <v>2346</v>
      </c>
      <c r="OG22" s="43">
        <v>290</v>
      </c>
      <c r="OH22" s="347">
        <v>45656</v>
      </c>
    </row>
    <row r="23" spans="1:398">
      <c r="A23" s="60" t="s">
        <v>330</v>
      </c>
      <c r="B23" s="60"/>
      <c r="E23" s="615" t="s">
        <v>402</v>
      </c>
      <c r="F23" s="58"/>
      <c r="G23" s="60" t="s">
        <v>330</v>
      </c>
      <c r="H23" s="60"/>
      <c r="K23" s="66" t="s">
        <v>1865</v>
      </c>
      <c r="L23" s="15">
        <v>0</v>
      </c>
      <c r="N23" s="15"/>
      <c r="Q23" s="58" t="s">
        <v>2078</v>
      </c>
      <c r="T23" s="15"/>
      <c r="W23" s="66" t="s">
        <v>1609</v>
      </c>
      <c r="X23" s="61">
        <v>0</v>
      </c>
      <c r="Y23" s="61" t="s">
        <v>2287</v>
      </c>
      <c r="Z23" s="61"/>
      <c r="AE23" s="60" t="s">
        <v>330</v>
      </c>
      <c r="AF23" s="60"/>
      <c r="AK23" s="60" t="s">
        <v>330</v>
      </c>
      <c r="AL23" s="60"/>
      <c r="AO23" s="66" t="s">
        <v>1730</v>
      </c>
      <c r="AP23" s="15">
        <v>140</v>
      </c>
      <c r="AQ23" s="60" t="s">
        <v>330</v>
      </c>
      <c r="AR23" s="60"/>
      <c r="AU23" s="66" t="s">
        <v>1730</v>
      </c>
      <c r="AV23" s="15" t="s">
        <v>646</v>
      </c>
      <c r="AW23" s="60" t="s">
        <v>330</v>
      </c>
      <c r="AX23" s="82"/>
      <c r="AY23" s="66"/>
      <c r="BA23" s="82" t="s">
        <v>290</v>
      </c>
      <c r="BB23" s="82">
        <v>-30000</v>
      </c>
      <c r="BE23" s="67" t="s">
        <v>2001</v>
      </c>
      <c r="BF23" s="61" t="s">
        <v>663</v>
      </c>
      <c r="BG23" s="82" t="s">
        <v>290</v>
      </c>
      <c r="BH23" s="82">
        <v>-30000</v>
      </c>
      <c r="BK23" s="89" t="s">
        <v>2001</v>
      </c>
      <c r="BL23" s="61" t="s">
        <v>663</v>
      </c>
      <c r="BM23" s="82" t="s">
        <v>290</v>
      </c>
      <c r="BN23" s="82">
        <v>-30000</v>
      </c>
      <c r="BQ23" s="89" t="s">
        <v>2347</v>
      </c>
      <c r="BR23" s="61">
        <v>121.05</v>
      </c>
      <c r="BS23" s="82" t="s">
        <v>2348</v>
      </c>
      <c r="BT23" s="95">
        <v>-20000</v>
      </c>
      <c r="BW23" s="89" t="s">
        <v>2001</v>
      </c>
      <c r="BX23" s="61" t="s">
        <v>663</v>
      </c>
      <c r="BY23" s="82" t="s">
        <v>1466</v>
      </c>
      <c r="BZ23" s="99">
        <v>-20000</v>
      </c>
      <c r="CC23" s="89" t="s">
        <v>2001</v>
      </c>
      <c r="CD23" s="61">
        <v>47.12</v>
      </c>
      <c r="CE23" s="82" t="s">
        <v>1466</v>
      </c>
      <c r="CF23" s="99">
        <v>-20000</v>
      </c>
      <c r="CI23" s="89" t="s">
        <v>2349</v>
      </c>
      <c r="CJ23" s="61">
        <v>72.42</v>
      </c>
      <c r="CK23" s="61" t="s">
        <v>2350</v>
      </c>
      <c r="CL23" s="101">
        <v>802</v>
      </c>
      <c r="CO23" s="89" t="s">
        <v>1636</v>
      </c>
      <c r="CP23" s="61">
        <v>13</v>
      </c>
      <c r="CQ23" s="69" t="s">
        <v>2350</v>
      </c>
      <c r="CR23" s="69">
        <f>802-791</f>
        <v>11</v>
      </c>
      <c r="CU23" s="89" t="s">
        <v>2294</v>
      </c>
      <c r="CV23" s="61">
        <v>53.24</v>
      </c>
      <c r="CW23" s="111" t="s">
        <v>2350</v>
      </c>
      <c r="CX23" s="55"/>
      <c r="DA23" s="88" t="s">
        <v>2351</v>
      </c>
      <c r="DB23" s="61">
        <v>64</v>
      </c>
      <c r="DC23" s="82" t="s">
        <v>1466</v>
      </c>
      <c r="DD23" s="99">
        <v>-20000</v>
      </c>
      <c r="DE23" s="57" t="s">
        <v>2352</v>
      </c>
      <c r="DF23" s="42">
        <f>7.1+13</f>
        <v>20.1</v>
      </c>
      <c r="DG23" s="115" t="s">
        <v>2353</v>
      </c>
      <c r="DH23" s="44">
        <v>35.63</v>
      </c>
      <c r="DI23" s="22" t="s">
        <v>2354</v>
      </c>
      <c r="DJ23" s="92">
        <v>10000</v>
      </c>
      <c r="DK23" s="61"/>
      <c r="DM23" s="116"/>
      <c r="DN23" s="57"/>
      <c r="DO23" s="22" t="s">
        <v>1747</v>
      </c>
      <c r="DP23" s="92">
        <v>5000</v>
      </c>
      <c r="DQ23" s="61"/>
      <c r="DS23" s="88" t="s">
        <v>2294</v>
      </c>
      <c r="DT23" s="57">
        <v>11</v>
      </c>
      <c r="DU23" s="22" t="s">
        <v>1747</v>
      </c>
      <c r="DV23" s="92">
        <v>5000</v>
      </c>
      <c r="DY23" s="151" t="s">
        <v>2355</v>
      </c>
      <c r="DZ23" s="15">
        <v>25</v>
      </c>
      <c r="EA23" s="22" t="s">
        <v>2356</v>
      </c>
      <c r="EB23" s="92">
        <v>5000</v>
      </c>
      <c r="EE23" s="154" t="s">
        <v>2357</v>
      </c>
      <c r="EF23" s="154"/>
      <c r="EH23" s="48" t="s">
        <v>2097</v>
      </c>
      <c r="EI23" s="94">
        <v>5000</v>
      </c>
      <c r="EL23" s="66" t="s">
        <v>2233</v>
      </c>
      <c r="EM23" s="15">
        <f>5.43+3.52+5.66+9.02+8.26</f>
        <v>31.89</v>
      </c>
      <c r="EN23" s="48" t="s">
        <v>1942</v>
      </c>
      <c r="EO23" s="94">
        <v>20000</v>
      </c>
      <c r="ER23" s="170" t="s">
        <v>2233</v>
      </c>
      <c r="ES23" s="15">
        <f>7.48+6.15+3.6+2.24+10+2.24</f>
        <v>31.71</v>
      </c>
      <c r="ET23" s="48" t="s">
        <v>1882</v>
      </c>
      <c r="EU23" s="94">
        <v>10000</v>
      </c>
      <c r="EV23" s="61" t="s">
        <v>2358</v>
      </c>
      <c r="EW23" s="64" t="s">
        <v>2238</v>
      </c>
      <c r="EX23" s="151" t="s">
        <v>2359</v>
      </c>
      <c r="EY23" s="15">
        <f>6+3.65</f>
        <v>9.65</v>
      </c>
      <c r="EZ23" s="48" t="s">
        <v>2300</v>
      </c>
      <c r="FA23" s="94">
        <v>3000</v>
      </c>
      <c r="FB23" s="61"/>
      <c r="FC23" s="64"/>
      <c r="FD23" s="151" t="s">
        <v>2360</v>
      </c>
      <c r="FE23" s="15">
        <v>10</v>
      </c>
      <c r="FF23" s="48" t="s">
        <v>2300</v>
      </c>
      <c r="FG23" s="94">
        <v>3000</v>
      </c>
      <c r="FJ23" s="151" t="s">
        <v>2361</v>
      </c>
      <c r="FK23" s="15">
        <v>70</v>
      </c>
      <c r="FL23" s="48" t="s">
        <v>2015</v>
      </c>
      <c r="FM23" s="94">
        <v>2000</v>
      </c>
      <c r="FN23" s="61"/>
      <c r="FO23" s="64"/>
      <c r="FP23" s="170" t="s">
        <v>2171</v>
      </c>
      <c r="FQ23" s="15">
        <v>12</v>
      </c>
      <c r="FR23" s="48" t="s">
        <v>2235</v>
      </c>
      <c r="FS23" s="94">
        <v>2000</v>
      </c>
      <c r="FT23" s="614" t="s">
        <v>2104</v>
      </c>
      <c r="FV23" s="170" t="s">
        <v>2171</v>
      </c>
      <c r="FW23" s="15">
        <v>12</v>
      </c>
      <c r="FX23" s="48" t="s">
        <v>1946</v>
      </c>
      <c r="FY23" s="94">
        <v>25000</v>
      </c>
      <c r="GB23" s="170" t="s">
        <v>2241</v>
      </c>
      <c r="GC23" s="15">
        <v>10.96</v>
      </c>
      <c r="GD23" s="48" t="s">
        <v>1946</v>
      </c>
      <c r="GE23" s="94">
        <v>25000</v>
      </c>
      <c r="GF23" s="15" t="s">
        <v>2176</v>
      </c>
      <c r="GG23" s="15">
        <f>990.58-1001</f>
        <v>-10.42</v>
      </c>
      <c r="GH23" s="170" t="s">
        <v>2241</v>
      </c>
      <c r="GI23" s="15">
        <v>10.96</v>
      </c>
      <c r="GJ23" s="48" t="s">
        <v>1673</v>
      </c>
      <c r="GK23" s="94">
        <v>3000</v>
      </c>
      <c r="GN23" s="170" t="s">
        <v>1636</v>
      </c>
      <c r="GO23" s="15">
        <f>15+6.5+25.7</f>
        <v>47.2</v>
      </c>
      <c r="GP23" s="48" t="s">
        <v>1544</v>
      </c>
      <c r="GQ23" s="94">
        <v>3000</v>
      </c>
      <c r="GR23" s="614" t="s">
        <v>2362</v>
      </c>
      <c r="GT23" s="170" t="s">
        <v>2101</v>
      </c>
      <c r="GU23" s="15">
        <v>64</v>
      </c>
      <c r="GV23" s="48" t="s">
        <v>2247</v>
      </c>
      <c r="GW23" s="94">
        <v>4000</v>
      </c>
      <c r="GZ23" s="170" t="s">
        <v>2363</v>
      </c>
      <c r="HA23" s="15">
        <f>10+2.2</f>
        <v>12.2</v>
      </c>
      <c r="HB23" s="48" t="s">
        <v>1544</v>
      </c>
      <c r="HC23" s="94">
        <v>3000</v>
      </c>
      <c r="HD23" s="15" t="s">
        <v>2364</v>
      </c>
      <c r="HF23" s="170" t="s">
        <v>1680</v>
      </c>
      <c r="HG23" s="15">
        <v>140.45</v>
      </c>
      <c r="HH23" s="48" t="s">
        <v>2097</v>
      </c>
      <c r="HI23" s="94">
        <v>2000</v>
      </c>
      <c r="HJ23" s="45" t="s">
        <v>2313</v>
      </c>
      <c r="HK23" s="45"/>
      <c r="HL23" s="151" t="s">
        <v>2365</v>
      </c>
      <c r="HM23" s="15">
        <v>57.3</v>
      </c>
      <c r="HN23" s="48" t="s">
        <v>1685</v>
      </c>
      <c r="HO23" s="94">
        <v>25000</v>
      </c>
      <c r="HR23" s="170" t="s">
        <v>2032</v>
      </c>
      <c r="HS23" s="198">
        <f>16.5+14.09+10+1.34+13.21+16.39+15.89+17.3</f>
        <v>104.72</v>
      </c>
      <c r="HT23" s="63" t="s">
        <v>2366</v>
      </c>
      <c r="HU23" s="15">
        <f>5002+10000+10000+5000</f>
        <v>30002</v>
      </c>
      <c r="HV23" s="45" t="s">
        <v>2313</v>
      </c>
      <c r="HW23" s="45"/>
      <c r="HX23" s="170" t="s">
        <v>2367</v>
      </c>
      <c r="HY23" s="15">
        <v>30</v>
      </c>
      <c r="HZ23" s="63" t="s">
        <v>2184</v>
      </c>
      <c r="IA23" s="43">
        <v>60000.04</v>
      </c>
      <c r="IB23" s="199"/>
      <c r="ID23" s="170" t="s">
        <v>1636</v>
      </c>
      <c r="IE23" s="15">
        <f>15+6.5</f>
        <v>21.5</v>
      </c>
      <c r="IF23" s="48" t="s">
        <v>618</v>
      </c>
      <c r="IG23" s="15">
        <v>80</v>
      </c>
      <c r="IH23" s="15" t="s">
        <v>2368</v>
      </c>
      <c r="II23" s="15">
        <f>2.74+2.52+1.19*2</f>
        <v>7.64</v>
      </c>
      <c r="IJ23" s="170" t="s">
        <v>1788</v>
      </c>
      <c r="IK23" s="198">
        <f>20.75+15.85+16.8+10+21.56+17.42+14.05+10</f>
        <v>126.43</v>
      </c>
      <c r="IL23" s="48" t="s">
        <v>2369</v>
      </c>
      <c r="IM23" s="15">
        <v>150</v>
      </c>
      <c r="IO23" s="219"/>
      <c r="IP23" s="151" t="s">
        <v>2370</v>
      </c>
      <c r="IQ23" s="41">
        <v>80</v>
      </c>
      <c r="IR23" s="69" t="s">
        <v>2319</v>
      </c>
      <c r="IS23" s="97"/>
      <c r="IT23" s="169" t="s">
        <v>1220</v>
      </c>
      <c r="IU23" s="91">
        <f>SUM(IW7:IW9)</f>
        <v>3911.02</v>
      </c>
      <c r="IV23" s="151" t="s">
        <v>2371</v>
      </c>
      <c r="IW23" s="41">
        <v>45.98</v>
      </c>
      <c r="IX23" s="69"/>
      <c r="IZ23" s="199"/>
      <c r="JB23" s="170" t="s">
        <v>1826</v>
      </c>
      <c r="JC23" s="41">
        <f>9+14.32</f>
        <v>23.32</v>
      </c>
      <c r="JD23" s="65" t="s">
        <v>2255</v>
      </c>
      <c r="JE23" s="15">
        <v>1000</v>
      </c>
      <c r="JF23" s="194"/>
      <c r="JG23" s="212"/>
      <c r="JH23" s="254" t="s">
        <v>2372</v>
      </c>
      <c r="JI23" s="101">
        <v>4.05</v>
      </c>
      <c r="JJ23" s="48" t="s">
        <v>2192</v>
      </c>
      <c r="JL23" s="194"/>
      <c r="JM23" s="212"/>
      <c r="JN23" s="151" t="s">
        <v>2373</v>
      </c>
      <c r="JO23" s="41">
        <v>50.23</v>
      </c>
      <c r="JP23" s="69" t="s">
        <v>2312</v>
      </c>
      <c r="JQ23" s="43"/>
      <c r="JS23" s="212"/>
      <c r="JT23" s="151" t="s">
        <v>2374</v>
      </c>
      <c r="JU23" s="41">
        <v>10</v>
      </c>
      <c r="JV23" s="69" t="s">
        <v>2319</v>
      </c>
      <c r="JW23" s="41"/>
      <c r="JX23" s="48" t="s">
        <v>2375</v>
      </c>
      <c r="JY23" s="38">
        <f>85.99+30.96</f>
        <v>116.95</v>
      </c>
      <c r="JZ23" s="72" t="s">
        <v>2376</v>
      </c>
      <c r="KA23" s="219">
        <v>1730.87</v>
      </c>
      <c r="KB23" s="69" t="s">
        <v>2312</v>
      </c>
      <c r="KC23" s="41"/>
      <c r="KD23" s="61" t="s">
        <v>2377</v>
      </c>
      <c r="KE23" s="15">
        <f>1660.5+1107</f>
        <v>2767.5</v>
      </c>
      <c r="KF23" s="151" t="s">
        <v>2378</v>
      </c>
      <c r="KG23" s="101">
        <v>25.9</v>
      </c>
      <c r="KH23" s="63" t="s">
        <v>1619</v>
      </c>
      <c r="KI23" s="43">
        <v>1</v>
      </c>
      <c r="KJ23" s="42" t="s">
        <v>2379</v>
      </c>
      <c r="KK23" s="212">
        <v>5.68</v>
      </c>
      <c r="KL23" s="67" t="s">
        <v>1714</v>
      </c>
      <c r="KM23" s="41">
        <f>14.32+9*2</f>
        <v>32.32</v>
      </c>
      <c r="KN23" s="61" t="s">
        <v>1554</v>
      </c>
      <c r="KO23" s="43">
        <v>2600</v>
      </c>
      <c r="KP23" s="61" t="s">
        <v>2380</v>
      </c>
      <c r="KQ23" s="186">
        <v>2597.87</v>
      </c>
      <c r="KR23" s="67" t="s">
        <v>2381</v>
      </c>
      <c r="KS23" s="44">
        <v>109.75</v>
      </c>
      <c r="KT23" s="63" t="s">
        <v>1619</v>
      </c>
      <c r="KU23" s="43">
        <v>1238</v>
      </c>
      <c r="KV23" s="61" t="s">
        <v>2327</v>
      </c>
      <c r="KW23" s="15">
        <f>5000*(1-0.9813)</f>
        <v>93.5000000000003</v>
      </c>
      <c r="KX23" s="86" t="s">
        <v>2382</v>
      </c>
      <c r="KY23" s="61">
        <f>388.8-248.41</f>
        <v>140.39</v>
      </c>
      <c r="KZ23" s="63" t="s">
        <v>1699</v>
      </c>
      <c r="LA23" s="240">
        <v>1072</v>
      </c>
      <c r="LB23" s="61" t="s">
        <v>2383</v>
      </c>
      <c r="LC23" s="15">
        <v>93</v>
      </c>
      <c r="LD23" s="72" t="s">
        <v>1369</v>
      </c>
      <c r="LE23" s="56">
        <v>135</v>
      </c>
      <c r="LF23" s="48" t="s">
        <v>2346</v>
      </c>
      <c r="LG23" s="43">
        <v>160</v>
      </c>
      <c r="LH23" s="61" t="s">
        <v>2384</v>
      </c>
      <c r="LI23" s="38">
        <v>92.25</v>
      </c>
      <c r="LJ23" s="67" t="s">
        <v>1557</v>
      </c>
      <c r="LK23" s="41">
        <v>40.95</v>
      </c>
      <c r="LL23" s="48" t="s">
        <v>2346</v>
      </c>
      <c r="LM23" s="43">
        <v>210</v>
      </c>
      <c r="LN23" s="42" t="s">
        <v>2385</v>
      </c>
      <c r="LO23" s="38">
        <f>34.36+1.52+0.5</f>
        <v>36.38</v>
      </c>
      <c r="LP23" s="67" t="s">
        <v>1557</v>
      </c>
      <c r="LQ23" s="41">
        <v>23.1</v>
      </c>
      <c r="LR23" s="63" t="s">
        <v>2328</v>
      </c>
      <c r="LS23" s="43">
        <v>10</v>
      </c>
      <c r="LT23" s="321"/>
      <c r="LU23" s="321"/>
      <c r="LV23" s="151" t="s">
        <v>2386</v>
      </c>
      <c r="LW23" s="41">
        <f>20+10+10</f>
        <v>40</v>
      </c>
      <c r="LX23" s="63" t="s">
        <v>1699</v>
      </c>
      <c r="LY23" s="240">
        <v>1567</v>
      </c>
      <c r="LZ23" s="321"/>
      <c r="MA23" s="321"/>
      <c r="MB23" s="327" t="s">
        <v>2387</v>
      </c>
      <c r="MC23" s="41">
        <v>39.4</v>
      </c>
      <c r="MD23" s="63" t="s">
        <v>1699</v>
      </c>
      <c r="ME23" s="240">
        <v>608</v>
      </c>
      <c r="MF23" s="61" t="s">
        <v>2388</v>
      </c>
      <c r="MG23" s="41">
        <v>110.7</v>
      </c>
      <c r="MH23" s="327" t="s">
        <v>2389</v>
      </c>
      <c r="MI23" s="41">
        <v>22.15</v>
      </c>
      <c r="MJ23" s="288">
        <v>192435</v>
      </c>
      <c r="MK23" s="15" t="s">
        <v>1998</v>
      </c>
      <c r="ML23" s="321"/>
      <c r="MM23" s="328"/>
      <c r="MN23" s="327" t="s">
        <v>2064</v>
      </c>
      <c r="MO23" s="41">
        <v>80</v>
      </c>
      <c r="MP23" s="288">
        <v>191589</v>
      </c>
      <c r="MQ23" s="15" t="s">
        <v>1998</v>
      </c>
      <c r="MR23" s="321" t="s">
        <v>2390</v>
      </c>
      <c r="MS23" s="328">
        <v>181.5</v>
      </c>
      <c r="MT23" s="327" t="s">
        <v>2391</v>
      </c>
      <c r="MU23" s="41">
        <v>33.33</v>
      </c>
      <c r="MV23" s="288">
        <v>193051</v>
      </c>
      <c r="MW23" s="15" t="s">
        <v>1998</v>
      </c>
      <c r="MX23" s="321" t="s">
        <v>2392</v>
      </c>
      <c r="MY23" s="328">
        <v>87.97</v>
      </c>
      <c r="MZ23" s="327" t="s">
        <v>2393</v>
      </c>
      <c r="NA23" s="41">
        <f>5.6+38.97</f>
        <v>44.57</v>
      </c>
      <c r="NB23" s="61" t="s">
        <v>2075</v>
      </c>
      <c r="NC23" s="43">
        <v>2600</v>
      </c>
      <c r="ND23" s="333"/>
      <c r="NE23" s="333"/>
      <c r="NF23" s="327" t="s">
        <v>2394</v>
      </c>
      <c r="NG23" s="57">
        <f>35.7+7.7</f>
        <v>43.4</v>
      </c>
      <c r="NH23" s="63" t="s">
        <v>2286</v>
      </c>
      <c r="NI23" s="43">
        <v>10</v>
      </c>
      <c r="NJ23" s="45" t="s">
        <v>2395</v>
      </c>
      <c r="NK23" s="315"/>
      <c r="NL23" s="58" t="s">
        <v>2396</v>
      </c>
      <c r="NM23" s="41"/>
      <c r="NN23" s="61" t="s">
        <v>2075</v>
      </c>
      <c r="NO23" s="43">
        <v>2600</v>
      </c>
      <c r="NP23" s="287"/>
      <c r="NQ23" s="287"/>
      <c r="NR23" s="327" t="s">
        <v>2397</v>
      </c>
      <c r="NS23" s="41">
        <f>34.7+18.8</f>
        <v>53.5</v>
      </c>
      <c r="NT23" s="63" t="s">
        <v>2341</v>
      </c>
      <c r="NU23" s="43">
        <v>2135</v>
      </c>
      <c r="NV23" s="287"/>
      <c r="NW23" s="287"/>
      <c r="NX23" s="343" t="s">
        <v>2398</v>
      </c>
      <c r="NY23" s="41">
        <f>5.52</f>
        <v>5.52</v>
      </c>
      <c r="NZ23" s="48" t="s">
        <v>2346</v>
      </c>
      <c r="OA23" s="43">
        <v>90</v>
      </c>
      <c r="OB23" s="42" t="s">
        <v>2399</v>
      </c>
      <c r="OD23" s="327" t="s">
        <v>2400</v>
      </c>
      <c r="OE23" s="57">
        <v>4</v>
      </c>
      <c r="OF23" s="65" t="s">
        <v>2255</v>
      </c>
      <c r="OG23" s="43">
        <v>2000</v>
      </c>
      <c r="OH23" s="347">
        <v>45656</v>
      </c>
    </row>
    <row r="24" spans="1:398">
      <c r="A24" s="61" t="s">
        <v>2287</v>
      </c>
      <c r="B24" s="61"/>
      <c r="E24" s="615" t="s">
        <v>271</v>
      </c>
      <c r="F24" s="58"/>
      <c r="G24" s="61" t="s">
        <v>2287</v>
      </c>
      <c r="H24" s="61"/>
      <c r="K24" s="66" t="s">
        <v>1609</v>
      </c>
      <c r="L24" s="61">
        <v>0</v>
      </c>
      <c r="N24" s="15"/>
      <c r="Q24" s="66" t="s">
        <v>1730</v>
      </c>
      <c r="R24" s="15">
        <v>0</v>
      </c>
      <c r="T24" s="15"/>
      <c r="W24" s="66" t="s">
        <v>2401</v>
      </c>
      <c r="X24" s="15">
        <v>910.17</v>
      </c>
      <c r="Z24" s="15"/>
      <c r="AC24" s="73" t="s">
        <v>2402</v>
      </c>
      <c r="AD24" s="15">
        <v>90</v>
      </c>
      <c r="AE24" s="61" t="s">
        <v>2287</v>
      </c>
      <c r="AF24" s="61"/>
      <c r="AI24" s="72" t="s">
        <v>2403</v>
      </c>
      <c r="AJ24" s="15">
        <v>30</v>
      </c>
      <c r="AK24" s="61" t="s">
        <v>2287</v>
      </c>
      <c r="AL24" s="61"/>
      <c r="AO24" s="66" t="s">
        <v>1609</v>
      </c>
      <c r="AP24" s="61">
        <v>0</v>
      </c>
      <c r="AQ24" s="61" t="s">
        <v>2404</v>
      </c>
      <c r="AR24" s="61"/>
      <c r="AU24" s="66" t="s">
        <v>1609</v>
      </c>
      <c r="AV24" s="61" t="s">
        <v>646</v>
      </c>
      <c r="AW24" s="61" t="s">
        <v>290</v>
      </c>
      <c r="AY24" s="66"/>
      <c r="AZ24" s="61"/>
      <c r="BE24" s="67" t="s">
        <v>2080</v>
      </c>
      <c r="BF24" s="61">
        <v>54.83</v>
      </c>
      <c r="BG24" s="61"/>
      <c r="BH24" s="61"/>
      <c r="BK24" s="89" t="s">
        <v>2405</v>
      </c>
      <c r="BL24" s="61">
        <v>48.54</v>
      </c>
      <c r="BM24" s="61"/>
      <c r="BN24" s="61"/>
      <c r="BQ24" s="89" t="s">
        <v>2080</v>
      </c>
      <c r="BR24" s="61">
        <v>50.15</v>
      </c>
      <c r="BS24" s="61" t="s">
        <v>2406</v>
      </c>
      <c r="BT24" s="61"/>
      <c r="BW24" s="89" t="s">
        <v>2080</v>
      </c>
      <c r="BX24" s="61">
        <v>48.54</v>
      </c>
      <c r="BY24" s="61"/>
      <c r="BZ24" s="61"/>
      <c r="CC24" s="89" t="s">
        <v>2080</v>
      </c>
      <c r="CD24" s="61">
        <v>142.91</v>
      </c>
      <c r="CE24" s="61"/>
      <c r="CF24" s="61"/>
      <c r="CI24" s="89" t="s">
        <v>2407</v>
      </c>
      <c r="CJ24" s="61">
        <v>35.05</v>
      </c>
      <c r="CL24" s="15"/>
      <c r="CO24" s="89" t="s">
        <v>2013</v>
      </c>
      <c r="CP24" s="61">
        <v>153.41</v>
      </c>
      <c r="CQ24" s="15" t="s">
        <v>2408</v>
      </c>
      <c r="CR24" s="15"/>
      <c r="CU24" s="89" t="s">
        <v>2351</v>
      </c>
      <c r="CV24" s="61">
        <v>32</v>
      </c>
      <c r="CW24" s="111" t="s">
        <v>2409</v>
      </c>
      <c r="CX24" s="111" t="s">
        <v>2410</v>
      </c>
      <c r="DA24" s="88" t="s">
        <v>2411</v>
      </c>
      <c r="DB24" s="61">
        <v>0</v>
      </c>
      <c r="DC24" s="111" t="s">
        <v>2350</v>
      </c>
      <c r="DD24" s="55"/>
      <c r="DE24" s="57" t="s">
        <v>2412</v>
      </c>
      <c r="DF24" s="42">
        <v>14</v>
      </c>
      <c r="DG24" s="115" t="s">
        <v>2413</v>
      </c>
      <c r="DH24" s="44">
        <v>152</v>
      </c>
      <c r="DI24" s="22" t="s">
        <v>2414</v>
      </c>
      <c r="DJ24" s="92">
        <v>40000</v>
      </c>
      <c r="DK24" s="61"/>
      <c r="DM24" s="88" t="s">
        <v>2415</v>
      </c>
      <c r="DN24" s="57">
        <v>118.12</v>
      </c>
      <c r="DO24" s="22" t="s">
        <v>2356</v>
      </c>
      <c r="DP24" s="92">
        <v>5000</v>
      </c>
      <c r="DQ24" s="61"/>
      <c r="DS24" s="88" t="s">
        <v>2416</v>
      </c>
      <c r="DT24" s="57">
        <v>10340.55</v>
      </c>
      <c r="DU24" s="22" t="s">
        <v>2356</v>
      </c>
      <c r="DV24" s="92">
        <v>5000</v>
      </c>
      <c r="DY24" s="151" t="s">
        <v>2417</v>
      </c>
      <c r="DZ24" s="15">
        <v>20.1</v>
      </c>
      <c r="EA24" s="22" t="s">
        <v>2418</v>
      </c>
      <c r="EB24" s="92">
        <v>5000</v>
      </c>
      <c r="EE24" s="155">
        <v>100</v>
      </c>
      <c r="EF24" s="135">
        <f>EB11+EE24-EI9</f>
        <v>50</v>
      </c>
      <c r="EH24" s="48" t="s">
        <v>2167</v>
      </c>
      <c r="EI24" s="94">
        <v>5000</v>
      </c>
      <c r="EL24" s="151" t="s">
        <v>2419</v>
      </c>
      <c r="EM24" s="15">
        <v>70</v>
      </c>
      <c r="EN24" s="48" t="s">
        <v>2014</v>
      </c>
      <c r="EO24" s="94">
        <v>10000</v>
      </c>
      <c r="ER24" s="151" t="s">
        <v>2420</v>
      </c>
      <c r="ES24" s="15">
        <v>0</v>
      </c>
      <c r="ET24" s="61" t="s">
        <v>2421</v>
      </c>
      <c r="EU24" s="94">
        <v>0</v>
      </c>
      <c r="EW24" s="64"/>
      <c r="EX24" s="151" t="s">
        <v>2422</v>
      </c>
      <c r="EY24" s="15">
        <v>10</v>
      </c>
      <c r="EZ24" s="48" t="s">
        <v>2300</v>
      </c>
      <c r="FA24" s="94">
        <v>1000</v>
      </c>
      <c r="FB24" s="61"/>
      <c r="FC24" s="61"/>
      <c r="FD24" s="151" t="s">
        <v>2423</v>
      </c>
      <c r="FE24" s="15">
        <f>8*2</f>
        <v>16</v>
      </c>
      <c r="FF24" s="48" t="s">
        <v>2300</v>
      </c>
      <c r="FG24" s="94">
        <v>1000</v>
      </c>
      <c r="FJ24" s="151" t="s">
        <v>2424</v>
      </c>
      <c r="FK24" s="15">
        <v>60.14</v>
      </c>
      <c r="FL24" s="48" t="s">
        <v>2235</v>
      </c>
      <c r="FM24" s="94">
        <v>2000</v>
      </c>
      <c r="FN24" s="61"/>
      <c r="FO24" s="64"/>
      <c r="FP24" s="170" t="s">
        <v>1465</v>
      </c>
      <c r="FQ24" s="15">
        <v>9</v>
      </c>
      <c r="FR24" s="48" t="s">
        <v>2300</v>
      </c>
      <c r="FS24" s="94">
        <v>3000</v>
      </c>
      <c r="FT24" s="15" t="s">
        <v>2425</v>
      </c>
      <c r="FU24" s="15">
        <v>15.001</v>
      </c>
      <c r="FV24" s="170" t="s">
        <v>2426</v>
      </c>
      <c r="FW24" s="15">
        <v>18</v>
      </c>
      <c r="FX24" s="48" t="s">
        <v>2235</v>
      </c>
      <c r="FY24" s="94">
        <v>2000</v>
      </c>
      <c r="GB24" s="170" t="s">
        <v>2427</v>
      </c>
      <c r="GC24" s="15">
        <v>64</v>
      </c>
      <c r="GD24" s="48" t="s">
        <v>2235</v>
      </c>
      <c r="GE24" s="94">
        <v>2000</v>
      </c>
      <c r="GF24" s="15" t="s">
        <v>2428</v>
      </c>
      <c r="GG24" s="15">
        <f>989.5-1001</f>
        <v>-11.5</v>
      </c>
      <c r="GH24" s="170" t="s">
        <v>2101</v>
      </c>
      <c r="GI24" s="15">
        <v>64</v>
      </c>
      <c r="GJ24" s="48" t="s">
        <v>1815</v>
      </c>
      <c r="GK24" s="94">
        <v>4000</v>
      </c>
      <c r="GN24" s="170" t="s">
        <v>2241</v>
      </c>
      <c r="GO24" s="15">
        <v>10.96</v>
      </c>
      <c r="GP24" s="48" t="s">
        <v>2247</v>
      </c>
      <c r="GQ24" s="94">
        <v>4000</v>
      </c>
      <c r="GT24" s="170" t="s">
        <v>1960</v>
      </c>
      <c r="GU24" s="15">
        <f>10+10</f>
        <v>20</v>
      </c>
      <c r="GV24" s="48" t="s">
        <v>1685</v>
      </c>
      <c r="GW24" s="94">
        <v>25000</v>
      </c>
      <c r="GZ24" s="170" t="s">
        <v>2032</v>
      </c>
      <c r="HA24" s="15">
        <f>15.19+14.56+13.54+14.83+17.61+15.15</f>
        <v>90.88</v>
      </c>
      <c r="HB24" s="48" t="s">
        <v>2247</v>
      </c>
      <c r="HC24" s="94">
        <v>4000</v>
      </c>
      <c r="HD24" s="15" t="s">
        <v>2429</v>
      </c>
      <c r="HF24" s="170" t="s">
        <v>1636</v>
      </c>
      <c r="HG24" s="15">
        <f>6.5+15+90</f>
        <v>111.5</v>
      </c>
      <c r="HH24" s="48" t="s">
        <v>2167</v>
      </c>
      <c r="HI24" s="94">
        <v>4000</v>
      </c>
      <c r="HJ24" s="167" t="s">
        <v>1220</v>
      </c>
      <c r="HK24" s="102">
        <f>SUM(HM7:HM7)</f>
        <v>1900.08</v>
      </c>
      <c r="HL24" s="15" t="s">
        <v>2430</v>
      </c>
      <c r="HM24" s="61">
        <v>130</v>
      </c>
      <c r="HN24" s="48" t="s">
        <v>2097</v>
      </c>
      <c r="HO24" s="94">
        <v>2000</v>
      </c>
      <c r="HQ24" s="189"/>
      <c r="HR24" s="151" t="s">
        <v>2431</v>
      </c>
      <c r="HS24" s="15">
        <v>20</v>
      </c>
      <c r="HT24" s="48" t="s">
        <v>1398</v>
      </c>
      <c r="HU24" s="15">
        <v>150</v>
      </c>
      <c r="HV24" s="169" t="s">
        <v>1220</v>
      </c>
      <c r="HW24" s="102">
        <f>SUM(HY8:HY8)</f>
        <v>1900.1</v>
      </c>
      <c r="HX24" s="170" t="s">
        <v>2032</v>
      </c>
      <c r="HY24" s="198">
        <f>17.86+15.16+7.54+15.3+16.45+13.02</f>
        <v>85.33</v>
      </c>
      <c r="HZ24" s="63" t="s">
        <v>2252</v>
      </c>
      <c r="IA24" s="43">
        <v>160001.65</v>
      </c>
      <c r="IB24" s="199"/>
      <c r="ID24" s="170" t="s">
        <v>1465</v>
      </c>
      <c r="IE24" s="15">
        <f>9</f>
        <v>9</v>
      </c>
      <c r="IF24" s="65" t="s">
        <v>2026</v>
      </c>
      <c r="IG24" s="15">
        <v>1002</v>
      </c>
      <c r="IJ24" s="151" t="s">
        <v>2432</v>
      </c>
      <c r="IK24" s="15">
        <v>60</v>
      </c>
      <c r="IL24" s="65" t="s">
        <v>2255</v>
      </c>
      <c r="IM24" s="15">
        <v>1004</v>
      </c>
      <c r="IO24" s="219"/>
      <c r="IP24" s="151" t="s">
        <v>2433</v>
      </c>
      <c r="IQ24" s="41">
        <v>40.5</v>
      </c>
      <c r="IR24" s="65" t="s">
        <v>2434</v>
      </c>
      <c r="IS24" s="15">
        <v>28</v>
      </c>
      <c r="IT24" s="72" t="s">
        <v>1277</v>
      </c>
      <c r="IU24" s="91">
        <f>SUM(IW14:IW14)</f>
        <v>2116.96666666667</v>
      </c>
      <c r="IV24" s="151" t="s">
        <v>2435</v>
      </c>
      <c r="IW24" s="41">
        <v>45.2</v>
      </c>
      <c r="IX24" s="69" t="s">
        <v>2436</v>
      </c>
      <c r="JB24" s="170" t="s">
        <v>2038</v>
      </c>
      <c r="JC24" s="41">
        <v>96</v>
      </c>
      <c r="JD24" s="69"/>
      <c r="JF24" s="194"/>
      <c r="JG24" s="212"/>
      <c r="JH24" s="170" t="s">
        <v>1788</v>
      </c>
      <c r="JI24" s="41">
        <f>15.55+10+15.6+17.36+16.4+10+14.01+16.99+15.65</f>
        <v>131.56</v>
      </c>
      <c r="JJ24" s="65" t="s">
        <v>2255</v>
      </c>
      <c r="JK24" s="15">
        <v>1000</v>
      </c>
      <c r="JL24" s="199"/>
      <c r="JN24" s="151" t="s">
        <v>2437</v>
      </c>
      <c r="JO24" s="41">
        <f>9+2</f>
        <v>11</v>
      </c>
      <c r="JP24" s="69" t="s">
        <v>2438</v>
      </c>
      <c r="JQ24" s="43">
        <v>14.8</v>
      </c>
      <c r="JR24" s="45" t="s">
        <v>2395</v>
      </c>
      <c r="JS24" s="45"/>
      <c r="JT24" s="151" t="s">
        <v>2439</v>
      </c>
      <c r="JU24" s="41">
        <v>48.2</v>
      </c>
      <c r="JV24" s="69" t="s">
        <v>2440</v>
      </c>
      <c r="JW24" s="41">
        <v>453.6</v>
      </c>
      <c r="JY24" s="212"/>
      <c r="JZ24" s="72" t="s">
        <v>2441</v>
      </c>
      <c r="KA24" s="219">
        <v>1713.69</v>
      </c>
      <c r="KB24" s="69" t="s">
        <v>2442</v>
      </c>
      <c r="KC24" s="41">
        <v>1.64</v>
      </c>
      <c r="KD24" s="15">
        <f>150000*(1-0.98155)</f>
        <v>2767.49999999999</v>
      </c>
      <c r="KE24" s="15" t="s">
        <v>1624</v>
      </c>
      <c r="KF24" s="151" t="s">
        <v>2443</v>
      </c>
      <c r="KG24" s="101">
        <v>63.1</v>
      </c>
      <c r="KH24" s="63" t="s">
        <v>1699</v>
      </c>
      <c r="KI24" s="240">
        <v>408</v>
      </c>
      <c r="KJ24" s="61" t="s">
        <v>2444</v>
      </c>
      <c r="KK24" s="15">
        <f>20000*(1-0.9814)</f>
        <v>371.999999999999</v>
      </c>
      <c r="KL24" s="67" t="s">
        <v>1908</v>
      </c>
      <c r="KM24" s="41">
        <v>10.8</v>
      </c>
      <c r="KN24" s="63" t="s">
        <v>1619</v>
      </c>
      <c r="KO24" s="43">
        <v>520</v>
      </c>
      <c r="KP24" s="61" t="s">
        <v>2445</v>
      </c>
      <c r="KQ24" s="186">
        <v>2650.71</v>
      </c>
      <c r="KR24" s="67" t="s">
        <v>2446</v>
      </c>
      <c r="KS24" s="44">
        <v>131.87</v>
      </c>
      <c r="KT24" s="63" t="s">
        <v>1699</v>
      </c>
      <c r="KU24" s="240">
        <v>41061</v>
      </c>
      <c r="KV24" s="61" t="s">
        <v>2447</v>
      </c>
      <c r="KW24" s="212">
        <f>5000*2*(1-0.98105)</f>
        <v>189.5</v>
      </c>
      <c r="KX24" s="72" t="s">
        <v>1979</v>
      </c>
      <c r="KY24" s="219">
        <f>1338.94-KY25</f>
        <v>1196.72</v>
      </c>
      <c r="KZ24" s="63" t="s">
        <v>2328</v>
      </c>
      <c r="LA24" s="43">
        <v>10</v>
      </c>
      <c r="LC24" s="48"/>
      <c r="LD24" s="72" t="s">
        <v>2448</v>
      </c>
      <c r="LE24" s="56">
        <v>176.86</v>
      </c>
      <c r="LF24" s="65" t="s">
        <v>2255</v>
      </c>
      <c r="LG24" s="43">
        <v>1000</v>
      </c>
      <c r="LH24" s="61"/>
      <c r="LJ24" s="67" t="s">
        <v>2449</v>
      </c>
      <c r="LK24" s="44">
        <v>152.15</v>
      </c>
      <c r="LL24" s="65" t="s">
        <v>2255</v>
      </c>
      <c r="LM24" s="43">
        <v>1000</v>
      </c>
      <c r="LN24" s="61" t="s">
        <v>2450</v>
      </c>
      <c r="LO24" s="38">
        <v>288.38</v>
      </c>
      <c r="LP24" s="67" t="s">
        <v>2451</v>
      </c>
      <c r="LQ24" s="41">
        <f>200+339</f>
        <v>539</v>
      </c>
      <c r="LR24" s="48" t="s">
        <v>2346</v>
      </c>
      <c r="LS24" s="43">
        <v>100</v>
      </c>
      <c r="LT24" s="321"/>
      <c r="LU24" s="321"/>
      <c r="LV24" s="151" t="s">
        <v>2452</v>
      </c>
      <c r="LW24" s="41">
        <v>661.57</v>
      </c>
      <c r="LX24" s="63" t="s">
        <v>2328</v>
      </c>
      <c r="LY24" s="43">
        <v>10</v>
      </c>
      <c r="LZ24" s="321"/>
      <c r="MA24" s="321"/>
      <c r="MB24" s="327" t="s">
        <v>2453</v>
      </c>
      <c r="MC24" s="41">
        <f>17.9+2.5</f>
        <v>20.4</v>
      </c>
      <c r="MD24" s="63" t="s">
        <v>2328</v>
      </c>
      <c r="ME24" s="43">
        <v>10</v>
      </c>
      <c r="MF24" s="321"/>
      <c r="MG24" s="328"/>
      <c r="MH24" s="327" t="s">
        <v>2454</v>
      </c>
      <c r="MI24" s="41">
        <v>35.82</v>
      </c>
      <c r="MJ24" s="61" t="s">
        <v>2075</v>
      </c>
      <c r="MK24" s="43">
        <v>2600</v>
      </c>
      <c r="ML24" s="321"/>
      <c r="MM24" s="328"/>
      <c r="MN24" s="327" t="s">
        <v>2455</v>
      </c>
      <c r="MO24" s="41">
        <f>48.32+7.79</f>
        <v>56.11</v>
      </c>
      <c r="MP24" s="61" t="s">
        <v>2075</v>
      </c>
      <c r="MQ24" s="43">
        <v>2600</v>
      </c>
      <c r="MR24" s="321" t="s">
        <v>2456</v>
      </c>
      <c r="MS24" s="328">
        <v>145.2</v>
      </c>
      <c r="MT24" s="327" t="s">
        <v>2457</v>
      </c>
      <c r="MU24" s="41">
        <v>17.1</v>
      </c>
      <c r="MV24" s="61" t="s">
        <v>2075</v>
      </c>
      <c r="MW24" s="43">
        <v>2600</v>
      </c>
      <c r="MX24" s="321" t="s">
        <v>2458</v>
      </c>
      <c r="MY24" s="328">
        <f>43.21+28.21+36.83</f>
        <v>108.25</v>
      </c>
      <c r="MZ24" s="327" t="s">
        <v>2459</v>
      </c>
      <c r="NA24" s="41">
        <v>8.4</v>
      </c>
      <c r="NB24" s="63" t="s">
        <v>2460</v>
      </c>
      <c r="NC24" s="43">
        <v>966</v>
      </c>
      <c r="ND24" s="321"/>
      <c r="NE24" s="328"/>
      <c r="NF24" s="327" t="s">
        <v>2461</v>
      </c>
      <c r="NG24" s="57">
        <v>72.66</v>
      </c>
      <c r="NH24" s="48" t="s">
        <v>2346</v>
      </c>
      <c r="NI24" s="43">
        <v>120</v>
      </c>
      <c r="NJ24" s="338" t="s">
        <v>1220</v>
      </c>
      <c r="NK24" s="57">
        <f>SUM(NM6:NM6)</f>
        <v>1900.1</v>
      </c>
      <c r="NL24" s="58" t="s">
        <v>2462</v>
      </c>
      <c r="NM24" s="41">
        <v>110</v>
      </c>
      <c r="NN24" s="63" t="s">
        <v>2158</v>
      </c>
      <c r="NO24" s="43">
        <v>634</v>
      </c>
      <c r="NP24" s="287"/>
      <c r="NQ24" s="287"/>
      <c r="NR24" s="327" t="s">
        <v>2463</v>
      </c>
      <c r="NS24" s="41">
        <v>6.57</v>
      </c>
      <c r="NT24" s="63" t="s">
        <v>2286</v>
      </c>
      <c r="NU24" s="43">
        <v>10</v>
      </c>
      <c r="NV24" s="287"/>
      <c r="NW24" s="287"/>
      <c r="NX24" s="343" t="s">
        <v>2464</v>
      </c>
      <c r="NY24" s="186">
        <v>7.71</v>
      </c>
      <c r="NZ24" s="65" t="s">
        <v>2255</v>
      </c>
      <c r="OA24" s="43">
        <v>2000</v>
      </c>
      <c r="OB24" s="15" t="s">
        <v>2063</v>
      </c>
      <c r="OD24" s="327" t="s">
        <v>2024</v>
      </c>
      <c r="OE24" s="57"/>
      <c r="OF24" s="215">
        <v>12016</v>
      </c>
      <c r="OG24" s="43" t="s">
        <v>2465</v>
      </c>
      <c r="OH24" s="347">
        <v>45656</v>
      </c>
    </row>
    <row r="25" spans="2:397">
      <c r="B25" s="15"/>
      <c r="E25" s="614" t="s">
        <v>386</v>
      </c>
      <c r="F25" s="53"/>
      <c r="H25" s="15"/>
      <c r="K25" s="66" t="s">
        <v>2466</v>
      </c>
      <c r="L25" s="15">
        <f>910+40</f>
        <v>950</v>
      </c>
      <c r="N25" s="15"/>
      <c r="Q25" s="66" t="s">
        <v>1798</v>
      </c>
      <c r="R25" s="15">
        <v>0</v>
      </c>
      <c r="T25" s="15"/>
      <c r="W25" s="67" t="s">
        <v>2467</v>
      </c>
      <c r="X25" s="15">
        <v>110.58</v>
      </c>
      <c r="Z25" s="15"/>
      <c r="AF25" s="15"/>
      <c r="AL25" s="15"/>
      <c r="AO25" s="67" t="s">
        <v>2468</v>
      </c>
      <c r="AP25" s="61">
        <v>33</v>
      </c>
      <c r="AR25" s="15"/>
      <c r="AU25" s="67" t="s">
        <v>2469</v>
      </c>
      <c r="AV25" s="61">
        <v>172.57</v>
      </c>
      <c r="AX25" s="15"/>
      <c r="AY25" s="67"/>
      <c r="AZ25" s="61"/>
      <c r="BB25" s="15"/>
      <c r="BE25" s="67" t="s">
        <v>1636</v>
      </c>
      <c r="BF25" s="61">
        <f>6.5*2</f>
        <v>13</v>
      </c>
      <c r="BH25" s="15"/>
      <c r="BK25" s="89" t="s">
        <v>1636</v>
      </c>
      <c r="BL25" s="61">
        <f>6.5*2</f>
        <v>13</v>
      </c>
      <c r="BN25" s="15"/>
      <c r="BQ25" s="89" t="s">
        <v>1636</v>
      </c>
      <c r="BR25" s="61">
        <v>13</v>
      </c>
      <c r="BT25" s="15"/>
      <c r="BW25" s="89" t="s">
        <v>1636</v>
      </c>
      <c r="BX25" s="61">
        <v>13</v>
      </c>
      <c r="BZ25" s="15"/>
      <c r="CC25" s="89" t="s">
        <v>1636</v>
      </c>
      <c r="CD25" s="61">
        <v>13</v>
      </c>
      <c r="CF25" s="15"/>
      <c r="CI25" s="89" t="s">
        <v>1636</v>
      </c>
      <c r="CJ25" s="61">
        <v>13</v>
      </c>
      <c r="CK25" s="614" t="s">
        <v>372</v>
      </c>
      <c r="CO25" s="89" t="s">
        <v>2294</v>
      </c>
      <c r="CP25" s="61">
        <v>53.24</v>
      </c>
      <c r="CQ25" s="69"/>
      <c r="CR25" s="69"/>
      <c r="CU25" s="89" t="s">
        <v>2288</v>
      </c>
      <c r="CV25" s="61">
        <v>100.001</v>
      </c>
      <c r="CW25" s="111" t="s">
        <v>2470</v>
      </c>
      <c r="CX25" s="111" t="s">
        <v>2471</v>
      </c>
      <c r="DA25" s="118" t="s">
        <v>2403</v>
      </c>
      <c r="DB25" s="42">
        <v>52.3</v>
      </c>
      <c r="DC25" s="111" t="s">
        <v>2472</v>
      </c>
      <c r="DD25" s="111">
        <v>81</v>
      </c>
      <c r="DG25" s="115" t="s">
        <v>2473</v>
      </c>
      <c r="DH25" s="44">
        <v>378.81</v>
      </c>
      <c r="DI25" s="22" t="s">
        <v>2474</v>
      </c>
      <c r="DJ25" s="92">
        <v>10000</v>
      </c>
      <c r="DM25" s="88" t="s">
        <v>1876</v>
      </c>
      <c r="DN25" s="57"/>
      <c r="DO25" s="22" t="s">
        <v>2418</v>
      </c>
      <c r="DP25" s="92">
        <v>5000</v>
      </c>
      <c r="DS25" s="88" t="s">
        <v>2101</v>
      </c>
      <c r="DT25" s="57">
        <v>64</v>
      </c>
      <c r="DU25" s="22" t="s">
        <v>2418</v>
      </c>
      <c r="DV25" s="92">
        <v>5000</v>
      </c>
      <c r="DY25" s="156" t="s">
        <v>2357</v>
      </c>
      <c r="DZ25" s="157"/>
      <c r="EA25" s="22" t="s">
        <v>2475</v>
      </c>
      <c r="EB25" s="92">
        <v>5000</v>
      </c>
      <c r="EE25" s="154" t="s">
        <v>2476</v>
      </c>
      <c r="EF25" s="158"/>
      <c r="EH25" s="48" t="s">
        <v>2477</v>
      </c>
      <c r="EI25" s="94">
        <v>0</v>
      </c>
      <c r="EL25" s="151" t="s">
        <v>2420</v>
      </c>
      <c r="EM25" s="15">
        <v>7</v>
      </c>
      <c r="EN25" s="48" t="s">
        <v>2477</v>
      </c>
      <c r="EO25" s="94">
        <v>0</v>
      </c>
      <c r="ER25" s="154" t="s">
        <v>2357</v>
      </c>
      <c r="ES25" s="154"/>
      <c r="ET25" s="48" t="s">
        <v>1947</v>
      </c>
      <c r="EU25" s="94">
        <v>20000</v>
      </c>
      <c r="EW25" s="64"/>
      <c r="EX25" s="151" t="s">
        <v>2478</v>
      </c>
      <c r="EY25" s="15">
        <v>40.3</v>
      </c>
      <c r="EZ25" s="48" t="s">
        <v>1882</v>
      </c>
      <c r="FA25" s="94">
        <v>10000</v>
      </c>
      <c r="FB25" s="61"/>
      <c r="FD25" s="151" t="s">
        <v>2479</v>
      </c>
      <c r="FE25" s="15">
        <v>33.9</v>
      </c>
      <c r="FF25" s="48" t="s">
        <v>1882</v>
      </c>
      <c r="FG25" s="94">
        <v>15000</v>
      </c>
      <c r="FJ25" s="151" t="s">
        <v>2480</v>
      </c>
      <c r="FK25" s="15">
        <v>7.3</v>
      </c>
      <c r="FL25" s="48" t="s">
        <v>2300</v>
      </c>
      <c r="FM25" s="94">
        <v>3000</v>
      </c>
      <c r="FN25" s="61"/>
      <c r="FO25" s="64"/>
      <c r="FP25" s="170" t="s">
        <v>2233</v>
      </c>
      <c r="FQ25" s="15">
        <f>7.74+13.99+8.86+10.74+6.17</f>
        <v>47.5</v>
      </c>
      <c r="FR25" s="48" t="s">
        <v>2300</v>
      </c>
      <c r="FS25" s="94">
        <v>1000</v>
      </c>
      <c r="FT25" s="15" t="s">
        <v>2172</v>
      </c>
      <c r="FU25" s="15">
        <f>1346.59-FU20</f>
        <v>146.59</v>
      </c>
      <c r="FV25" s="170" t="s">
        <v>2233</v>
      </c>
      <c r="FW25" s="15">
        <f>15.09+8.94+6.74+13.3+10+14.76</f>
        <v>68.83</v>
      </c>
      <c r="FX25" s="48" t="s">
        <v>2300</v>
      </c>
      <c r="FY25" s="94">
        <v>3000</v>
      </c>
      <c r="GB25" s="170" t="s">
        <v>2481</v>
      </c>
      <c r="GC25" s="15">
        <v>6</v>
      </c>
      <c r="GD25" s="48" t="s">
        <v>2300</v>
      </c>
      <c r="GE25" s="94">
        <v>3000</v>
      </c>
      <c r="GH25" s="170" t="s">
        <v>2482</v>
      </c>
      <c r="GI25" s="15">
        <v>11.24</v>
      </c>
      <c r="GJ25" s="48" t="s">
        <v>1946</v>
      </c>
      <c r="GK25" s="94">
        <v>25000</v>
      </c>
      <c r="GN25" s="170" t="s">
        <v>2101</v>
      </c>
      <c r="GO25" s="15" t="s">
        <v>2166</v>
      </c>
      <c r="GP25" s="48" t="s">
        <v>1685</v>
      </c>
      <c r="GQ25" s="94">
        <v>25000</v>
      </c>
      <c r="GT25" s="170" t="s">
        <v>2032</v>
      </c>
      <c r="GU25" s="15">
        <f>19.42+13.02+12.12+17.99+16.7+14.44</f>
        <v>93.69</v>
      </c>
      <c r="GV25" s="48" t="s">
        <v>2097</v>
      </c>
      <c r="GW25" s="94">
        <v>2000</v>
      </c>
      <c r="GX25" s="61"/>
      <c r="GZ25" s="151" t="s">
        <v>2483</v>
      </c>
      <c r="HA25" s="15">
        <f>35+4</f>
        <v>39</v>
      </c>
      <c r="HB25" s="48" t="s">
        <v>1685</v>
      </c>
      <c r="HC25" s="94">
        <v>25000</v>
      </c>
      <c r="HD25" s="15" t="s">
        <v>2484</v>
      </c>
      <c r="HF25" s="170" t="s">
        <v>2485</v>
      </c>
      <c r="HG25" s="15">
        <f>9+10.96</f>
        <v>19.96</v>
      </c>
      <c r="HH25" s="61" t="s">
        <v>1819</v>
      </c>
      <c r="HI25" s="94" t="s">
        <v>1949</v>
      </c>
      <c r="HJ25" s="177" t="s">
        <v>1277</v>
      </c>
      <c r="HK25" s="102">
        <f>SUM(HM8:HM9)</f>
        <v>2450.53333333333</v>
      </c>
      <c r="HL25" s="42" t="s">
        <v>2486</v>
      </c>
      <c r="HM25" s="42">
        <v>530</v>
      </c>
      <c r="HN25" s="48" t="s">
        <v>2167</v>
      </c>
      <c r="HO25" s="94">
        <v>4000</v>
      </c>
      <c r="HQ25" s="189"/>
      <c r="HR25" s="151" t="s">
        <v>2487</v>
      </c>
      <c r="HS25" s="15">
        <v>26.6</v>
      </c>
      <c r="HT25" s="77" t="s">
        <v>2488</v>
      </c>
      <c r="HV25" s="72" t="s">
        <v>1277</v>
      </c>
      <c r="HW25" s="102">
        <f>SUM(HY10:HY15)</f>
        <v>185426.563333333</v>
      </c>
      <c r="HX25" s="151" t="s">
        <v>2489</v>
      </c>
      <c r="HY25" s="15">
        <f>10+10</f>
        <v>20</v>
      </c>
      <c r="HZ25" s="48" t="s">
        <v>2490</v>
      </c>
      <c r="IA25" s="94">
        <v>-13000</v>
      </c>
      <c r="IB25" s="45" t="s">
        <v>2313</v>
      </c>
      <c r="IC25" s="45"/>
      <c r="ID25" s="170" t="s">
        <v>2310</v>
      </c>
      <c r="IE25" s="15">
        <v>32</v>
      </c>
      <c r="IF25" s="65" t="s">
        <v>2491</v>
      </c>
      <c r="IG25" s="15">
        <v>4</v>
      </c>
      <c r="IH25" s="15" t="s">
        <v>1829</v>
      </c>
      <c r="II25" s="219"/>
      <c r="IJ25" s="151" t="s">
        <v>2492</v>
      </c>
      <c r="IK25" s="15">
        <v>10</v>
      </c>
      <c r="IL25" s="65" t="s">
        <v>2491</v>
      </c>
      <c r="IM25" s="15">
        <v>4</v>
      </c>
      <c r="IO25" s="219"/>
      <c r="IP25" s="151" t="s">
        <v>2493</v>
      </c>
      <c r="IQ25" s="41">
        <v>88.51</v>
      </c>
      <c r="IR25" s="65" t="s">
        <v>2494</v>
      </c>
      <c r="IS25" s="15" t="s">
        <v>2495</v>
      </c>
      <c r="IT25" s="175" t="s">
        <v>1268</v>
      </c>
      <c r="IU25" s="174">
        <f>SUM(IW10:IW12)</f>
        <v>2514.06</v>
      </c>
      <c r="IV25" s="151" t="s">
        <v>2496</v>
      </c>
      <c r="IW25" s="41">
        <v>54.7</v>
      </c>
      <c r="IX25" s="69"/>
      <c r="IY25" s="69"/>
      <c r="IZ25" s="194"/>
      <c r="JA25" s="212"/>
      <c r="JB25" s="170" t="s">
        <v>1788</v>
      </c>
      <c r="JC25" s="41">
        <f>17.98+13.67+17.8+15.37+10+15+12.85</f>
        <v>102.67</v>
      </c>
      <c r="JD25" s="69"/>
      <c r="JF25" s="199"/>
      <c r="JH25" s="151" t="s">
        <v>2497</v>
      </c>
      <c r="JI25" s="41">
        <v>20</v>
      </c>
      <c r="JJ25" s="69" t="s">
        <v>2319</v>
      </c>
      <c r="JN25" s="151" t="s">
        <v>2498</v>
      </c>
      <c r="JO25" s="41">
        <v>16.1</v>
      </c>
      <c r="JP25" s="69" t="s">
        <v>2319</v>
      </c>
      <c r="JQ25" s="43"/>
      <c r="JR25" s="255" t="s">
        <v>1220</v>
      </c>
      <c r="JS25" s="91">
        <f>SUM(JU6:JU7)</f>
        <v>3900.06</v>
      </c>
      <c r="JT25" s="151" t="s">
        <v>2499</v>
      </c>
      <c r="JU25" s="41">
        <v>68.9</v>
      </c>
      <c r="JV25" s="69" t="s">
        <v>2436</v>
      </c>
      <c r="JW25" s="41"/>
      <c r="JZ25" s="170" t="s">
        <v>1557</v>
      </c>
      <c r="KA25" s="41">
        <f>69.21+73.35</f>
        <v>142.56</v>
      </c>
      <c r="KB25" s="69"/>
      <c r="KC25" s="41"/>
      <c r="KF25" s="151" t="s">
        <v>2500</v>
      </c>
      <c r="KG25" s="101">
        <v>45.74</v>
      </c>
      <c r="KH25" s="63" t="s">
        <v>1972</v>
      </c>
      <c r="KI25" s="43" t="s">
        <v>1719</v>
      </c>
      <c r="KJ25" s="61" t="s">
        <v>2501</v>
      </c>
      <c r="KK25" s="15">
        <f>20000*(1-0.97971)</f>
        <v>405.800000000001</v>
      </c>
      <c r="KL25" s="67" t="s">
        <v>1788</v>
      </c>
      <c r="KM25" s="41">
        <f>13.32+12.76+19.15+15.12+10.3+10</f>
        <v>80.65</v>
      </c>
      <c r="KN25" s="63" t="s">
        <v>1699</v>
      </c>
      <c r="KO25" s="240">
        <v>1334</v>
      </c>
      <c r="KP25" s="201">
        <f>SUM(KQ21:KQ24)</f>
        <v>9265.46</v>
      </c>
      <c r="KQ25" s="614" t="s">
        <v>2502</v>
      </c>
      <c r="KR25" s="67" t="s">
        <v>1636</v>
      </c>
      <c r="KS25" s="41">
        <f>15+6.5</f>
        <v>21.5</v>
      </c>
      <c r="KT25" s="63" t="s">
        <v>2328</v>
      </c>
      <c r="KU25" s="43">
        <v>10</v>
      </c>
      <c r="KV25" s="61"/>
      <c r="KX25" s="72" t="s">
        <v>1369</v>
      </c>
      <c r="KY25" s="80">
        <v>142.22</v>
      </c>
      <c r="KZ25" s="48" t="s">
        <v>2346</v>
      </c>
      <c r="LA25" s="43">
        <v>90</v>
      </c>
      <c r="LD25" s="67" t="s">
        <v>1557</v>
      </c>
      <c r="LE25" s="41">
        <v>72.06</v>
      </c>
      <c r="LF25" s="65" t="s">
        <v>2503</v>
      </c>
      <c r="LG25" s="43"/>
      <c r="LJ25" s="67" t="s">
        <v>2504</v>
      </c>
      <c r="LK25" s="44">
        <v>153.1</v>
      </c>
      <c r="LL25" s="69" t="s">
        <v>2436</v>
      </c>
      <c r="LM25" s="41"/>
      <c r="LN25" s="61" t="s">
        <v>2505</v>
      </c>
      <c r="LO25" s="41">
        <v>3.95</v>
      </c>
      <c r="LP25" s="67" t="s">
        <v>2506</v>
      </c>
      <c r="LQ25" s="44">
        <f>3.87</f>
        <v>3.87</v>
      </c>
      <c r="LR25" s="65" t="s">
        <v>2255</v>
      </c>
      <c r="LS25" s="43">
        <v>1000</v>
      </c>
      <c r="LT25" s="321"/>
      <c r="LU25" s="321"/>
      <c r="LV25" s="151" t="s">
        <v>2507</v>
      </c>
      <c r="LW25" s="41">
        <f>5.5+3</f>
        <v>8.5</v>
      </c>
      <c r="LX25" s="48" t="s">
        <v>2346</v>
      </c>
      <c r="LY25" s="43">
        <v>160</v>
      </c>
      <c r="LZ25" s="321"/>
      <c r="MA25" s="321"/>
      <c r="MB25" s="327" t="s">
        <v>2508</v>
      </c>
      <c r="MC25" s="41">
        <v>13.95</v>
      </c>
      <c r="MD25" s="48" t="s">
        <v>2346</v>
      </c>
      <c r="ME25" s="43">
        <v>130</v>
      </c>
      <c r="MF25" s="321"/>
      <c r="MG25" s="328"/>
      <c r="MH25" s="327" t="s">
        <v>2509</v>
      </c>
      <c r="MI25" s="41">
        <f>18.7+33.4</f>
        <v>52.1</v>
      </c>
      <c r="MJ25" s="63" t="s">
        <v>1619</v>
      </c>
      <c r="MK25" s="43">
        <v>734</v>
      </c>
      <c r="ML25" s="321"/>
      <c r="MM25" s="328"/>
      <c r="MN25" s="327" t="s">
        <v>2510</v>
      </c>
      <c r="MO25" s="41">
        <v>60.79</v>
      </c>
      <c r="MP25" s="63" t="s">
        <v>1619</v>
      </c>
      <c r="MQ25" s="43">
        <v>652</v>
      </c>
      <c r="MT25" s="327" t="s">
        <v>2340</v>
      </c>
      <c r="MU25" s="41">
        <f>38.4+22.6+34+24.9</f>
        <v>119.9</v>
      </c>
      <c r="MV25" s="63" t="s">
        <v>2460</v>
      </c>
      <c r="MW25" s="43">
        <v>615</v>
      </c>
      <c r="MX25" s="321" t="s">
        <v>2511</v>
      </c>
      <c r="MY25" s="328">
        <v>25</v>
      </c>
      <c r="MZ25" s="58" t="s">
        <v>2512</v>
      </c>
      <c r="NA25" s="41">
        <f>749.38+250.7</f>
        <v>1000.08</v>
      </c>
      <c r="NB25" s="63" t="s">
        <v>2341</v>
      </c>
      <c r="NC25" s="43">
        <v>1082</v>
      </c>
      <c r="ND25" s="45" t="s">
        <v>2395</v>
      </c>
      <c r="NE25" s="315"/>
      <c r="NF25" s="327" t="s">
        <v>2513</v>
      </c>
      <c r="NG25" s="57">
        <v>31.55</v>
      </c>
      <c r="NH25" s="48" t="s">
        <v>2514</v>
      </c>
      <c r="NI25" s="43">
        <v>1000</v>
      </c>
      <c r="NJ25" s="161" t="s">
        <v>2515</v>
      </c>
      <c r="NK25" s="57">
        <f>SUM(NM7:NM7)</f>
        <v>53.62</v>
      </c>
      <c r="NL25" s="58" t="s">
        <v>1609</v>
      </c>
      <c r="NM25" s="41">
        <v>677.2</v>
      </c>
      <c r="NN25" s="63" t="s">
        <v>2341</v>
      </c>
      <c r="NO25" s="43">
        <v>4600</v>
      </c>
      <c r="NP25" s="287"/>
      <c r="NQ25" s="287"/>
      <c r="NR25" s="327" t="s">
        <v>2516</v>
      </c>
      <c r="NS25" s="57">
        <v>39.3</v>
      </c>
      <c r="NT25" s="48" t="s">
        <v>2346</v>
      </c>
      <c r="NU25" s="43">
        <v>660</v>
      </c>
      <c r="NV25" s="287"/>
      <c r="NW25" s="287"/>
      <c r="NX25" s="343" t="s">
        <v>2517</v>
      </c>
      <c r="NY25" s="41">
        <f>8.98</f>
        <v>8.98</v>
      </c>
      <c r="NZ25" s="215">
        <v>12016</v>
      </c>
      <c r="OA25" s="43" t="s">
        <v>2465</v>
      </c>
      <c r="OB25" s="42" t="s">
        <v>2219</v>
      </c>
      <c r="OD25" s="327" t="s">
        <v>2024</v>
      </c>
      <c r="OE25" s="57"/>
      <c r="OF25" s="215"/>
      <c r="OG25" s="43" t="s">
        <v>2518</v>
      </c>
    </row>
    <row r="26" spans="2:397">
      <c r="B26" s="15"/>
      <c r="F26" s="62"/>
      <c r="H26" s="15"/>
      <c r="M26" s="614" t="s">
        <v>372</v>
      </c>
      <c r="N26" s="15"/>
      <c r="Q26" s="66" t="s">
        <v>1865</v>
      </c>
      <c r="R26" s="15">
        <v>0</v>
      </c>
      <c r="S26" s="614" t="s">
        <v>372</v>
      </c>
      <c r="T26" s="15"/>
      <c r="W26" s="67" t="s">
        <v>2080</v>
      </c>
      <c r="X26" s="15">
        <v>60.75</v>
      </c>
      <c r="Z26" s="15"/>
      <c r="AC26" s="22" t="s">
        <v>2519</v>
      </c>
      <c r="AD26" s="22"/>
      <c r="AE26" s="614" t="s">
        <v>372</v>
      </c>
      <c r="AF26" s="15"/>
      <c r="AI26" s="61" t="s">
        <v>2520</v>
      </c>
      <c r="AJ26" s="15">
        <v>210</v>
      </c>
      <c r="AK26" s="614" t="s">
        <v>372</v>
      </c>
      <c r="AL26" s="614" t="s">
        <v>372</v>
      </c>
      <c r="AO26" s="67" t="s">
        <v>2521</v>
      </c>
      <c r="AP26" s="61">
        <v>28.94</v>
      </c>
      <c r="AQ26" s="614" t="s">
        <v>372</v>
      </c>
      <c r="AR26" s="15"/>
      <c r="AU26" s="67" t="s">
        <v>2522</v>
      </c>
      <c r="AV26" s="61" t="s">
        <v>663</v>
      </c>
      <c r="AW26" s="614" t="s">
        <v>372</v>
      </c>
      <c r="AX26" s="15"/>
      <c r="AY26" s="67"/>
      <c r="AZ26" s="61"/>
      <c r="BA26" s="614" t="s">
        <v>372</v>
      </c>
      <c r="BB26" s="15"/>
      <c r="BE26" s="67" t="s">
        <v>1861</v>
      </c>
      <c r="BF26" s="61">
        <v>155.45</v>
      </c>
      <c r="BG26" s="614" t="s">
        <v>372</v>
      </c>
      <c r="BH26" s="15"/>
      <c r="BK26" s="89" t="s">
        <v>1861</v>
      </c>
      <c r="BL26" s="61">
        <v>134.08</v>
      </c>
      <c r="BM26" s="614" t="s">
        <v>372</v>
      </c>
      <c r="BN26" s="15"/>
      <c r="BQ26" s="89" t="s">
        <v>1861</v>
      </c>
      <c r="BR26" s="61">
        <v>130.34</v>
      </c>
      <c r="BS26" s="614" t="s">
        <v>372</v>
      </c>
      <c r="BW26" s="89" t="s">
        <v>1861</v>
      </c>
      <c r="BX26" s="61">
        <v>138.9</v>
      </c>
      <c r="BY26" s="614" t="s">
        <v>372</v>
      </c>
      <c r="CC26" s="89" t="s">
        <v>2013</v>
      </c>
      <c r="CD26" s="61">
        <v>138.3</v>
      </c>
      <c r="CE26" s="614" t="s">
        <v>372</v>
      </c>
      <c r="CI26" s="89" t="s">
        <v>2013</v>
      </c>
      <c r="CJ26" s="61">
        <v>137.85</v>
      </c>
      <c r="CK26" s="69" t="s">
        <v>2523</v>
      </c>
      <c r="CL26" s="57"/>
      <c r="CO26" s="89" t="s">
        <v>2351</v>
      </c>
      <c r="CP26" s="61">
        <v>64</v>
      </c>
      <c r="CQ26" s="614" t="s">
        <v>372</v>
      </c>
      <c r="CU26" s="103" t="s">
        <v>2524</v>
      </c>
      <c r="CV26" s="61">
        <f>16.33+8.5</f>
        <v>24.83</v>
      </c>
      <c r="CW26" s="111" t="s">
        <v>2525</v>
      </c>
      <c r="CX26" s="633" t="s">
        <v>2526</v>
      </c>
      <c r="DA26" s="118" t="s">
        <v>2527</v>
      </c>
      <c r="DB26" s="42">
        <v>43.31</v>
      </c>
      <c r="DC26" s="111" t="s">
        <v>2528</v>
      </c>
      <c r="DD26" s="111">
        <v>101</v>
      </c>
      <c r="DG26" s="116" t="s">
        <v>1939</v>
      </c>
      <c r="DH26" s="44">
        <f>395.9+637.65</f>
        <v>1033.55</v>
      </c>
      <c r="DI26" s="22" t="s">
        <v>2529</v>
      </c>
      <c r="DJ26" s="23" t="s">
        <v>1949</v>
      </c>
      <c r="DM26" s="88" t="s">
        <v>1636</v>
      </c>
      <c r="DN26" s="57">
        <f>13+30</f>
        <v>43</v>
      </c>
      <c r="DO26" s="22" t="s">
        <v>2475</v>
      </c>
      <c r="DP26" s="92">
        <v>5000</v>
      </c>
      <c r="DS26" s="88" t="s">
        <v>2530</v>
      </c>
      <c r="DT26" s="57">
        <v>35</v>
      </c>
      <c r="DU26" s="22" t="s">
        <v>2475</v>
      </c>
      <c r="DV26" s="92">
        <v>5000</v>
      </c>
      <c r="DY26" s="155">
        <v>100</v>
      </c>
      <c r="DZ26" s="135">
        <f>DV12+DY26-EB11</f>
        <v>140</v>
      </c>
      <c r="EA26" s="22" t="s">
        <v>2531</v>
      </c>
      <c r="EB26" s="92">
        <v>5000</v>
      </c>
      <c r="EE26" s="22" t="s">
        <v>2532</v>
      </c>
      <c r="EF26" s="22"/>
      <c r="EG26" s="164"/>
      <c r="EH26" s="77" t="s">
        <v>2533</v>
      </c>
      <c r="EI26" s="77"/>
      <c r="EL26" s="151" t="s">
        <v>2534</v>
      </c>
      <c r="EM26" s="15">
        <v>9.9</v>
      </c>
      <c r="EN26" s="77" t="s">
        <v>2533</v>
      </c>
      <c r="EO26" s="77"/>
      <c r="ER26" s="171">
        <f>200+250</f>
        <v>450</v>
      </c>
      <c r="ES26" s="172">
        <f>EO9+ER26-EU9</f>
        <v>260</v>
      </c>
      <c r="ET26" s="48" t="s">
        <v>1942</v>
      </c>
      <c r="EU26" s="94">
        <v>10000</v>
      </c>
      <c r="EX26" s="154" t="s">
        <v>2357</v>
      </c>
      <c r="EY26" s="154"/>
      <c r="EZ26" s="48" t="s">
        <v>1947</v>
      </c>
      <c r="FA26" s="94">
        <v>30000</v>
      </c>
      <c r="FD26" s="151" t="s">
        <v>2535</v>
      </c>
      <c r="FE26" s="15">
        <v>57.12</v>
      </c>
      <c r="FF26" s="48" t="s">
        <v>1947</v>
      </c>
      <c r="FG26" s="94">
        <v>30000</v>
      </c>
      <c r="FJ26" s="151" t="s">
        <v>2536</v>
      </c>
      <c r="FK26" s="15">
        <f>40.89-20</f>
        <v>20.89</v>
      </c>
      <c r="FL26" s="48" t="s">
        <v>2300</v>
      </c>
      <c r="FM26" s="94">
        <v>1000</v>
      </c>
      <c r="FN26" s="61"/>
      <c r="FO26" s="61"/>
      <c r="FP26" s="151" t="s">
        <v>2537</v>
      </c>
      <c r="FQ26" s="15">
        <v>49.7</v>
      </c>
      <c r="FR26" s="48" t="s">
        <v>1947</v>
      </c>
      <c r="FS26" s="94">
        <v>10000</v>
      </c>
      <c r="FT26" s="614" t="s">
        <v>2240</v>
      </c>
      <c r="FU26" s="15">
        <f>242.32-FU21</f>
        <v>42.32</v>
      </c>
      <c r="FV26" s="151" t="s">
        <v>2370</v>
      </c>
      <c r="FW26" s="15">
        <v>70</v>
      </c>
      <c r="FX26" s="48" t="s">
        <v>2300</v>
      </c>
      <c r="FY26" s="94">
        <v>1000</v>
      </c>
      <c r="FZ26" s="61"/>
      <c r="GB26" s="170" t="s">
        <v>2426</v>
      </c>
      <c r="GC26" s="15">
        <v>9</v>
      </c>
      <c r="GD26" s="48" t="s">
        <v>2300</v>
      </c>
      <c r="GE26" s="94">
        <v>1000</v>
      </c>
      <c r="GH26" s="170" t="s">
        <v>2426</v>
      </c>
      <c r="GI26" s="15">
        <v>9</v>
      </c>
      <c r="GJ26" s="48" t="s">
        <v>2235</v>
      </c>
      <c r="GK26" s="94">
        <v>2000</v>
      </c>
      <c r="GL26" s="61"/>
      <c r="GN26" s="170" t="s">
        <v>2426</v>
      </c>
      <c r="GO26" s="15">
        <v>9</v>
      </c>
      <c r="GP26" s="48" t="s">
        <v>2097</v>
      </c>
      <c r="GQ26" s="94">
        <v>2000</v>
      </c>
      <c r="GT26" s="151" t="s">
        <v>2538</v>
      </c>
      <c r="GU26" s="15">
        <v>8</v>
      </c>
      <c r="GV26" s="48" t="s">
        <v>2167</v>
      </c>
      <c r="GW26" s="94">
        <v>4000</v>
      </c>
      <c r="GX26" s="48"/>
      <c r="GY26" s="64"/>
      <c r="GZ26" s="151" t="s">
        <v>2539</v>
      </c>
      <c r="HA26" s="15">
        <v>20</v>
      </c>
      <c r="HB26" s="48" t="s">
        <v>2097</v>
      </c>
      <c r="HC26" s="94">
        <v>2000</v>
      </c>
      <c r="HD26" s="69"/>
      <c r="HF26" s="170" t="s">
        <v>2101</v>
      </c>
      <c r="HG26" s="15">
        <v>64</v>
      </c>
      <c r="HH26" s="77" t="s">
        <v>2533</v>
      </c>
      <c r="HI26" s="97"/>
      <c r="HJ26" s="160" t="s">
        <v>1268</v>
      </c>
      <c r="HK26" s="15">
        <v>0</v>
      </c>
      <c r="HL26" s="202">
        <v>32.77</v>
      </c>
      <c r="HM26" s="42" t="s">
        <v>2540</v>
      </c>
      <c r="HN26" s="77" t="s">
        <v>2533</v>
      </c>
      <c r="HO26" s="97"/>
      <c r="HP26" s="45" t="s">
        <v>2313</v>
      </c>
      <c r="HQ26" s="45"/>
      <c r="HR26" s="151" t="s">
        <v>2541</v>
      </c>
      <c r="HS26" s="15">
        <v>10</v>
      </c>
      <c r="HT26" s="65" t="s">
        <v>2491</v>
      </c>
      <c r="HU26" s="15">
        <v>4</v>
      </c>
      <c r="HV26" s="163" t="s">
        <v>2542</v>
      </c>
      <c r="HW26" s="15">
        <f>SUM(HY9:HY9)</f>
        <v>535</v>
      </c>
      <c r="HX26" s="151" t="s">
        <v>2543</v>
      </c>
      <c r="HY26" s="15">
        <v>46.73</v>
      </c>
      <c r="HZ26" s="48" t="s">
        <v>1162</v>
      </c>
      <c r="IA26" s="94">
        <v>-70000</v>
      </c>
      <c r="IB26" s="169" t="s">
        <v>1220</v>
      </c>
      <c r="IC26" s="102">
        <f>SUM(IE7:IE7)</f>
        <v>1900.11</v>
      </c>
      <c r="ID26" s="170" t="s">
        <v>1788</v>
      </c>
      <c r="IE26" s="198">
        <f>11.74+10+9.21+17.04+10+12.34+15.71+10+15.63+10</f>
        <v>121.67</v>
      </c>
      <c r="IF26" s="61" t="s">
        <v>2544</v>
      </c>
      <c r="IG26" s="94"/>
      <c r="IH26" s="199" t="s">
        <v>2545</v>
      </c>
      <c r="II26" s="212">
        <v>19.45</v>
      </c>
      <c r="IJ26" s="151" t="s">
        <v>2546</v>
      </c>
      <c r="IK26" s="15">
        <f>91.7+12</f>
        <v>103.7</v>
      </c>
      <c r="IL26" s="69" t="s">
        <v>2547</v>
      </c>
      <c r="IM26" s="97"/>
      <c r="IN26" s="199"/>
      <c r="IO26" s="212"/>
      <c r="IP26" s="243" t="s">
        <v>2548</v>
      </c>
      <c r="IQ26" s="41">
        <v>58.4</v>
      </c>
      <c r="IR26" s="69" t="s">
        <v>2549</v>
      </c>
      <c r="IS26" s="15">
        <v>1000</v>
      </c>
      <c r="IT26" s="163" t="s">
        <v>2542</v>
      </c>
      <c r="IU26" s="174">
        <f>SUM(IW13:IW13)</f>
        <v>170</v>
      </c>
      <c r="IV26" s="15" t="s">
        <v>2550</v>
      </c>
      <c r="IW26" s="57">
        <f>2+59+11+23</f>
        <v>95</v>
      </c>
      <c r="IX26" s="69"/>
      <c r="IZ26" s="194"/>
      <c r="JA26" s="212"/>
      <c r="JB26" s="151" t="s">
        <v>2551</v>
      </c>
      <c r="JC26" s="41">
        <v>10</v>
      </c>
      <c r="JD26" s="65"/>
      <c r="JH26" s="151" t="s">
        <v>2552</v>
      </c>
      <c r="JI26" s="41">
        <v>30</v>
      </c>
      <c r="JJ26" s="69" t="s">
        <v>2436</v>
      </c>
      <c r="JL26" s="45" t="s">
        <v>2395</v>
      </c>
      <c r="JM26" s="45"/>
      <c r="JN26" s="151" t="s">
        <v>2553</v>
      </c>
      <c r="JO26" s="101">
        <v>42.9</v>
      </c>
      <c r="JP26" s="69" t="s">
        <v>2554</v>
      </c>
      <c r="JQ26" s="43">
        <v>15</v>
      </c>
      <c r="JR26" s="177" t="s">
        <v>2555</v>
      </c>
      <c r="JS26" s="91">
        <f>SUM(JU11:JU13)</f>
        <v>5390.236</v>
      </c>
      <c r="JT26" s="151" t="s">
        <v>2556</v>
      </c>
      <c r="JU26" s="41">
        <v>41.5</v>
      </c>
      <c r="JV26" s="69"/>
      <c r="JW26" s="41"/>
      <c r="JZ26" s="170" t="s">
        <v>2557</v>
      </c>
      <c r="KA26" s="41">
        <v>219</v>
      </c>
      <c r="KB26" s="69" t="s">
        <v>2436</v>
      </c>
      <c r="KC26" s="41"/>
      <c r="KF26" s="151" t="s">
        <v>2558</v>
      </c>
      <c r="KG26" s="101">
        <v>21.12</v>
      </c>
      <c r="KH26" s="63" t="s">
        <v>2045</v>
      </c>
      <c r="KI26" s="43">
        <v>15</v>
      </c>
      <c r="KL26" s="151" t="s">
        <v>2559</v>
      </c>
      <c r="KM26" s="41">
        <f>80+115</f>
        <v>195</v>
      </c>
      <c r="KN26" s="77" t="s">
        <v>2560</v>
      </c>
      <c r="KO26" s="240"/>
      <c r="KQ26" s="48"/>
      <c r="KR26" s="67" t="s">
        <v>1714</v>
      </c>
      <c r="KS26" s="41">
        <f>14.32+9+9</f>
        <v>32.32</v>
      </c>
      <c r="KT26" s="48" t="s">
        <v>2346</v>
      </c>
      <c r="KU26" s="43">
        <v>100</v>
      </c>
      <c r="KV26" s="61"/>
      <c r="KX26" s="72" t="s">
        <v>2329</v>
      </c>
      <c r="KY26" s="56">
        <v>176.15</v>
      </c>
      <c r="KZ26" s="65" t="s">
        <v>2255</v>
      </c>
      <c r="LA26" s="43">
        <v>1000</v>
      </c>
      <c r="LD26" s="67" t="s">
        <v>2561</v>
      </c>
      <c r="LE26" s="41">
        <v>30</v>
      </c>
      <c r="LF26" s="69" t="s">
        <v>2319</v>
      </c>
      <c r="LG26" s="41"/>
      <c r="LJ26" s="67" t="s">
        <v>1714</v>
      </c>
      <c r="LK26" s="41">
        <f>13.57+9*2</f>
        <v>31.57</v>
      </c>
      <c r="LL26" s="65"/>
      <c r="LM26" s="43"/>
      <c r="LN26" s="61" t="s">
        <v>2562</v>
      </c>
      <c r="LO26" s="41">
        <v>91.25</v>
      </c>
      <c r="LP26" s="67" t="s">
        <v>1636</v>
      </c>
      <c r="LQ26" s="41">
        <v>10</v>
      </c>
      <c r="LR26" s="69" t="s">
        <v>2436</v>
      </c>
      <c r="LS26" s="41"/>
      <c r="LT26" s="321"/>
      <c r="LU26" s="321"/>
      <c r="LV26" s="151" t="s">
        <v>2563</v>
      </c>
      <c r="LW26" s="41">
        <v>80</v>
      </c>
      <c r="LX26" s="65" t="s">
        <v>2255</v>
      </c>
      <c r="LY26" s="43">
        <v>1000</v>
      </c>
      <c r="LZ26" s="321"/>
      <c r="MA26" s="321"/>
      <c r="MB26" s="327" t="s">
        <v>2564</v>
      </c>
      <c r="MC26" s="41">
        <v>45.4</v>
      </c>
      <c r="MD26" s="65" t="s">
        <v>2255</v>
      </c>
      <c r="ME26" s="43">
        <v>1000</v>
      </c>
      <c r="MF26" s="321"/>
      <c r="MG26" s="328"/>
      <c r="MH26" s="327" t="s">
        <v>2565</v>
      </c>
      <c r="MI26" s="41">
        <v>38.97</v>
      </c>
      <c r="MJ26" s="63" t="s">
        <v>1699</v>
      </c>
      <c r="MK26" s="240">
        <v>1255</v>
      </c>
      <c r="ML26" s="321"/>
      <c r="MM26" s="328"/>
      <c r="MN26" s="327" t="s">
        <v>2566</v>
      </c>
      <c r="MO26" s="41">
        <v>48.8</v>
      </c>
      <c r="MP26" s="63" t="s">
        <v>1699</v>
      </c>
      <c r="MQ26" s="43">
        <v>1107</v>
      </c>
      <c r="MT26" s="327" t="s">
        <v>2567</v>
      </c>
      <c r="MU26" s="41">
        <v>73.86</v>
      </c>
      <c r="MV26" s="63" t="s">
        <v>2341</v>
      </c>
      <c r="MW26" s="43">
        <v>1100</v>
      </c>
      <c r="MX26" s="61"/>
      <c r="MY26" s="38"/>
      <c r="MZ26" s="58" t="s">
        <v>1609</v>
      </c>
      <c r="NA26" s="41">
        <v>588.6</v>
      </c>
      <c r="NB26" s="63" t="s">
        <v>2286</v>
      </c>
      <c r="NC26" s="43">
        <v>10</v>
      </c>
      <c r="ND26" s="329" t="s">
        <v>1220</v>
      </c>
      <c r="NE26" s="91">
        <f>SUM(NG6:NG6)</f>
        <v>5000</v>
      </c>
      <c r="NF26" s="327" t="s">
        <v>2568</v>
      </c>
      <c r="NG26" s="57">
        <v>117</v>
      </c>
      <c r="NH26" s="65" t="s">
        <v>2255</v>
      </c>
      <c r="NI26" s="43">
        <v>2000</v>
      </c>
      <c r="NJ26" s="42" t="s">
        <v>2569</v>
      </c>
      <c r="NK26" s="41">
        <f>SUM(NM8:NM8)</f>
        <v>17.05</v>
      </c>
      <c r="NL26" s="58" t="s">
        <v>2570</v>
      </c>
      <c r="NM26" s="41">
        <v>29.9</v>
      </c>
      <c r="NN26" s="63" t="s">
        <v>2286</v>
      </c>
      <c r="NO26" s="43">
        <v>10</v>
      </c>
      <c r="NP26" s="287"/>
      <c r="NQ26" s="287"/>
      <c r="NR26" s="327" t="s">
        <v>2571</v>
      </c>
      <c r="NS26" s="57">
        <v>6.86</v>
      </c>
      <c r="NT26" s="65" t="s">
        <v>2255</v>
      </c>
      <c r="NU26" s="43">
        <v>2000</v>
      </c>
      <c r="NV26" s="287"/>
      <c r="NW26" s="287"/>
      <c r="NX26" s="343" t="s">
        <v>2572</v>
      </c>
      <c r="NY26" s="41">
        <v>5</v>
      </c>
      <c r="NZ26" s="215"/>
      <c r="OA26" s="43" t="s">
        <v>2518</v>
      </c>
      <c r="OB26" s="287" t="s">
        <v>1707</v>
      </c>
      <c r="OC26" s="287"/>
      <c r="OD26" s="327" t="s">
        <v>2024</v>
      </c>
      <c r="OE26" s="57"/>
      <c r="OF26" s="69" t="s">
        <v>2436</v>
      </c>
      <c r="OG26" s="43"/>
    </row>
    <row r="27" ht="12.75" customHeight="1" spans="2:397">
      <c r="B27" s="15"/>
      <c r="E27" s="617" t="s">
        <v>418</v>
      </c>
      <c r="F27" s="62"/>
      <c r="H27" s="15"/>
      <c r="K27" s="67" t="s">
        <v>2573</v>
      </c>
      <c r="L27" s="15">
        <f>60</f>
        <v>60</v>
      </c>
      <c r="M27" s="614" t="s">
        <v>2574</v>
      </c>
      <c r="N27" s="15"/>
      <c r="Q27" s="66" t="s">
        <v>2575</v>
      </c>
      <c r="R27" s="61">
        <v>200</v>
      </c>
      <c r="S27" s="614" t="s">
        <v>2574</v>
      </c>
      <c r="T27" s="15"/>
      <c r="W27" s="67" t="s">
        <v>1861</v>
      </c>
      <c r="X27" s="15">
        <v>61.35</v>
      </c>
      <c r="Y27" s="614" t="s">
        <v>372</v>
      </c>
      <c r="Z27" s="15"/>
      <c r="AC27" s="22" t="s">
        <v>2576</v>
      </c>
      <c r="AD27" s="22">
        <f>53+207+63</f>
        <v>323</v>
      </c>
      <c r="AE27" s="614" t="s">
        <v>2574</v>
      </c>
      <c r="AF27" s="15"/>
      <c r="AI27" s="15" t="s">
        <v>2577</v>
      </c>
      <c r="AJ27" s="15">
        <f>299+19</f>
        <v>318</v>
      </c>
      <c r="AK27" s="614" t="s">
        <v>2574</v>
      </c>
      <c r="AL27" s="614" t="s">
        <v>2574</v>
      </c>
      <c r="AO27" s="67" t="s">
        <v>2578</v>
      </c>
      <c r="AP27" s="61">
        <v>43.86</v>
      </c>
      <c r="AQ27" s="614" t="s">
        <v>2574</v>
      </c>
      <c r="AR27" s="15"/>
      <c r="AU27" s="67" t="s">
        <v>2579</v>
      </c>
      <c r="AV27" s="61">
        <f>13+13</f>
        <v>26</v>
      </c>
      <c r="AW27" s="614" t="s">
        <v>2574</v>
      </c>
      <c r="AX27" s="15"/>
      <c r="AY27" s="67"/>
      <c r="AZ27" s="61"/>
      <c r="BA27" s="614" t="s">
        <v>2574</v>
      </c>
      <c r="BB27" s="15"/>
      <c r="BE27" s="67" t="s">
        <v>2580</v>
      </c>
      <c r="BF27" s="61" t="s">
        <v>663</v>
      </c>
      <c r="BG27" s="614" t="s">
        <v>2574</v>
      </c>
      <c r="BH27" s="15"/>
      <c r="BK27" s="89" t="s">
        <v>2580</v>
      </c>
      <c r="BL27" s="61">
        <v>11</v>
      </c>
      <c r="BM27" s="614" t="s">
        <v>2574</v>
      </c>
      <c r="BN27" s="15"/>
      <c r="BQ27" s="89" t="s">
        <v>2581</v>
      </c>
      <c r="BR27" s="61">
        <v>11</v>
      </c>
      <c r="BS27" s="614" t="s">
        <v>2574</v>
      </c>
      <c r="BW27" s="89" t="s">
        <v>2582</v>
      </c>
      <c r="BX27" s="61">
        <v>11</v>
      </c>
      <c r="BY27" s="614" t="s">
        <v>2574</v>
      </c>
      <c r="CC27" s="89" t="s">
        <v>2580</v>
      </c>
      <c r="CD27" s="61">
        <v>11</v>
      </c>
      <c r="CE27" s="614" t="s">
        <v>2574</v>
      </c>
      <c r="CI27" s="89" t="s">
        <v>2583</v>
      </c>
      <c r="CJ27" s="61">
        <v>53.24</v>
      </c>
      <c r="CK27" s="614" t="s">
        <v>2574</v>
      </c>
      <c r="CO27" s="89" t="s">
        <v>2288</v>
      </c>
      <c r="CP27" s="61">
        <v>100.001</v>
      </c>
      <c r="CQ27" s="614" t="s">
        <v>2574</v>
      </c>
      <c r="CU27" s="103" t="s">
        <v>2584</v>
      </c>
      <c r="CV27" s="42">
        <f>72+11+5.8</f>
        <v>88.8</v>
      </c>
      <c r="CW27" s="111" t="s">
        <v>2585</v>
      </c>
      <c r="CX27" s="633" t="s">
        <v>2586</v>
      </c>
      <c r="DA27" s="118" t="s">
        <v>2587</v>
      </c>
      <c r="DB27" s="61">
        <v>60</v>
      </c>
      <c r="DC27" s="111"/>
      <c r="DD27" s="112"/>
      <c r="DE27" s="42" t="s">
        <v>2588</v>
      </c>
      <c r="DG27" s="116" t="s">
        <v>2025</v>
      </c>
      <c r="DH27" s="119">
        <v>13.57</v>
      </c>
      <c r="DI27" s="22" t="s">
        <v>2589</v>
      </c>
      <c r="DJ27" s="23" t="s">
        <v>1949</v>
      </c>
      <c r="DM27" s="88" t="s">
        <v>2013</v>
      </c>
      <c r="DN27" s="57">
        <v>134.45</v>
      </c>
      <c r="DO27" s="22" t="s">
        <v>2531</v>
      </c>
      <c r="DP27" s="92">
        <v>5000</v>
      </c>
      <c r="DS27" s="88" t="s">
        <v>2233</v>
      </c>
      <c r="DT27" s="57">
        <f>12.32+17.25+(1.31*2)+9.98+13.82+14.98+2.1+2.02</f>
        <v>75.09</v>
      </c>
      <c r="DU27" s="22" t="s">
        <v>2531</v>
      </c>
      <c r="DV27" s="92">
        <v>5000</v>
      </c>
      <c r="DY27" s="154" t="s">
        <v>2590</v>
      </c>
      <c r="DZ27" s="158"/>
      <c r="EA27" s="22" t="s">
        <v>2591</v>
      </c>
      <c r="EB27" s="23" t="s">
        <v>646</v>
      </c>
      <c r="EE27" s="22" t="s">
        <v>2592</v>
      </c>
      <c r="EF27" s="22"/>
      <c r="EG27" s="165"/>
      <c r="EH27" s="48"/>
      <c r="EI27" s="48"/>
      <c r="EL27" s="151" t="s">
        <v>2593</v>
      </c>
      <c r="EM27" s="15">
        <v>64.85</v>
      </c>
      <c r="EN27" s="69" t="s">
        <v>2594</v>
      </c>
      <c r="EO27" s="102">
        <v>807.9</v>
      </c>
      <c r="ER27" s="158" t="s">
        <v>2595</v>
      </c>
      <c r="ES27" s="158"/>
      <c r="ET27" s="48" t="s">
        <v>2014</v>
      </c>
      <c r="EU27" s="94">
        <v>10000</v>
      </c>
      <c r="EX27" s="171">
        <v>200</v>
      </c>
      <c r="EY27" s="172">
        <f>EU9+EW13+EX27-FA9</f>
        <v>291.6</v>
      </c>
      <c r="EZ27" s="48" t="s">
        <v>1942</v>
      </c>
      <c r="FA27" s="94">
        <v>11010</v>
      </c>
      <c r="FD27" s="154" t="s">
        <v>2596</v>
      </c>
      <c r="FE27" s="154"/>
      <c r="FF27" s="48" t="s">
        <v>1942</v>
      </c>
      <c r="FG27" s="94">
        <v>11010</v>
      </c>
      <c r="FJ27" s="151" t="s">
        <v>2597</v>
      </c>
      <c r="FK27" s="15">
        <v>8</v>
      </c>
      <c r="FL27" s="61" t="s">
        <v>2598</v>
      </c>
      <c r="FM27" s="94" t="s">
        <v>1949</v>
      </c>
      <c r="FN27" s="61"/>
      <c r="FP27" s="151" t="s">
        <v>2599</v>
      </c>
      <c r="FQ27" s="15">
        <v>17.4</v>
      </c>
      <c r="FR27" s="48" t="s">
        <v>1942</v>
      </c>
      <c r="FS27" s="94">
        <v>1010</v>
      </c>
      <c r="FT27" s="15" t="s">
        <v>2302</v>
      </c>
      <c r="FU27" s="15">
        <f>1227.41-FU22</f>
        <v>33.5500000000002</v>
      </c>
      <c r="FV27" s="151" t="s">
        <v>2403</v>
      </c>
      <c r="FW27" s="15">
        <v>49.8</v>
      </c>
      <c r="FX27" s="61" t="s">
        <v>1819</v>
      </c>
      <c r="FY27" s="94">
        <v>100</v>
      </c>
      <c r="FZ27" s="48"/>
      <c r="GA27" s="64"/>
      <c r="GB27" s="170" t="s">
        <v>2233</v>
      </c>
      <c r="GC27" s="15">
        <f>16.06+16.53+14.35+15.3+15.91+1.41+13.3</f>
        <v>92.86</v>
      </c>
      <c r="GD27" s="61" t="s">
        <v>1819</v>
      </c>
      <c r="GE27" s="94">
        <v>200</v>
      </c>
      <c r="GH27" s="170" t="s">
        <v>1960</v>
      </c>
      <c r="GI27" s="15">
        <v>20</v>
      </c>
      <c r="GJ27" s="48" t="s">
        <v>2300</v>
      </c>
      <c r="GK27" s="94">
        <v>4000</v>
      </c>
      <c r="GL27" s="48"/>
      <c r="GM27" s="64"/>
      <c r="GN27" s="170" t="s">
        <v>2600</v>
      </c>
      <c r="GO27" s="15">
        <f>20+40+10+10</f>
        <v>80</v>
      </c>
      <c r="GP27" s="48" t="s">
        <v>2167</v>
      </c>
      <c r="GQ27" s="94">
        <v>4000</v>
      </c>
      <c r="GT27" s="151" t="s">
        <v>2601</v>
      </c>
      <c r="GU27" s="15">
        <f>15.74+43.21</f>
        <v>58.95</v>
      </c>
      <c r="GV27" s="61" t="s">
        <v>1819</v>
      </c>
      <c r="GW27" s="94">
        <v>300</v>
      </c>
      <c r="GZ27" s="151" t="s">
        <v>2602</v>
      </c>
      <c r="HA27" s="15">
        <v>20</v>
      </c>
      <c r="HB27" s="48" t="s">
        <v>2167</v>
      </c>
      <c r="HC27" s="94">
        <v>4000</v>
      </c>
      <c r="HD27" s="69"/>
      <c r="HE27" s="64"/>
      <c r="HF27" s="170" t="s">
        <v>2032</v>
      </c>
      <c r="HG27" s="15">
        <f>12.57+14.64+15.52+10+15.22+15.49+15.3</f>
        <v>98.74</v>
      </c>
      <c r="HH27" s="69" t="s">
        <v>2603</v>
      </c>
      <c r="HI27" s="101">
        <v>74.9</v>
      </c>
      <c r="HJ27" s="161" t="s">
        <v>2542</v>
      </c>
      <c r="HK27" s="15">
        <v>0</v>
      </c>
      <c r="HL27" s="178" t="s">
        <v>2604</v>
      </c>
      <c r="HM27" s="203">
        <f>HI16+HK31-HO18</f>
        <v>240</v>
      </c>
      <c r="HN27" s="188" t="s">
        <v>2605</v>
      </c>
      <c r="HO27" s="97">
        <v>21</v>
      </c>
      <c r="HP27" s="169" t="s">
        <v>1220</v>
      </c>
      <c r="HQ27" s="102">
        <f>SUM(HS6:HS6)</f>
        <v>1900.09</v>
      </c>
      <c r="HR27" s="151" t="s">
        <v>2606</v>
      </c>
      <c r="HS27" s="15">
        <v>10</v>
      </c>
      <c r="HT27" s="65" t="s">
        <v>2026</v>
      </c>
      <c r="HU27" s="15">
        <v>1000</v>
      </c>
      <c r="HV27" s="170" t="s">
        <v>2607</v>
      </c>
      <c r="HW27" s="198">
        <f>SUM(HY16:HY24)</f>
        <v>1033.91666666667</v>
      </c>
      <c r="HX27" s="151" t="s">
        <v>2608</v>
      </c>
      <c r="HY27" s="15">
        <f>32.37+27.07</f>
        <v>59.44</v>
      </c>
      <c r="HZ27" s="65" t="s">
        <v>2609</v>
      </c>
      <c r="IA27" s="91">
        <v>0</v>
      </c>
      <c r="IB27" s="72" t="s">
        <v>1277</v>
      </c>
      <c r="IC27" s="102">
        <f>SUM(IE10:IE17)</f>
        <v>51233.7466666667</v>
      </c>
      <c r="ID27" s="151" t="s">
        <v>2610</v>
      </c>
      <c r="IE27" s="15">
        <v>30</v>
      </c>
      <c r="IF27" s="69" t="s">
        <v>2611</v>
      </c>
      <c r="IG27" s="97">
        <v>127</v>
      </c>
      <c r="IH27" s="199" t="s">
        <v>2612</v>
      </c>
      <c r="II27" s="212">
        <v>19.45</v>
      </c>
      <c r="IJ27" s="151" t="s">
        <v>2613</v>
      </c>
      <c r="IK27" s="15">
        <v>6.8</v>
      </c>
      <c r="IL27" s="69" t="s">
        <v>2614</v>
      </c>
      <c r="IM27" s="15">
        <v>41</v>
      </c>
      <c r="IN27" s="199"/>
      <c r="IO27" s="212"/>
      <c r="IP27" s="151" t="s">
        <v>2615</v>
      </c>
      <c r="IQ27" s="41">
        <v>23.42</v>
      </c>
      <c r="IR27" s="69" t="s">
        <v>2616</v>
      </c>
      <c r="IS27" s="41">
        <v>260</v>
      </c>
      <c r="IT27" s="170" t="s">
        <v>2607</v>
      </c>
      <c r="IU27" s="174">
        <f>SUM(IW15:IW20)</f>
        <v>1471.31333333333</v>
      </c>
      <c r="IV27" s="42" t="s">
        <v>2486</v>
      </c>
      <c r="IW27" s="44">
        <f>70+106+167+164+22.7</f>
        <v>529.7</v>
      </c>
      <c r="IX27" s="69"/>
      <c r="IZ27" s="199"/>
      <c r="JB27" s="151" t="s">
        <v>2617</v>
      </c>
      <c r="JC27" s="41">
        <v>7</v>
      </c>
      <c r="JD27" s="65"/>
      <c r="JF27" s="45" t="s">
        <v>2618</v>
      </c>
      <c r="JG27" s="45"/>
      <c r="JH27" s="151" t="s">
        <v>2619</v>
      </c>
      <c r="JI27" s="41">
        <f>55.72+65.82</f>
        <v>121.54</v>
      </c>
      <c r="JJ27" s="69" t="s">
        <v>2620</v>
      </c>
      <c r="JK27" s="15">
        <v>59.4</v>
      </c>
      <c r="JL27" s="71" t="s">
        <v>1220</v>
      </c>
      <c r="JM27" s="91">
        <f>SUM(JO6:JO7)</f>
        <v>2900.12</v>
      </c>
      <c r="JN27" s="151" t="s">
        <v>2621</v>
      </c>
      <c r="JO27" s="101">
        <v>131</v>
      </c>
      <c r="JP27" s="69" t="s">
        <v>2436</v>
      </c>
      <c r="JQ27" s="43"/>
      <c r="JR27" s="160" t="s">
        <v>1268</v>
      </c>
      <c r="JS27" s="43">
        <f>SUM(JU8:JU8)</f>
        <v>1476</v>
      </c>
      <c r="JT27" s="151" t="s">
        <v>2622</v>
      </c>
      <c r="JU27" s="101">
        <v>11</v>
      </c>
      <c r="JV27" s="69"/>
      <c r="JW27" s="41"/>
      <c r="JZ27" s="170" t="s">
        <v>2043</v>
      </c>
      <c r="KA27" s="41">
        <v>30</v>
      </c>
      <c r="KB27" s="69"/>
      <c r="KC27" s="69"/>
      <c r="KF27" s="42" t="s">
        <v>2623</v>
      </c>
      <c r="KG27" s="44">
        <f>341+171</f>
        <v>512</v>
      </c>
      <c r="KH27" s="48" t="s">
        <v>2127</v>
      </c>
      <c r="KI27" s="43">
        <v>130</v>
      </c>
      <c r="KK27" s="48"/>
      <c r="KL27" s="151" t="s">
        <v>2624</v>
      </c>
      <c r="KM27" s="41">
        <v>30</v>
      </c>
      <c r="KN27" s="63" t="s">
        <v>2328</v>
      </c>
      <c r="KO27" s="43">
        <v>12</v>
      </c>
      <c r="KQ27" s="38"/>
      <c r="KR27" s="67" t="s">
        <v>1788</v>
      </c>
      <c r="KS27" s="41">
        <f>10+18.51+10+16.63+15.78+16.9+10+16.2+16.87+10+10+20.2+10+10</f>
        <v>191.09</v>
      </c>
      <c r="KT27" s="65" t="s">
        <v>2255</v>
      </c>
      <c r="KU27" s="43">
        <v>1000</v>
      </c>
      <c r="KV27" s="61"/>
      <c r="KX27" s="67" t="s">
        <v>1557</v>
      </c>
      <c r="KY27" s="41">
        <v>62.98</v>
      </c>
      <c r="KZ27" s="15" t="s">
        <v>2625</v>
      </c>
      <c r="LA27" s="15">
        <f>240-15.97</f>
        <v>224.03</v>
      </c>
      <c r="LD27" s="67" t="s">
        <v>2626</v>
      </c>
      <c r="LE27" s="41">
        <v>250</v>
      </c>
      <c r="LF27" s="65" t="s">
        <v>2627</v>
      </c>
      <c r="LG27" s="43">
        <v>58.2</v>
      </c>
      <c r="LJ27" s="67" t="s">
        <v>1788</v>
      </c>
      <c r="LK27" s="41">
        <f>20.76+15.66+10+17.14+10+17.5</f>
        <v>91.06</v>
      </c>
      <c r="LL27" s="65"/>
      <c r="LM27" s="41"/>
      <c r="LN27" s="15" t="s">
        <v>1474</v>
      </c>
      <c r="LO27" s="38">
        <v>12.48</v>
      </c>
      <c r="LP27" s="67" t="s">
        <v>1714</v>
      </c>
      <c r="LQ27" s="41">
        <f>13.57+9*2</f>
        <v>31.57</v>
      </c>
      <c r="LR27" s="65" t="s">
        <v>2628</v>
      </c>
      <c r="LS27" s="43">
        <v>5000</v>
      </c>
      <c r="LT27" s="321"/>
      <c r="LU27" s="321"/>
      <c r="LV27" s="151" t="s">
        <v>2629</v>
      </c>
      <c r="LW27" s="41">
        <f>45.2+27.6+39.4</f>
        <v>112.2</v>
      </c>
      <c r="LX27" s="69" t="s">
        <v>2436</v>
      </c>
      <c r="LY27" s="41"/>
      <c r="LZ27" s="321"/>
      <c r="MA27" s="321"/>
      <c r="MB27" s="67" t="s">
        <v>2630</v>
      </c>
      <c r="MC27" s="57">
        <v>633.6</v>
      </c>
      <c r="MD27" s="215">
        <v>2292</v>
      </c>
      <c r="ME27" s="43" t="s">
        <v>2631</v>
      </c>
      <c r="MF27" s="321"/>
      <c r="MG27" s="328"/>
      <c r="MH27" s="327" t="s">
        <v>2632</v>
      </c>
      <c r="MI27" s="41">
        <f>44+33.8</f>
        <v>77.8</v>
      </c>
      <c r="MJ27" s="63" t="s">
        <v>2328</v>
      </c>
      <c r="MK27" s="43">
        <v>10</v>
      </c>
      <c r="ML27" s="321"/>
      <c r="MM27" s="328"/>
      <c r="MN27" s="327" t="s">
        <v>2633</v>
      </c>
      <c r="MO27" s="41">
        <v>27</v>
      </c>
      <c r="MP27" s="63" t="s">
        <v>2286</v>
      </c>
      <c r="MQ27" s="43">
        <v>10</v>
      </c>
      <c r="MR27" s="42"/>
      <c r="MT27" s="327" t="s">
        <v>2634</v>
      </c>
      <c r="MU27" s="41">
        <v>29.6</v>
      </c>
      <c r="MV27" s="63" t="s">
        <v>2286</v>
      </c>
      <c r="MW27" s="43">
        <v>10</v>
      </c>
      <c r="MX27" s="321"/>
      <c r="MY27" s="321"/>
      <c r="MZ27" s="58" t="s">
        <v>2635</v>
      </c>
      <c r="NA27" s="41">
        <v>56.5</v>
      </c>
      <c r="NB27" s="48" t="s">
        <v>2346</v>
      </c>
      <c r="NC27" s="43">
        <v>70</v>
      </c>
      <c r="ND27" s="161" t="s">
        <v>2515</v>
      </c>
      <c r="NE27" s="91">
        <f>SUM(NG7:NG8)</f>
        <v>38989</v>
      </c>
      <c r="NF27" s="58" t="s">
        <v>2512</v>
      </c>
      <c r="NG27" s="41">
        <f>250.7+749.38+1194.24</f>
        <v>2194.32</v>
      </c>
      <c r="NH27" s="215">
        <v>5049</v>
      </c>
      <c r="NI27" s="43" t="s">
        <v>2636</v>
      </c>
      <c r="NJ27" s="151" t="s">
        <v>2637</v>
      </c>
      <c r="NK27" s="41">
        <f>SUM(NM9:NM15)</f>
        <v>571.8</v>
      </c>
      <c r="NL27" s="58" t="s">
        <v>2638</v>
      </c>
      <c r="NM27" s="41">
        <v>208.08</v>
      </c>
      <c r="NN27" s="48" t="s">
        <v>2346</v>
      </c>
      <c r="NO27" s="43">
        <v>170</v>
      </c>
      <c r="NP27" s="287"/>
      <c r="NQ27" s="287"/>
      <c r="NR27" s="327" t="s">
        <v>2639</v>
      </c>
      <c r="NS27" s="57">
        <v>46.04</v>
      </c>
      <c r="NT27" s="215">
        <v>3021</v>
      </c>
      <c r="NU27" s="43" t="s">
        <v>2636</v>
      </c>
      <c r="NV27" s="287"/>
      <c r="NW27" s="287"/>
      <c r="NX27" s="343" t="s">
        <v>2640</v>
      </c>
      <c r="NY27" s="41">
        <v>5.89</v>
      </c>
      <c r="NZ27" s="69" t="s">
        <v>2436</v>
      </c>
      <c r="OA27" s="41"/>
      <c r="OB27" s="287"/>
      <c r="OC27" s="287"/>
      <c r="OD27" s="327" t="s">
        <v>2024</v>
      </c>
      <c r="OE27" s="57"/>
      <c r="OF27" s="290" t="s">
        <v>2641</v>
      </c>
      <c r="OG27" s="43">
        <v>30</v>
      </c>
    </row>
    <row r="28" spans="1:397">
      <c r="A28" s="614" t="s">
        <v>372</v>
      </c>
      <c r="B28" s="15"/>
      <c r="E28" s="617" t="s">
        <v>427</v>
      </c>
      <c r="F28" s="62"/>
      <c r="G28" s="614" t="s">
        <v>372</v>
      </c>
      <c r="H28" s="15"/>
      <c r="K28" s="67" t="s">
        <v>1861</v>
      </c>
      <c r="L28" s="15">
        <v>0</v>
      </c>
      <c r="M28" s="48" t="s">
        <v>197</v>
      </c>
      <c r="N28" s="48"/>
      <c r="Q28" s="66" t="s">
        <v>2401</v>
      </c>
      <c r="R28" s="15">
        <v>0</v>
      </c>
      <c r="S28" s="48" t="s">
        <v>197</v>
      </c>
      <c r="T28" s="48"/>
      <c r="W28" s="67" t="s">
        <v>2226</v>
      </c>
      <c r="X28" s="15">
        <v>64</v>
      </c>
      <c r="Y28" s="614" t="s">
        <v>2574</v>
      </c>
      <c r="Z28" s="15"/>
      <c r="AC28" s="22" t="s">
        <v>2642</v>
      </c>
      <c r="AD28" s="22">
        <f>63+46</f>
        <v>109</v>
      </c>
      <c r="AE28" s="48" t="s">
        <v>197</v>
      </c>
      <c r="AF28" s="48"/>
      <c r="AI28" s="15" t="s">
        <v>2643</v>
      </c>
      <c r="AJ28" s="15">
        <v>50</v>
      </c>
      <c r="AK28" s="48" t="s">
        <v>197</v>
      </c>
      <c r="AL28" s="48" t="s">
        <v>197</v>
      </c>
      <c r="AO28" s="67" t="s">
        <v>1861</v>
      </c>
      <c r="AP28" s="61">
        <v>167.6</v>
      </c>
      <c r="AQ28" s="48" t="s">
        <v>197</v>
      </c>
      <c r="AR28" s="48"/>
      <c r="AU28" s="67" t="s">
        <v>2644</v>
      </c>
      <c r="AV28" s="61">
        <v>156.66</v>
      </c>
      <c r="AW28" s="48" t="s">
        <v>197</v>
      </c>
      <c r="AX28" s="48"/>
      <c r="AY28" s="67"/>
      <c r="AZ28" s="61"/>
      <c r="BA28" s="48" t="s">
        <v>197</v>
      </c>
      <c r="BB28" s="48"/>
      <c r="BE28" s="67" t="s">
        <v>2226</v>
      </c>
      <c r="BF28" s="61">
        <v>64</v>
      </c>
      <c r="BG28" s="48" t="s">
        <v>197</v>
      </c>
      <c r="BH28" s="48"/>
      <c r="BK28" s="89" t="s">
        <v>2226</v>
      </c>
      <c r="BL28" s="61" t="s">
        <v>2645</v>
      </c>
      <c r="BM28" s="48" t="s">
        <v>197</v>
      </c>
      <c r="BN28" s="48"/>
      <c r="BQ28" s="89" t="s">
        <v>2226</v>
      </c>
      <c r="BR28" s="61">
        <v>64</v>
      </c>
      <c r="BS28" s="48" t="s">
        <v>197</v>
      </c>
      <c r="BT28" s="94"/>
      <c r="BW28" s="89" t="s">
        <v>2646</v>
      </c>
      <c r="BX28" s="61">
        <v>64</v>
      </c>
      <c r="BY28" s="48" t="s">
        <v>197</v>
      </c>
      <c r="BZ28" s="56"/>
      <c r="CC28" s="89" t="s">
        <v>2226</v>
      </c>
      <c r="CD28" s="61">
        <v>32</v>
      </c>
      <c r="CE28" s="48" t="s">
        <v>197</v>
      </c>
      <c r="CF28" s="56"/>
      <c r="CI28" s="89" t="s">
        <v>2351</v>
      </c>
      <c r="CJ28" s="61">
        <v>64</v>
      </c>
      <c r="CK28" s="48" t="s">
        <v>197</v>
      </c>
      <c r="CL28" s="56"/>
      <c r="CO28" s="103" t="s">
        <v>2647</v>
      </c>
      <c r="CP28" s="42">
        <f>28+34</f>
        <v>62</v>
      </c>
      <c r="CQ28" s="48" t="s">
        <v>197</v>
      </c>
      <c r="CR28" s="56"/>
      <c r="CU28" s="103" t="s">
        <v>2648</v>
      </c>
      <c r="CV28" s="42">
        <v>26.7</v>
      </c>
      <c r="CX28" s="56"/>
      <c r="DA28" s="118" t="s">
        <v>2649</v>
      </c>
      <c r="DB28" s="61">
        <v>178.21</v>
      </c>
      <c r="DC28" s="111"/>
      <c r="DD28" s="112"/>
      <c r="DE28" s="61" t="s">
        <v>2650</v>
      </c>
      <c r="DF28" s="42">
        <f>51*2/3</f>
        <v>34</v>
      </c>
      <c r="DG28" s="116" t="s">
        <v>2651</v>
      </c>
      <c r="DH28" s="57">
        <v>185.01</v>
      </c>
      <c r="DI28" s="22" t="s">
        <v>2652</v>
      </c>
      <c r="DJ28" s="92">
        <v>10000</v>
      </c>
      <c r="DM28" s="88" t="s">
        <v>2294</v>
      </c>
      <c r="DN28" s="57">
        <f>11+53.24</f>
        <v>64.24</v>
      </c>
      <c r="DO28" s="22" t="s">
        <v>2591</v>
      </c>
      <c r="DP28" s="23" t="s">
        <v>646</v>
      </c>
      <c r="DS28" s="118" t="s">
        <v>2653</v>
      </c>
      <c r="DT28" s="57">
        <v>10</v>
      </c>
      <c r="DU28" s="22" t="s">
        <v>2591</v>
      </c>
      <c r="DV28" s="23" t="s">
        <v>646</v>
      </c>
      <c r="DY28" s="22" t="s">
        <v>2654</v>
      </c>
      <c r="DZ28" s="22"/>
      <c r="EA28" s="60"/>
      <c r="EB28" s="132"/>
      <c r="EE28" s="22" t="s">
        <v>2655</v>
      </c>
      <c r="EF28" s="22"/>
      <c r="EG28" s="166"/>
      <c r="EL28" s="154" t="s">
        <v>2357</v>
      </c>
      <c r="EM28" s="154"/>
      <c r="EN28" s="69"/>
      <c r="EO28" s="91"/>
      <c r="ER28" s="22" t="s">
        <v>2656</v>
      </c>
      <c r="ES28" s="22"/>
      <c r="ET28" s="48" t="s">
        <v>2657</v>
      </c>
      <c r="EU28" s="94">
        <v>10000</v>
      </c>
      <c r="EX28" s="158" t="s">
        <v>2658</v>
      </c>
      <c r="EY28" s="158"/>
      <c r="EZ28" s="48" t="s">
        <v>1942</v>
      </c>
      <c r="FA28" s="94">
        <v>2010</v>
      </c>
      <c r="FD28" s="171">
        <v>300</v>
      </c>
      <c r="FE28" s="172">
        <f>FA9+FD28-FG9</f>
        <v>280</v>
      </c>
      <c r="FF28" s="48" t="s">
        <v>1942</v>
      </c>
      <c r="FG28" s="94">
        <v>6010</v>
      </c>
      <c r="FJ28" s="151" t="s">
        <v>2659</v>
      </c>
      <c r="FK28" s="15">
        <v>8</v>
      </c>
      <c r="FL28" s="48" t="s">
        <v>1882</v>
      </c>
      <c r="FM28" s="94">
        <v>0</v>
      </c>
      <c r="FP28" s="151" t="s">
        <v>2660</v>
      </c>
      <c r="FQ28" s="15">
        <v>86.2</v>
      </c>
      <c r="FR28" s="48" t="s">
        <v>1942</v>
      </c>
      <c r="FS28" s="94">
        <v>6010</v>
      </c>
      <c r="FT28" s="15" t="s">
        <v>2661</v>
      </c>
      <c r="FU28" s="15">
        <f>5984.25-6010</f>
        <v>-25.75</v>
      </c>
      <c r="FV28" s="151" t="s">
        <v>2556</v>
      </c>
      <c r="FW28" s="15">
        <v>41.2</v>
      </c>
      <c r="FX28" s="48" t="s">
        <v>2176</v>
      </c>
      <c r="FY28" s="94">
        <v>1010</v>
      </c>
      <c r="GB28" s="151" t="s">
        <v>2662</v>
      </c>
      <c r="GC28" s="15">
        <v>8</v>
      </c>
      <c r="GD28" s="48" t="s">
        <v>2176</v>
      </c>
      <c r="GE28" s="94">
        <v>808</v>
      </c>
      <c r="GH28" s="170" t="s">
        <v>2032</v>
      </c>
      <c r="GI28" s="15">
        <f>11.48+13.49+12.33+10+12.88+6.22+14.16</f>
        <v>80.56</v>
      </c>
      <c r="GJ28" s="48" t="s">
        <v>2176</v>
      </c>
      <c r="GK28" s="94">
        <v>2002</v>
      </c>
      <c r="GN28" s="170" t="s">
        <v>2032</v>
      </c>
      <c r="GO28" s="15">
        <f>8.9+15.69+15.34+15.72</f>
        <v>55.65</v>
      </c>
      <c r="GP28" s="48" t="s">
        <v>2176</v>
      </c>
      <c r="GQ28" s="94" t="s">
        <v>1949</v>
      </c>
      <c r="GT28" s="151" t="s">
        <v>2663</v>
      </c>
      <c r="GU28" s="15">
        <v>5.4</v>
      </c>
      <c r="GV28" s="48" t="s">
        <v>2664</v>
      </c>
      <c r="GW28" s="94">
        <v>0</v>
      </c>
      <c r="GZ28" s="151" t="s">
        <v>2665</v>
      </c>
      <c r="HA28" s="15">
        <v>505.66</v>
      </c>
      <c r="HB28" s="61" t="s">
        <v>1819</v>
      </c>
      <c r="HC28" s="94">
        <v>300</v>
      </c>
      <c r="HF28" s="151" t="s">
        <v>2666</v>
      </c>
      <c r="HG28" s="15">
        <f>35.9+3.3</f>
        <v>39.2</v>
      </c>
      <c r="HH28" s="188" t="s">
        <v>1825</v>
      </c>
      <c r="HI28" s="194">
        <v>3179.26</v>
      </c>
      <c r="HJ28" s="168" t="s">
        <v>2607</v>
      </c>
      <c r="HK28" s="187">
        <f>SUM(HM10:HM18)</f>
        <v>1046.83766666667</v>
      </c>
      <c r="HL28" s="204">
        <v>60</v>
      </c>
      <c r="HM28" s="154" t="s">
        <v>2667</v>
      </c>
      <c r="HN28" s="69" t="s">
        <v>2668</v>
      </c>
      <c r="HO28" s="97">
        <v>214</v>
      </c>
      <c r="HP28" s="72" t="s">
        <v>1277</v>
      </c>
      <c r="HQ28" s="102">
        <f>SUM(HS9:HS11)</f>
        <v>2361.43333333333</v>
      </c>
      <c r="HR28" s="151" t="s">
        <v>2669</v>
      </c>
      <c r="HS28" s="15">
        <v>14</v>
      </c>
      <c r="HT28" s="48" t="s">
        <v>1544</v>
      </c>
      <c r="HU28" s="94">
        <v>3000</v>
      </c>
      <c r="HV28" s="214" t="s">
        <v>2670</v>
      </c>
      <c r="HW28" s="15">
        <f>SUM(HY47:HY54)</f>
        <v>1548.6</v>
      </c>
      <c r="HX28" s="151" t="s">
        <v>2671</v>
      </c>
      <c r="HY28" s="15">
        <v>69.57</v>
      </c>
      <c r="HZ28" s="48" t="s">
        <v>618</v>
      </c>
      <c r="IA28" s="15">
        <v>50</v>
      </c>
      <c r="IB28" s="175" t="s">
        <v>1268</v>
      </c>
      <c r="IC28" s="15">
        <f>SUM(IE8)</f>
        <v>5.73</v>
      </c>
      <c r="ID28" s="151" t="s">
        <v>2672</v>
      </c>
      <c r="IE28" s="15">
        <v>329.76</v>
      </c>
      <c r="IF28" s="69" t="s">
        <v>2673</v>
      </c>
      <c r="IG28" s="97">
        <v>111</v>
      </c>
      <c r="IH28" s="199" t="s">
        <v>2674</v>
      </c>
      <c r="II28" s="212">
        <v>19.45</v>
      </c>
      <c r="IJ28" s="151" t="s">
        <v>2675</v>
      </c>
      <c r="IK28" s="15">
        <f>3.8*2+9.9</f>
        <v>17.5</v>
      </c>
      <c r="IL28" s="69" t="s">
        <v>2436</v>
      </c>
      <c r="IN28" s="199"/>
      <c r="IO28" s="212"/>
      <c r="IP28" s="151" t="s">
        <v>2676</v>
      </c>
      <c r="IQ28" s="41">
        <v>61.71</v>
      </c>
      <c r="IR28" s="69" t="s">
        <v>2436</v>
      </c>
      <c r="IT28" s="151" t="s">
        <v>2677</v>
      </c>
      <c r="IU28" s="174">
        <f>SUM(IW21:IW25)</f>
        <v>268.39</v>
      </c>
      <c r="IV28" s="202">
        <v>22.7</v>
      </c>
      <c r="IW28" s="44"/>
      <c r="IX28" s="69"/>
      <c r="IZ28" s="45" t="s">
        <v>2313</v>
      </c>
      <c r="JA28" s="45"/>
      <c r="JB28" s="151" t="s">
        <v>2678</v>
      </c>
      <c r="JC28" s="41">
        <v>34</v>
      </c>
      <c r="JF28" s="71" t="s">
        <v>1220</v>
      </c>
      <c r="JG28" s="91">
        <f>SUM(JI6:JI7)</f>
        <v>3900.1</v>
      </c>
      <c r="JH28" s="151" t="s">
        <v>2679</v>
      </c>
      <c r="JI28" s="41">
        <f>44.8+43.4</f>
        <v>88.2</v>
      </c>
      <c r="JJ28" s="69" t="s">
        <v>2680</v>
      </c>
      <c r="JK28" s="15">
        <v>75.6</v>
      </c>
      <c r="JL28" s="177" t="s">
        <v>2681</v>
      </c>
      <c r="JM28" s="91">
        <f>SUM(JO11:JO13)</f>
        <v>116477.652</v>
      </c>
      <c r="JN28" s="15" t="s">
        <v>2682</v>
      </c>
      <c r="JO28" s="57">
        <v>20</v>
      </c>
      <c r="JP28" s="69"/>
      <c r="JQ28" s="43"/>
      <c r="JR28" s="163" t="s">
        <v>2542</v>
      </c>
      <c r="JS28" s="43">
        <f>SUM(JU9:JU10)</f>
        <v>15.38</v>
      </c>
      <c r="JT28" s="15" t="s">
        <v>2682</v>
      </c>
      <c r="JU28" s="57">
        <f>13</f>
        <v>13</v>
      </c>
      <c r="JV28" s="69"/>
      <c r="JW28" s="41"/>
      <c r="JZ28" s="170" t="s">
        <v>2683</v>
      </c>
      <c r="KA28" s="44">
        <f>131.87*2</f>
        <v>263.74</v>
      </c>
      <c r="KB28" s="69"/>
      <c r="KC28" s="69"/>
      <c r="KD28" s="45" t="s">
        <v>2395</v>
      </c>
      <c r="KE28" s="45"/>
      <c r="KF28" s="202">
        <v>34.15</v>
      </c>
      <c r="KG28" s="44"/>
      <c r="KH28" s="48" t="s">
        <v>2192</v>
      </c>
      <c r="KI28" s="43"/>
      <c r="KL28" s="151" t="s">
        <v>2684</v>
      </c>
      <c r="KM28" s="41">
        <v>30.06</v>
      </c>
      <c r="KN28" s="48" t="s">
        <v>2685</v>
      </c>
      <c r="KO28" s="43">
        <v>110</v>
      </c>
      <c r="KP28" s="42"/>
      <c r="KQ28" s="38"/>
      <c r="KR28" s="151" t="s">
        <v>2686</v>
      </c>
      <c r="KS28" s="41">
        <v>60</v>
      </c>
      <c r="KT28" s="69" t="s">
        <v>2319</v>
      </c>
      <c r="KU28" s="41"/>
      <c r="KV28" s="61"/>
      <c r="KX28" s="67" t="s">
        <v>2264</v>
      </c>
      <c r="KY28" s="41">
        <v>30</v>
      </c>
      <c r="KZ28" s="69" t="s">
        <v>2503</v>
      </c>
      <c r="LA28" s="41"/>
      <c r="LD28" s="67" t="s">
        <v>2687</v>
      </c>
      <c r="LE28" s="44">
        <v>151.85</v>
      </c>
      <c r="LF28" s="69" t="s">
        <v>2436</v>
      </c>
      <c r="LG28" s="41"/>
      <c r="LJ28" s="151" t="s">
        <v>2688</v>
      </c>
      <c r="LK28" s="41">
        <v>20</v>
      </c>
      <c r="LL28" s="65" t="s">
        <v>2503</v>
      </c>
      <c r="LM28" s="43"/>
      <c r="LN28" s="287" t="s">
        <v>1707</v>
      </c>
      <c r="LO28" s="287"/>
      <c r="LP28" s="67" t="s">
        <v>1788</v>
      </c>
      <c r="LQ28" s="41">
        <f>18+16+10+11.54+17.39+17.41+10</f>
        <v>100.34</v>
      </c>
      <c r="LR28" s="65"/>
      <c r="LS28" s="43"/>
      <c r="LT28" s="321"/>
      <c r="LU28" s="321"/>
      <c r="LV28" s="151" t="s">
        <v>2689</v>
      </c>
      <c r="LW28" s="41">
        <f>44.84+35.2</f>
        <v>80.04</v>
      </c>
      <c r="LX28" s="65"/>
      <c r="LY28" s="43"/>
      <c r="LZ28" s="321"/>
      <c r="MA28" s="321"/>
      <c r="MB28" s="67" t="s">
        <v>2690</v>
      </c>
      <c r="MC28" s="57">
        <v>10</v>
      </c>
      <c r="MD28" s="215">
        <v>0</v>
      </c>
      <c r="ME28" s="43" t="s">
        <v>2518</v>
      </c>
      <c r="MF28" s="321"/>
      <c r="MG28" s="328"/>
      <c r="MH28" s="327" t="s">
        <v>2691</v>
      </c>
      <c r="MI28" s="41">
        <v>8.9</v>
      </c>
      <c r="MJ28" s="48" t="s">
        <v>2346</v>
      </c>
      <c r="MK28" s="43">
        <v>90</v>
      </c>
      <c r="ML28" s="321"/>
      <c r="MM28" s="328"/>
      <c r="MN28" s="327" t="s">
        <v>2692</v>
      </c>
      <c r="MO28" s="41">
        <f>12.97+9</f>
        <v>21.97</v>
      </c>
      <c r="MP28" s="48" t="s">
        <v>2346</v>
      </c>
      <c r="MQ28" s="43">
        <v>150</v>
      </c>
      <c r="MR28" s="287"/>
      <c r="MS28" s="287"/>
      <c r="MT28" s="327" t="s">
        <v>2693</v>
      </c>
      <c r="MU28" s="41">
        <v>27.5</v>
      </c>
      <c r="MV28" s="48" t="s">
        <v>2346</v>
      </c>
      <c r="MW28" s="43">
        <v>140</v>
      </c>
      <c r="MX28" s="45" t="s">
        <v>2395</v>
      </c>
      <c r="MY28" s="315"/>
      <c r="MZ28" s="58" t="s">
        <v>2206</v>
      </c>
      <c r="NA28" s="57">
        <f>78.3+25.4</f>
        <v>103.7</v>
      </c>
      <c r="NB28" s="48" t="s">
        <v>2514</v>
      </c>
      <c r="NC28" s="43">
        <v>1000</v>
      </c>
      <c r="ND28" s="151" t="s">
        <v>2637</v>
      </c>
      <c r="NE28" s="43">
        <f>SUM(NG9:NG15)</f>
        <v>587.74</v>
      </c>
      <c r="NF28" s="58" t="s">
        <v>2694</v>
      </c>
      <c r="NG28" s="41">
        <v>44.9</v>
      </c>
      <c r="NH28" s="215"/>
      <c r="NI28" s="43" t="s">
        <v>2518</v>
      </c>
      <c r="NJ28" s="58" t="s">
        <v>2695</v>
      </c>
      <c r="NK28" s="41">
        <f>SUM(NM23:NM28)</f>
        <v>1083.98</v>
      </c>
      <c r="NL28" s="58" t="s">
        <v>2696</v>
      </c>
      <c r="NM28" s="41">
        <v>58.8</v>
      </c>
      <c r="NN28" s="65" t="s">
        <v>2255</v>
      </c>
      <c r="NO28" s="43">
        <v>2000</v>
      </c>
      <c r="NP28" s="321"/>
      <c r="NQ28" s="328"/>
      <c r="NR28" s="327" t="s">
        <v>2697</v>
      </c>
      <c r="NS28" s="57">
        <v>35.9</v>
      </c>
      <c r="NT28" s="215"/>
      <c r="NU28" s="43" t="s">
        <v>2518</v>
      </c>
      <c r="NV28" s="287"/>
      <c r="NW28" s="287"/>
      <c r="NX28" s="343" t="s">
        <v>2698</v>
      </c>
      <c r="NY28" s="41">
        <f>10.91</f>
        <v>10.91</v>
      </c>
      <c r="OB28" s="287"/>
      <c r="OC28" s="287"/>
      <c r="OD28" s="327" t="s">
        <v>2024</v>
      </c>
      <c r="OE28" s="57"/>
      <c r="OF28" s="290" t="s">
        <v>2699</v>
      </c>
      <c r="OG28" s="41">
        <v>30</v>
      </c>
    </row>
    <row r="29" spans="1:395">
      <c r="A29" s="614" t="s">
        <v>2574</v>
      </c>
      <c r="B29" s="15"/>
      <c r="E29" s="617" t="s">
        <v>431</v>
      </c>
      <c r="F29" s="62"/>
      <c r="G29" s="614" t="s">
        <v>2574</v>
      </c>
      <c r="H29" s="15"/>
      <c r="K29" s="67" t="s">
        <v>2226</v>
      </c>
      <c r="L29" s="15">
        <v>64</v>
      </c>
      <c r="M29" s="15" t="s">
        <v>300</v>
      </c>
      <c r="N29" s="15"/>
      <c r="S29" s="15" t="s">
        <v>300</v>
      </c>
      <c r="T29" s="15"/>
      <c r="W29" s="67" t="s">
        <v>2288</v>
      </c>
      <c r="X29" s="15">
        <v>100.01</v>
      </c>
      <c r="Y29" s="48" t="s">
        <v>197</v>
      </c>
      <c r="Z29" s="48"/>
      <c r="AC29" s="15" t="s">
        <v>2700</v>
      </c>
      <c r="AD29" s="15">
        <v>65</v>
      </c>
      <c r="AE29" s="15" t="s">
        <v>300</v>
      </c>
      <c r="AF29" s="15"/>
      <c r="AK29" s="15" t="s">
        <v>300</v>
      </c>
      <c r="AL29" s="15" t="s">
        <v>300</v>
      </c>
      <c r="AO29" s="67" t="s">
        <v>2580</v>
      </c>
      <c r="AP29" s="61">
        <f>11*2</f>
        <v>22</v>
      </c>
      <c r="AQ29" s="15" t="s">
        <v>300</v>
      </c>
      <c r="AR29" s="15"/>
      <c r="AU29" s="67" t="s">
        <v>2580</v>
      </c>
      <c r="AV29" s="61">
        <v>11</v>
      </c>
      <c r="AW29" s="15" t="s">
        <v>2701</v>
      </c>
      <c r="AX29" s="15"/>
      <c r="AY29" s="67"/>
      <c r="AZ29" s="61"/>
      <c r="BA29" s="15" t="s">
        <v>2701</v>
      </c>
      <c r="BB29" s="15"/>
      <c r="BE29" s="67" t="s">
        <v>2288</v>
      </c>
      <c r="BF29" s="61">
        <v>50</v>
      </c>
      <c r="BG29" s="15" t="s">
        <v>2701</v>
      </c>
      <c r="BH29" s="15"/>
      <c r="BK29" s="89" t="s">
        <v>2288</v>
      </c>
      <c r="BL29" s="61">
        <v>10</v>
      </c>
      <c r="BM29" s="15" t="s">
        <v>2701</v>
      </c>
      <c r="BN29" s="15"/>
      <c r="BQ29" s="89" t="s">
        <v>2288</v>
      </c>
      <c r="BR29" s="61">
        <v>20</v>
      </c>
      <c r="BS29" s="15" t="s">
        <v>2701</v>
      </c>
      <c r="BW29" s="89" t="s">
        <v>2288</v>
      </c>
      <c r="BX29" s="61">
        <v>50</v>
      </c>
      <c r="BY29" s="15" t="s">
        <v>2701</v>
      </c>
      <c r="CC29" s="89" t="s">
        <v>2288</v>
      </c>
      <c r="CD29" s="61">
        <v>70.001</v>
      </c>
      <c r="CE29" s="15" t="s">
        <v>2701</v>
      </c>
      <c r="CI29" s="89" t="s">
        <v>2288</v>
      </c>
      <c r="CJ29" s="61">
        <v>100.001</v>
      </c>
      <c r="CK29" s="15" t="s">
        <v>2701</v>
      </c>
      <c r="CO29" s="103" t="s">
        <v>2702</v>
      </c>
      <c r="CP29" s="42">
        <v>35</v>
      </c>
      <c r="CQ29" s="15" t="s">
        <v>2701</v>
      </c>
      <c r="CU29" s="103" t="s">
        <v>2703</v>
      </c>
      <c r="CV29" s="42">
        <f>6*4+5*2+5</f>
        <v>39</v>
      </c>
      <c r="CW29" s="614" t="s">
        <v>372</v>
      </c>
      <c r="DA29" s="118" t="s">
        <v>2704</v>
      </c>
      <c r="DB29" s="61">
        <v>300</v>
      </c>
      <c r="DD29" s="56"/>
      <c r="DG29" s="88" t="s">
        <v>1816</v>
      </c>
      <c r="DH29" s="57">
        <v>85.71</v>
      </c>
      <c r="DI29" s="22" t="s">
        <v>2705</v>
      </c>
      <c r="DJ29" s="92" t="s">
        <v>1949</v>
      </c>
      <c r="DM29" s="88" t="s">
        <v>2351</v>
      </c>
      <c r="DN29" s="57">
        <v>64</v>
      </c>
      <c r="DO29" s="60"/>
      <c r="DP29" s="132"/>
      <c r="DS29" s="118" t="s">
        <v>2706</v>
      </c>
      <c r="DT29" s="57">
        <v>10</v>
      </c>
      <c r="DU29" s="60"/>
      <c r="DV29" s="132"/>
      <c r="DY29" s="22" t="s">
        <v>2707</v>
      </c>
      <c r="DZ29" s="22"/>
      <c r="EA29" s="15" t="s">
        <v>1466</v>
      </c>
      <c r="EB29" s="43">
        <v>-20000</v>
      </c>
      <c r="EE29" s="15" t="s">
        <v>2708</v>
      </c>
      <c r="EF29" s="15">
        <v>999</v>
      </c>
      <c r="EG29" s="48"/>
      <c r="EH29" s="15" t="s">
        <v>372</v>
      </c>
      <c r="EL29" s="155">
        <v>100</v>
      </c>
      <c r="EM29" s="135">
        <f>EI9+EL29-EO9</f>
        <v>190</v>
      </c>
      <c r="ER29" s="22" t="s">
        <v>2709</v>
      </c>
      <c r="ES29" s="22"/>
      <c r="ET29" s="48" t="s">
        <v>2710</v>
      </c>
      <c r="EU29" s="94">
        <v>0</v>
      </c>
      <c r="EX29" s="154" t="s">
        <v>2711</v>
      </c>
      <c r="EY29" s="158"/>
      <c r="EZ29" s="48" t="s">
        <v>1942</v>
      </c>
      <c r="FA29" s="94">
        <v>5010</v>
      </c>
      <c r="FD29" s="158" t="s">
        <v>2712</v>
      </c>
      <c r="FE29" s="158"/>
      <c r="FF29" s="48" t="s">
        <v>1942</v>
      </c>
      <c r="FG29" s="94">
        <v>10010</v>
      </c>
      <c r="FJ29" s="154" t="s">
        <v>2596</v>
      </c>
      <c r="FK29" s="154"/>
      <c r="FL29" s="48" t="s">
        <v>1947</v>
      </c>
      <c r="FM29" s="94">
        <v>10000</v>
      </c>
      <c r="FP29" s="151" t="s">
        <v>2713</v>
      </c>
      <c r="FQ29" s="15">
        <v>35.8</v>
      </c>
      <c r="FR29" s="48" t="s">
        <v>1942</v>
      </c>
      <c r="FS29" s="94">
        <v>10010</v>
      </c>
      <c r="FT29" s="15" t="s">
        <v>2714</v>
      </c>
      <c r="FU29" s="15">
        <f>4980.91-5005</f>
        <v>-24.0900000000001</v>
      </c>
      <c r="FV29" s="151" t="s">
        <v>2715</v>
      </c>
      <c r="FW29" s="15">
        <v>6.3</v>
      </c>
      <c r="FX29" s="48" t="s">
        <v>2176</v>
      </c>
      <c r="FY29" s="94">
        <v>5005</v>
      </c>
      <c r="GB29" s="151" t="s">
        <v>2716</v>
      </c>
      <c r="GC29" s="15">
        <v>127.1</v>
      </c>
      <c r="GD29" s="48" t="s">
        <v>2176</v>
      </c>
      <c r="GE29" s="94">
        <v>4004</v>
      </c>
      <c r="GF29" s="61"/>
      <c r="GH29" s="151" t="s">
        <v>2717</v>
      </c>
      <c r="GI29" s="15">
        <v>70</v>
      </c>
      <c r="GJ29" s="48" t="s">
        <v>2176</v>
      </c>
      <c r="GK29" s="94">
        <v>808</v>
      </c>
      <c r="GN29" s="151" t="s">
        <v>2718</v>
      </c>
      <c r="GO29" s="15">
        <v>20</v>
      </c>
      <c r="GP29" s="48" t="s">
        <v>2176</v>
      </c>
      <c r="GQ29" s="94" t="s">
        <v>1949</v>
      </c>
      <c r="GT29" s="151" t="s">
        <v>2719</v>
      </c>
      <c r="GU29" s="15">
        <v>10</v>
      </c>
      <c r="GV29" s="77" t="s">
        <v>2533</v>
      </c>
      <c r="GW29" s="97"/>
      <c r="GZ29" s="151" t="s">
        <v>2720</v>
      </c>
      <c r="HA29" s="15">
        <f>80+105</f>
        <v>185</v>
      </c>
      <c r="HB29" s="48" t="s">
        <v>2664</v>
      </c>
      <c r="HC29" s="94">
        <v>0</v>
      </c>
      <c r="HD29" s="48"/>
      <c r="HF29" s="151" t="s">
        <v>2721</v>
      </c>
      <c r="HG29" s="15">
        <f>74.8-6.1</f>
        <v>68.7</v>
      </c>
      <c r="HH29" s="15" t="s">
        <v>1890</v>
      </c>
      <c r="HI29" s="196">
        <v>-114.61</v>
      </c>
      <c r="HJ29" s="162" t="s">
        <v>2677</v>
      </c>
      <c r="HK29" s="15">
        <f>SUM(HM19:HM23)</f>
        <v>275.58</v>
      </c>
      <c r="HL29" s="204">
        <v>20</v>
      </c>
      <c r="HM29" s="154" t="s">
        <v>2722</v>
      </c>
      <c r="HN29" s="188"/>
      <c r="HO29" s="97"/>
      <c r="HP29" s="175" t="s">
        <v>1268</v>
      </c>
      <c r="HQ29" s="15">
        <v>0</v>
      </c>
      <c r="HR29" s="151" t="s">
        <v>2720</v>
      </c>
      <c r="HS29" s="15">
        <v>80</v>
      </c>
      <c r="HT29" s="48" t="s">
        <v>1606</v>
      </c>
      <c r="HU29" s="94">
        <v>4000</v>
      </c>
      <c r="HV29" s="151" t="s">
        <v>2677</v>
      </c>
      <c r="HW29" s="15">
        <f>SUM(HY25:HY30)</f>
        <v>271.94</v>
      </c>
      <c r="HX29" s="151" t="s">
        <v>2723</v>
      </c>
      <c r="HY29" s="15">
        <f>22.3+42.9</f>
        <v>65.2</v>
      </c>
      <c r="HZ29" s="77" t="s">
        <v>2488</v>
      </c>
      <c r="IB29" s="163" t="s">
        <v>2542</v>
      </c>
      <c r="IC29" s="15">
        <f>SUM(IE9:IE9)</f>
        <v>32.1</v>
      </c>
      <c r="ID29" s="151" t="s">
        <v>2724</v>
      </c>
      <c r="IE29" s="15">
        <v>80</v>
      </c>
      <c r="IF29" s="69" t="s">
        <v>2547</v>
      </c>
      <c r="IG29" s="97"/>
      <c r="IH29" s="194" t="s">
        <v>2725</v>
      </c>
      <c r="II29" s="212">
        <f>19.45*3</f>
        <v>58.35</v>
      </c>
      <c r="IJ29" s="151" t="s">
        <v>2726</v>
      </c>
      <c r="IK29" s="15">
        <f>7.15+14.85</f>
        <v>22</v>
      </c>
      <c r="IL29" s="189" t="s">
        <v>2727</v>
      </c>
      <c r="IM29" s="235">
        <v>21.35</v>
      </c>
      <c r="IN29" s="194"/>
      <c r="IO29" s="212"/>
      <c r="IP29" s="151" t="s">
        <v>2728</v>
      </c>
      <c r="IQ29" s="41">
        <v>23.1</v>
      </c>
      <c r="IR29" s="69" t="s">
        <v>2729</v>
      </c>
      <c r="IS29" s="15" t="s">
        <v>2730</v>
      </c>
      <c r="IT29" s="151" t="s">
        <v>2731</v>
      </c>
      <c r="IU29" s="15">
        <f>SUM(IW22:IW25)</f>
        <v>188.39</v>
      </c>
      <c r="IV29" s="178" t="s">
        <v>2732</v>
      </c>
      <c r="IW29" s="203">
        <f>IS19+IU30-IY20</f>
        <v>70</v>
      </c>
      <c r="IX29" s="15" t="s">
        <v>372</v>
      </c>
      <c r="IZ29" s="71" t="s">
        <v>1220</v>
      </c>
      <c r="JA29" s="91">
        <f>SUM(JC7:JC7)</f>
        <v>1900.03</v>
      </c>
      <c r="JB29" s="151" t="s">
        <v>2733</v>
      </c>
      <c r="JC29" s="41">
        <v>64.75</v>
      </c>
      <c r="JD29" s="15" t="s">
        <v>372</v>
      </c>
      <c r="JF29" s="177" t="s">
        <v>1277</v>
      </c>
      <c r="JG29" s="91">
        <f>SUM(JI12:JI15)</f>
        <v>156875.804126027</v>
      </c>
      <c r="JH29" s="151" t="s">
        <v>2734</v>
      </c>
      <c r="JI29" s="101">
        <v>40.9</v>
      </c>
      <c r="JJ29" s="69"/>
      <c r="JL29" s="160" t="s">
        <v>1268</v>
      </c>
      <c r="JM29" s="43">
        <f>SUM(JO8:JO9)</f>
        <v>175.83</v>
      </c>
      <c r="JN29" s="42" t="s">
        <v>2486</v>
      </c>
      <c r="JO29" s="44">
        <f>250+254+164+105</f>
        <v>773</v>
      </c>
      <c r="JP29" s="69"/>
      <c r="JQ29" s="43"/>
      <c r="JR29" s="168" t="s">
        <v>2607</v>
      </c>
      <c r="JS29" s="43">
        <f>SUM(JU14:JU22)</f>
        <v>1271.784</v>
      </c>
      <c r="JT29" s="42" t="s">
        <v>2486</v>
      </c>
      <c r="JU29" s="44">
        <f>144+160+67</f>
        <v>371</v>
      </c>
      <c r="JZ29" s="170" t="s">
        <v>2735</v>
      </c>
      <c r="KA29" s="41">
        <f>(15+6.5)*2</f>
        <v>43</v>
      </c>
      <c r="KB29" s="15" t="s">
        <v>372</v>
      </c>
      <c r="KD29" s="255" t="s">
        <v>1220</v>
      </c>
      <c r="KE29" s="91">
        <f>SUM(KG6:KG6)</f>
        <v>1900.09</v>
      </c>
      <c r="KF29" s="178" t="s">
        <v>2732</v>
      </c>
      <c r="KG29" s="203">
        <f>KC19+KE36-KI27</f>
        <v>190</v>
      </c>
      <c r="KH29" s="65" t="s">
        <v>2255</v>
      </c>
      <c r="KI29" s="43">
        <v>1000</v>
      </c>
      <c r="KL29" s="151" t="s">
        <v>2736</v>
      </c>
      <c r="KM29" s="41">
        <v>21.5</v>
      </c>
      <c r="KN29" s="65" t="s">
        <v>2255</v>
      </c>
      <c r="KO29" s="43">
        <v>1000</v>
      </c>
      <c r="KP29" s="287"/>
      <c r="KQ29" s="287"/>
      <c r="KR29" s="151" t="s">
        <v>2737</v>
      </c>
      <c r="KS29" s="41">
        <v>400.92</v>
      </c>
      <c r="KT29" s="65" t="s">
        <v>2738</v>
      </c>
      <c r="KU29" s="41">
        <v>1202.04</v>
      </c>
      <c r="KV29" s="61"/>
      <c r="KX29" s="67" t="s">
        <v>1636</v>
      </c>
      <c r="KY29" s="41">
        <f>6.5+15</f>
        <v>21.5</v>
      </c>
      <c r="KZ29" s="69" t="s">
        <v>2319</v>
      </c>
      <c r="LA29" s="41"/>
      <c r="LD29" s="67" t="s">
        <v>1636</v>
      </c>
      <c r="LE29" s="41">
        <f>8.6+15+6.5</f>
        <v>30.1</v>
      </c>
      <c r="LF29" s="65" t="s">
        <v>2739</v>
      </c>
      <c r="LG29" s="43">
        <f>52.8*2</f>
        <v>105.6</v>
      </c>
      <c r="LH29" s="45" t="s">
        <v>2395</v>
      </c>
      <c r="LI29" s="45"/>
      <c r="LJ29" s="151" t="s">
        <v>2507</v>
      </c>
      <c r="LK29" s="41">
        <v>5</v>
      </c>
      <c r="LL29" s="65"/>
      <c r="LM29" s="41"/>
      <c r="LP29" s="151" t="s">
        <v>2740</v>
      </c>
      <c r="LQ29" s="41">
        <v>20</v>
      </c>
      <c r="LR29" s="65" t="s">
        <v>2503</v>
      </c>
      <c r="LS29" s="43"/>
      <c r="LT29" s="61"/>
      <c r="LV29" s="151" t="s">
        <v>2741</v>
      </c>
      <c r="LW29" s="322">
        <v>138.6</v>
      </c>
      <c r="LX29" s="65"/>
      <c r="LY29" s="43"/>
      <c r="LZ29" s="321"/>
      <c r="MA29" s="321"/>
      <c r="MB29" s="67" t="s">
        <v>1565</v>
      </c>
      <c r="MC29" s="57">
        <f>749.38+250.7</f>
        <v>1000.08</v>
      </c>
      <c r="MD29" s="69" t="s">
        <v>2436</v>
      </c>
      <c r="ME29" s="41"/>
      <c r="MF29" s="321"/>
      <c r="MG29" s="328"/>
      <c r="MH29" s="327" t="s">
        <v>2742</v>
      </c>
      <c r="MI29" s="41">
        <v>21.2</v>
      </c>
      <c r="MJ29" s="65" t="s">
        <v>2255</v>
      </c>
      <c r="MK29" s="43">
        <v>1000</v>
      </c>
      <c r="ML29" s="321"/>
      <c r="MM29" s="328"/>
      <c r="MN29" s="327" t="s">
        <v>2743</v>
      </c>
      <c r="MO29" s="41">
        <v>34</v>
      </c>
      <c r="MP29" s="65" t="s">
        <v>2255</v>
      </c>
      <c r="MQ29" s="43">
        <v>1000</v>
      </c>
      <c r="MR29" s="61"/>
      <c r="MS29" s="38"/>
      <c r="MT29" s="327" t="s">
        <v>2534</v>
      </c>
      <c r="MU29" s="41">
        <v>62.4</v>
      </c>
      <c r="MV29" s="65" t="s">
        <v>2255</v>
      </c>
      <c r="MW29" s="43">
        <v>1265</v>
      </c>
      <c r="MX29" s="329" t="s">
        <v>1220</v>
      </c>
      <c r="MY29" s="57">
        <f>SUM(NA6:NA6)</f>
        <v>1900.09</v>
      </c>
      <c r="MZ29" s="58" t="s">
        <v>2744</v>
      </c>
      <c r="NA29" s="57">
        <v>57.47</v>
      </c>
      <c r="NB29" s="65" t="s">
        <v>2255</v>
      </c>
      <c r="NC29" s="43">
        <v>2000</v>
      </c>
      <c r="ND29" s="58" t="s">
        <v>2695</v>
      </c>
      <c r="NE29" s="43">
        <f>SUM(NG27:NG28)</f>
        <v>2239.22</v>
      </c>
      <c r="NF29" s="42" t="s">
        <v>2623</v>
      </c>
      <c r="NG29" s="44">
        <f>42+103+35+111+108+43+75+83</f>
        <v>600</v>
      </c>
      <c r="NH29" s="69" t="s">
        <v>2436</v>
      </c>
      <c r="NI29" s="41"/>
      <c r="NJ29" s="327" t="s">
        <v>2677</v>
      </c>
      <c r="NK29" s="38">
        <f>SUM(NM16:NM22)</f>
        <v>323.09</v>
      </c>
      <c r="NL29" s="42" t="s">
        <v>2623</v>
      </c>
      <c r="NM29" s="44">
        <f>23+75+167+108+248+151</f>
        <v>772</v>
      </c>
      <c r="NN29" s="215">
        <v>4257</v>
      </c>
      <c r="NO29" s="43" t="s">
        <v>2636</v>
      </c>
      <c r="NP29" s="45" t="s">
        <v>2395</v>
      </c>
      <c r="NQ29" s="315"/>
      <c r="NR29" s="327" t="s">
        <v>2745</v>
      </c>
      <c r="NS29" s="57">
        <v>40.6</v>
      </c>
      <c r="NT29" s="69" t="s">
        <v>2319</v>
      </c>
      <c r="NV29" s="287"/>
      <c r="NW29" s="287"/>
      <c r="NX29" s="344" t="s">
        <v>2746</v>
      </c>
      <c r="NY29" s="41">
        <v>206.87</v>
      </c>
      <c r="NZ29" s="69" t="s">
        <v>2319</v>
      </c>
      <c r="OD29" s="327" t="s">
        <v>2024</v>
      </c>
      <c r="OE29" s="57"/>
    </row>
    <row r="30" spans="1:396">
      <c r="A30" s="48" t="s">
        <v>197</v>
      </c>
      <c r="B30" s="48"/>
      <c r="E30" s="617" t="s">
        <v>2747</v>
      </c>
      <c r="F30" s="53"/>
      <c r="G30" s="48" t="s">
        <v>197</v>
      </c>
      <c r="H30" s="48"/>
      <c r="K30" s="67" t="s">
        <v>2288</v>
      </c>
      <c r="L30" s="15">
        <v>50.01</v>
      </c>
      <c r="M30" s="63" t="s">
        <v>2748</v>
      </c>
      <c r="N30" s="63"/>
      <c r="Q30" s="67" t="s">
        <v>2001</v>
      </c>
      <c r="R30" s="15">
        <v>26</v>
      </c>
      <c r="S30" s="63" t="s">
        <v>2748</v>
      </c>
      <c r="T30" s="63"/>
      <c r="Y30" s="15" t="s">
        <v>300</v>
      </c>
      <c r="Z30" s="15"/>
      <c r="AC30" s="15" t="s">
        <v>2749</v>
      </c>
      <c r="AD30" s="15">
        <v>10</v>
      </c>
      <c r="AE30" s="63" t="s">
        <v>2748</v>
      </c>
      <c r="AF30" s="63"/>
      <c r="AK30" s="77" t="s">
        <v>2748</v>
      </c>
      <c r="AL30" s="77" t="s">
        <v>2748</v>
      </c>
      <c r="AO30" s="67" t="s">
        <v>2226</v>
      </c>
      <c r="AP30" s="61">
        <v>32</v>
      </c>
      <c r="AQ30" s="77" t="s">
        <v>2748</v>
      </c>
      <c r="AR30" s="63"/>
      <c r="AU30" s="67" t="s">
        <v>2226</v>
      </c>
      <c r="AV30" s="61" t="s">
        <v>646</v>
      </c>
      <c r="AW30" s="77" t="s">
        <v>2748</v>
      </c>
      <c r="AX30" s="77"/>
      <c r="AY30" s="67"/>
      <c r="AZ30" s="61"/>
      <c r="BA30" s="77" t="s">
        <v>2748</v>
      </c>
      <c r="BB30" s="77"/>
      <c r="BE30" s="78" t="s">
        <v>2750</v>
      </c>
      <c r="BF30" s="15">
        <v>56.62</v>
      </c>
      <c r="BG30" s="77" t="s">
        <v>2748</v>
      </c>
      <c r="BH30" s="77"/>
      <c r="BK30" s="90" t="s">
        <v>2751</v>
      </c>
      <c r="BL30" s="42">
        <v>5</v>
      </c>
      <c r="BM30" s="77" t="s">
        <v>2748</v>
      </c>
      <c r="BN30" s="77"/>
      <c r="BQ30" s="90" t="s">
        <v>2752</v>
      </c>
      <c r="BR30" s="42">
        <v>20</v>
      </c>
      <c r="BS30" s="77" t="s">
        <v>2748</v>
      </c>
      <c r="BT30" s="96"/>
      <c r="BW30" s="90" t="s">
        <v>2752</v>
      </c>
      <c r="BX30" s="42">
        <v>15</v>
      </c>
      <c r="BY30" s="77" t="s">
        <v>2748</v>
      </c>
      <c r="BZ30" s="100"/>
      <c r="CC30" s="90" t="s">
        <v>2752</v>
      </c>
      <c r="CD30" s="42">
        <v>5</v>
      </c>
      <c r="CE30" s="77" t="s">
        <v>2748</v>
      </c>
      <c r="CF30" s="100"/>
      <c r="CI30" s="103" t="s">
        <v>2752</v>
      </c>
      <c r="CJ30" s="42">
        <f>10+5</f>
        <v>15</v>
      </c>
      <c r="CK30" s="77" t="s">
        <v>2748</v>
      </c>
      <c r="CL30" s="100"/>
      <c r="CO30" s="103" t="s">
        <v>2753</v>
      </c>
      <c r="CP30" s="42">
        <v>39</v>
      </c>
      <c r="CQ30" s="77" t="s">
        <v>2748</v>
      </c>
      <c r="CR30" s="100"/>
      <c r="CU30" s="103" t="s">
        <v>2754</v>
      </c>
      <c r="CV30" s="42">
        <v>46.9</v>
      </c>
      <c r="CW30" s="614" t="s">
        <v>2574</v>
      </c>
      <c r="CX30" s="100"/>
      <c r="DA30" s="118" t="s">
        <v>2755</v>
      </c>
      <c r="DB30" s="61">
        <v>28</v>
      </c>
      <c r="DC30" s="614" t="s">
        <v>372</v>
      </c>
      <c r="DG30" s="88" t="s">
        <v>1876</v>
      </c>
      <c r="DH30" s="57">
        <f>51.05+57.34</f>
        <v>108.39</v>
      </c>
      <c r="DI30" s="22" t="s">
        <v>1671</v>
      </c>
      <c r="DJ30" s="92">
        <v>5000</v>
      </c>
      <c r="DK30" s="61"/>
      <c r="DM30" s="88" t="s">
        <v>2233</v>
      </c>
      <c r="DN30" s="57">
        <f>12.19+9.83+1.31+11.91+13.1+17+10+12.95</f>
        <v>88.29</v>
      </c>
      <c r="DO30" s="69" t="s">
        <v>1466</v>
      </c>
      <c r="DP30" s="94">
        <v>-20000</v>
      </c>
      <c r="DQ30" s="61"/>
      <c r="DS30" s="118" t="s">
        <v>2756</v>
      </c>
      <c r="DT30" s="57">
        <v>10</v>
      </c>
      <c r="DU30" s="69" t="s">
        <v>1466</v>
      </c>
      <c r="DV30" s="94">
        <v>-20000</v>
      </c>
      <c r="DY30" s="22" t="s">
        <v>2757</v>
      </c>
      <c r="DZ30" s="22"/>
      <c r="EA30" s="159" t="s">
        <v>2758</v>
      </c>
      <c r="EB30" s="136"/>
      <c r="EE30" s="15" t="s">
        <v>2759</v>
      </c>
      <c r="EF30" s="15">
        <v>201</v>
      </c>
      <c r="EG30" s="48"/>
      <c r="EH30" s="15" t="s">
        <v>2760</v>
      </c>
      <c r="EL30" s="158" t="s">
        <v>2761</v>
      </c>
      <c r="EM30" s="158"/>
      <c r="EN30" s="15" t="s">
        <v>372</v>
      </c>
      <c r="ER30" s="22" t="s">
        <v>2762</v>
      </c>
      <c r="ES30" s="22"/>
      <c r="ET30" s="77" t="s">
        <v>2533</v>
      </c>
      <c r="EU30" s="77"/>
      <c r="EX30" s="154" t="s">
        <v>2763</v>
      </c>
      <c r="EY30" s="158"/>
      <c r="EZ30" s="48" t="s">
        <v>2014</v>
      </c>
      <c r="FA30" s="94">
        <v>10000</v>
      </c>
      <c r="FD30" s="154" t="s">
        <v>2764</v>
      </c>
      <c r="FE30" s="158"/>
      <c r="FF30" s="48" t="s">
        <v>2014</v>
      </c>
      <c r="FG30" s="94">
        <v>15000</v>
      </c>
      <c r="FJ30" s="171">
        <v>200</v>
      </c>
      <c r="FK30" s="172">
        <f>FG9+FJ30-FM10</f>
        <v>340</v>
      </c>
      <c r="FL30" s="48" t="s">
        <v>1947</v>
      </c>
      <c r="FM30" s="94">
        <v>0</v>
      </c>
      <c r="FP30" s="151" t="s">
        <v>2765</v>
      </c>
      <c r="FQ30" s="15">
        <v>44.8</v>
      </c>
      <c r="FR30" s="48" t="s">
        <v>2657</v>
      </c>
      <c r="FS30" s="94">
        <v>0</v>
      </c>
      <c r="FT30" s="61" t="s">
        <v>1947</v>
      </c>
      <c r="FU30" s="15">
        <f>9952.43-10000</f>
        <v>-47.5699999999997</v>
      </c>
      <c r="FV30" s="178" t="s">
        <v>2596</v>
      </c>
      <c r="FW30" s="178"/>
      <c r="FX30" s="48" t="s">
        <v>2664</v>
      </c>
      <c r="FY30" s="94" t="s">
        <v>646</v>
      </c>
      <c r="GB30" s="151" t="s">
        <v>2766</v>
      </c>
      <c r="GC30" s="15">
        <v>18.8</v>
      </c>
      <c r="GD30" s="48" t="s">
        <v>2664</v>
      </c>
      <c r="GE30" s="94" t="s">
        <v>646</v>
      </c>
      <c r="GF30" s="48"/>
      <c r="GG30" s="64"/>
      <c r="GH30" s="151" t="s">
        <v>2767</v>
      </c>
      <c r="GI30" s="15">
        <v>16</v>
      </c>
      <c r="GJ30" s="61" t="s">
        <v>1819</v>
      </c>
      <c r="GK30" s="94">
        <v>300</v>
      </c>
      <c r="GN30" s="151" t="s">
        <v>2768</v>
      </c>
      <c r="GO30" s="15">
        <v>10</v>
      </c>
      <c r="GP30" s="61" t="s">
        <v>1819</v>
      </c>
      <c r="GQ30" s="94">
        <v>300</v>
      </c>
      <c r="GR30" s="61"/>
      <c r="GT30" s="151" t="s">
        <v>2769</v>
      </c>
      <c r="GU30" s="15">
        <v>10</v>
      </c>
      <c r="GV30" s="69" t="s">
        <v>2770</v>
      </c>
      <c r="GW30" s="97">
        <v>1159.4</v>
      </c>
      <c r="GZ30" s="151" t="s">
        <v>2423</v>
      </c>
      <c r="HA30" s="15">
        <v>8</v>
      </c>
      <c r="HB30" s="77" t="s">
        <v>2533</v>
      </c>
      <c r="HC30" s="97"/>
      <c r="HF30" s="178" t="s">
        <v>2596</v>
      </c>
      <c r="HG30" s="22"/>
      <c r="HH30" s="188" t="s">
        <v>1959</v>
      </c>
      <c r="HI30" s="194">
        <v>258.44</v>
      </c>
      <c r="HJ30" s="151" t="s">
        <v>2771</v>
      </c>
      <c r="HK30" s="15">
        <f>SUM(HM20:HM23)</f>
        <v>255.58</v>
      </c>
      <c r="HL30" s="204">
        <v>60</v>
      </c>
      <c r="HM30" s="154" t="s">
        <v>2772</v>
      </c>
      <c r="HP30" s="163" t="s">
        <v>2542</v>
      </c>
      <c r="HQ30" s="15">
        <f>SUM(HS7:HS8)</f>
        <v>1867.15</v>
      </c>
      <c r="HR30" s="15" t="s">
        <v>2430</v>
      </c>
      <c r="HS30" s="61">
        <v>37</v>
      </c>
      <c r="HT30" s="48" t="s">
        <v>1685</v>
      </c>
      <c r="HU30" s="94">
        <v>25000</v>
      </c>
      <c r="HV30" s="151" t="s">
        <v>2771</v>
      </c>
      <c r="HW30" s="15">
        <f>SUM(HY26:HY30)</f>
        <v>251.94</v>
      </c>
      <c r="HX30" s="151" t="s">
        <v>2773</v>
      </c>
      <c r="HY30" s="15">
        <v>11</v>
      </c>
      <c r="HZ30" s="65" t="s">
        <v>2491</v>
      </c>
      <c r="IA30" s="15">
        <v>4</v>
      </c>
      <c r="IB30" s="170" t="s">
        <v>2607</v>
      </c>
      <c r="IC30" s="198">
        <f>SUM(IE18:IE26)</f>
        <v>1421.25333333333</v>
      </c>
      <c r="ID30" s="151" t="s">
        <v>2774</v>
      </c>
      <c r="IE30" s="15">
        <v>62</v>
      </c>
      <c r="IF30" s="189" t="s">
        <v>2727</v>
      </c>
      <c r="IG30" s="235">
        <v>21.35</v>
      </c>
      <c r="IH30" s="194" t="s">
        <v>2775</v>
      </c>
      <c r="II30" s="212">
        <f>19.45*25</f>
        <v>486.25</v>
      </c>
      <c r="IJ30" s="151" t="s">
        <v>2776</v>
      </c>
      <c r="IK30" s="15">
        <v>34</v>
      </c>
      <c r="IL30" s="69" t="s">
        <v>2777</v>
      </c>
      <c r="IM30" s="15">
        <v>1.49</v>
      </c>
      <c r="IN30" s="194"/>
      <c r="IO30" s="212"/>
      <c r="IP30" s="151" t="s">
        <v>2778</v>
      </c>
      <c r="IQ30" s="41" t="s">
        <v>2779</v>
      </c>
      <c r="IR30" s="69"/>
      <c r="IT30" s="154" t="s">
        <v>2780</v>
      </c>
      <c r="IU30" s="171">
        <v>90</v>
      </c>
      <c r="IV30" s="204">
        <v>5</v>
      </c>
      <c r="IW30" s="245" t="s">
        <v>2781</v>
      </c>
      <c r="IX30" s="42" t="s">
        <v>2782</v>
      </c>
      <c r="IZ30" s="72" t="s">
        <v>1277</v>
      </c>
      <c r="JA30" s="91">
        <f>SUM(JC14:JC16)</f>
        <v>4142.981</v>
      </c>
      <c r="JB30" s="252" t="s">
        <v>2783</v>
      </c>
      <c r="JC30" s="101">
        <f>3.3+7.001</f>
        <v>10.301</v>
      </c>
      <c r="JD30" s="15" t="s">
        <v>197</v>
      </c>
      <c r="JF30" s="160" t="s">
        <v>1268</v>
      </c>
      <c r="JG30" s="43">
        <f>SUM(JI8:JI8)</f>
        <v>327.74</v>
      </c>
      <c r="JH30" s="151" t="s">
        <v>2784</v>
      </c>
      <c r="JI30" s="101">
        <f>8.65*2</f>
        <v>17.3</v>
      </c>
      <c r="JJ30" s="69"/>
      <c r="JL30" s="163" t="s">
        <v>2542</v>
      </c>
      <c r="JM30" s="43">
        <f>SUM(JO10:JO10)</f>
        <v>669.6</v>
      </c>
      <c r="JN30" s="202">
        <v>20.35</v>
      </c>
      <c r="JO30" s="44"/>
      <c r="JQ30" s="43"/>
      <c r="JR30" s="151" t="s">
        <v>2677</v>
      </c>
      <c r="JS30" s="43">
        <f>SUM(JU23:JU27)</f>
        <v>179.6</v>
      </c>
      <c r="JT30" s="202">
        <v>24.07</v>
      </c>
      <c r="JU30" s="44"/>
      <c r="JZ30" s="170" t="s">
        <v>1714</v>
      </c>
      <c r="KA30" s="41">
        <f>9+14.32+(9+9)</f>
        <v>41.32</v>
      </c>
      <c r="KB30" s="15" t="s">
        <v>197</v>
      </c>
      <c r="KD30" s="177" t="s">
        <v>2785</v>
      </c>
      <c r="KE30" s="91">
        <f>SUM(KG8:KG10)</f>
        <v>2474.55</v>
      </c>
      <c r="KF30" s="204">
        <v>10</v>
      </c>
      <c r="KG30" s="283" t="s">
        <v>2786</v>
      </c>
      <c r="KH30" s="69" t="s">
        <v>2319</v>
      </c>
      <c r="KI30" s="41"/>
      <c r="KL30" s="151" t="s">
        <v>2787</v>
      </c>
      <c r="KM30" s="101">
        <v>44.55</v>
      </c>
      <c r="KN30" s="69" t="s">
        <v>2319</v>
      </c>
      <c r="KO30" s="41"/>
      <c r="KR30" s="151" t="s">
        <v>2788</v>
      </c>
      <c r="KS30" s="41">
        <f>5+0.99</f>
        <v>5.99</v>
      </c>
      <c r="KT30" s="65" t="s">
        <v>2789</v>
      </c>
      <c r="KU30" s="41"/>
      <c r="KV30" s="61"/>
      <c r="KX30" s="67" t="s">
        <v>2790</v>
      </c>
      <c r="KY30" s="41">
        <v>57.3</v>
      </c>
      <c r="KZ30" s="69" t="s">
        <v>2436</v>
      </c>
      <c r="LA30" s="41"/>
      <c r="LD30" s="67" t="s">
        <v>2791</v>
      </c>
      <c r="LE30" s="41">
        <v>67.8</v>
      </c>
      <c r="LF30" s="65" t="s">
        <v>2792</v>
      </c>
      <c r="LG30" s="43">
        <v>28.82</v>
      </c>
      <c r="LH30" s="184" t="s">
        <v>1220</v>
      </c>
      <c r="LI30" s="91">
        <f>SUM(LK6:LK7)</f>
        <v>1900.02</v>
      </c>
      <c r="LJ30" s="151" t="s">
        <v>2793</v>
      </c>
      <c r="LK30" s="41">
        <v>10.6</v>
      </c>
      <c r="LL30" s="65"/>
      <c r="LM30" s="41"/>
      <c r="LN30" s="45" t="s">
        <v>2395</v>
      </c>
      <c r="LO30" s="315"/>
      <c r="LP30" s="151" t="s">
        <v>2794</v>
      </c>
      <c r="LQ30" s="41">
        <v>387.83</v>
      </c>
      <c r="LR30" s="69" t="s">
        <v>2319</v>
      </c>
      <c r="LS30" s="41"/>
      <c r="LV30" s="151" t="s">
        <v>2795</v>
      </c>
      <c r="LW30" s="41">
        <v>46.4</v>
      </c>
      <c r="LX30" s="65"/>
      <c r="LY30" s="43"/>
      <c r="LZ30" s="61"/>
      <c r="MB30" s="67" t="s">
        <v>2796</v>
      </c>
      <c r="MC30" s="57">
        <v>10.9</v>
      </c>
      <c r="MD30" s="65" t="s">
        <v>2503</v>
      </c>
      <c r="ME30" s="43"/>
      <c r="MF30" s="321"/>
      <c r="MG30" s="328"/>
      <c r="MH30" s="327" t="s">
        <v>2797</v>
      </c>
      <c r="MI30" s="41">
        <v>12.9</v>
      </c>
      <c r="MJ30" s="215">
        <v>2382</v>
      </c>
      <c r="MK30" s="43" t="s">
        <v>2631</v>
      </c>
      <c r="ML30" s="321"/>
      <c r="MM30" s="328"/>
      <c r="MN30" s="327" t="s">
        <v>2798</v>
      </c>
      <c r="MO30" s="41">
        <v>8.8</v>
      </c>
      <c r="MP30" s="215">
        <v>1453</v>
      </c>
      <c r="MQ30" s="43" t="s">
        <v>1309</v>
      </c>
      <c r="MR30" s="61"/>
      <c r="MS30" s="38"/>
      <c r="MT30" s="327" t="s">
        <v>2799</v>
      </c>
      <c r="MU30" s="41">
        <v>143.4</v>
      </c>
      <c r="MV30" s="215">
        <v>2212</v>
      </c>
      <c r="MW30" s="43" t="s">
        <v>2636</v>
      </c>
      <c r="MX30" s="161" t="s">
        <v>2800</v>
      </c>
      <c r="MY30" s="57">
        <f>SUM(NA7:NA9)</f>
        <v>137.1</v>
      </c>
      <c r="MZ30" s="58" t="s">
        <v>2801</v>
      </c>
      <c r="NA30" s="57">
        <v>3</v>
      </c>
      <c r="NB30" s="215">
        <v>7940</v>
      </c>
      <c r="NC30" s="43" t="s">
        <v>2636</v>
      </c>
      <c r="ND30" s="327" t="s">
        <v>2677</v>
      </c>
      <c r="NE30" s="241">
        <f>SUM(NG16:NG26)</f>
        <v>2863.11</v>
      </c>
      <c r="NF30" s="330">
        <v>35.29</v>
      </c>
      <c r="NG30" s="44"/>
      <c r="NH30" s="15" t="s">
        <v>2802</v>
      </c>
      <c r="NI30" s="61">
        <v>2.81</v>
      </c>
      <c r="NJ30" s="327" t="s">
        <v>2803</v>
      </c>
      <c r="NK30" s="318">
        <f>SUM(NM17:NM22)</f>
        <v>303.09</v>
      </c>
      <c r="NL30" s="330">
        <f>NQ39</f>
        <v>0</v>
      </c>
      <c r="NM30" s="44"/>
      <c r="NN30" s="215">
        <v>0</v>
      </c>
      <c r="NO30" s="43" t="s">
        <v>2518</v>
      </c>
      <c r="NP30" s="338" t="s">
        <v>1220</v>
      </c>
      <c r="NQ30" s="57">
        <f>SUM(NS6:NS7)</f>
        <v>3800.23</v>
      </c>
      <c r="NR30" s="58" t="s">
        <v>2804</v>
      </c>
      <c r="NS30" s="41">
        <v>500</v>
      </c>
      <c r="NT30" s="15" t="s">
        <v>2805</v>
      </c>
      <c r="NU30" s="15">
        <v>105.7</v>
      </c>
      <c r="NV30" s="287"/>
      <c r="NW30" s="287"/>
      <c r="NX30" s="327" t="s">
        <v>2806</v>
      </c>
      <c r="NY30" s="41">
        <v>79</v>
      </c>
      <c r="NZ30" s="65" t="s">
        <v>2503</v>
      </c>
      <c r="OD30" s="327" t="s">
        <v>2024</v>
      </c>
      <c r="OE30" s="57"/>
      <c r="OF30" s="69" t="s">
        <v>2319</v>
      </c>
    </row>
    <row r="31" ht="12.75" customHeight="1" spans="1:396">
      <c r="A31" s="15" t="s">
        <v>300</v>
      </c>
      <c r="B31" s="15"/>
      <c r="E31" s="53"/>
      <c r="F31" s="53"/>
      <c r="G31" s="15" t="s">
        <v>300</v>
      </c>
      <c r="H31" s="15"/>
      <c r="M31" s="61" t="s">
        <v>363</v>
      </c>
      <c r="N31" s="61"/>
      <c r="Q31" s="67" t="s">
        <v>2080</v>
      </c>
      <c r="R31" s="15">
        <v>55</v>
      </c>
      <c r="S31" s="61" t="s">
        <v>363</v>
      </c>
      <c r="T31" s="61"/>
      <c r="W31" s="68" t="s">
        <v>2807</v>
      </c>
      <c r="X31" s="68">
        <v>0</v>
      </c>
      <c r="Y31" s="63" t="s">
        <v>2748</v>
      </c>
      <c r="Z31" s="63"/>
      <c r="AE31" s="61" t="s">
        <v>363</v>
      </c>
      <c r="AF31" s="61"/>
      <c r="AK31" s="61" t="s">
        <v>363</v>
      </c>
      <c r="AL31" s="61" t="s">
        <v>363</v>
      </c>
      <c r="AO31" s="67" t="s">
        <v>2288</v>
      </c>
      <c r="AP31" s="61">
        <v>200</v>
      </c>
      <c r="AQ31" s="61" t="s">
        <v>363</v>
      </c>
      <c r="AR31" s="61"/>
      <c r="AU31" s="67" t="s">
        <v>2288</v>
      </c>
      <c r="AV31" s="61">
        <v>100</v>
      </c>
      <c r="AW31" s="61" t="s">
        <v>363</v>
      </c>
      <c r="AX31" s="61"/>
      <c r="AY31" s="67"/>
      <c r="AZ31" s="61"/>
      <c r="BA31" s="61" t="s">
        <v>363</v>
      </c>
      <c r="BB31" s="61"/>
      <c r="BE31" s="78" t="s">
        <v>2808</v>
      </c>
      <c r="BF31" s="15">
        <v>53</v>
      </c>
      <c r="BG31" s="61" t="s">
        <v>363</v>
      </c>
      <c r="BH31" s="61"/>
      <c r="BK31" s="90" t="s">
        <v>2809</v>
      </c>
      <c r="BL31" s="42">
        <v>58.9</v>
      </c>
      <c r="BM31" s="61" t="s">
        <v>363</v>
      </c>
      <c r="BN31" s="61"/>
      <c r="BS31" s="61" t="s">
        <v>363</v>
      </c>
      <c r="BT31" s="91"/>
      <c r="BW31" s="90" t="s">
        <v>2810</v>
      </c>
      <c r="BX31" s="42">
        <v>29.8</v>
      </c>
      <c r="BY31" s="61" t="s">
        <v>363</v>
      </c>
      <c r="BZ31" s="57"/>
      <c r="CC31" s="90" t="s">
        <v>2811</v>
      </c>
      <c r="CD31" s="42">
        <v>37</v>
      </c>
      <c r="CE31" s="61" t="s">
        <v>363</v>
      </c>
      <c r="CF31" s="57"/>
      <c r="CI31" s="103" t="s">
        <v>2812</v>
      </c>
      <c r="CJ31" s="42">
        <v>9</v>
      </c>
      <c r="CK31" s="61" t="s">
        <v>363</v>
      </c>
      <c r="CL31" s="57"/>
      <c r="CO31" s="42" t="s">
        <v>1662</v>
      </c>
      <c r="CQ31" s="61" t="s">
        <v>363</v>
      </c>
      <c r="CR31" s="57"/>
      <c r="CU31" s="103" t="s">
        <v>2813</v>
      </c>
      <c r="CV31" s="42">
        <v>50.26</v>
      </c>
      <c r="CW31" s="48" t="s">
        <v>197</v>
      </c>
      <c r="CX31" s="57"/>
      <c r="DA31" s="120"/>
      <c r="DC31" s="614" t="s">
        <v>2574</v>
      </c>
      <c r="DD31" s="100"/>
      <c r="DE31" s="42" t="s">
        <v>2814</v>
      </c>
      <c r="DG31" s="88" t="s">
        <v>1636</v>
      </c>
      <c r="DH31" s="57">
        <v>13</v>
      </c>
      <c r="DI31" s="22" t="s">
        <v>1747</v>
      </c>
      <c r="DJ31" s="92">
        <v>5000</v>
      </c>
      <c r="DK31" s="61"/>
      <c r="DM31" s="118" t="s">
        <v>2815</v>
      </c>
      <c r="DN31" s="57">
        <v>5</v>
      </c>
      <c r="DO31" s="133" t="s">
        <v>2816</v>
      </c>
      <c r="DP31" s="133"/>
      <c r="DQ31" s="61"/>
      <c r="DS31" s="118" t="s">
        <v>2817</v>
      </c>
      <c r="DT31" s="57">
        <f>95+70</f>
        <v>165</v>
      </c>
      <c r="DU31" s="142" t="s">
        <v>2758</v>
      </c>
      <c r="DV31" s="143"/>
      <c r="DY31" s="22" t="s">
        <v>2818</v>
      </c>
      <c r="DZ31" s="22"/>
      <c r="EA31" s="22" t="s">
        <v>2819</v>
      </c>
      <c r="EB31" s="22">
        <v>991</v>
      </c>
      <c r="EE31" s="15" t="s">
        <v>2820</v>
      </c>
      <c r="EF31" s="15">
        <v>30</v>
      </c>
      <c r="EG31" s="48"/>
      <c r="EH31" s="15" t="s">
        <v>2821</v>
      </c>
      <c r="EL31" s="22" t="s">
        <v>2822</v>
      </c>
      <c r="EM31" s="22"/>
      <c r="EN31" s="15" t="s">
        <v>2823</v>
      </c>
      <c r="ER31" s="22" t="s">
        <v>2824</v>
      </c>
      <c r="ES31" s="22"/>
      <c r="ET31" s="69" t="s">
        <v>2594</v>
      </c>
      <c r="EU31" s="102">
        <v>326.35</v>
      </c>
      <c r="EX31" s="154" t="s">
        <v>2825</v>
      </c>
      <c r="EY31" s="158"/>
      <c r="EZ31" s="48" t="s">
        <v>2657</v>
      </c>
      <c r="FA31" s="94">
        <f>7000+1000</f>
        <v>8000</v>
      </c>
      <c r="FD31" s="154" t="s">
        <v>2826</v>
      </c>
      <c r="FE31" s="158"/>
      <c r="FF31" s="48" t="s">
        <v>2657</v>
      </c>
      <c r="FG31" s="94">
        <v>0</v>
      </c>
      <c r="FJ31" s="158" t="s">
        <v>2827</v>
      </c>
      <c r="FK31" s="158"/>
      <c r="FL31" s="48" t="s">
        <v>1942</v>
      </c>
      <c r="FM31" s="94">
        <v>1010</v>
      </c>
      <c r="FP31" s="151" t="s">
        <v>2828</v>
      </c>
      <c r="FQ31" s="15">
        <v>8</v>
      </c>
      <c r="FR31" s="48" t="s">
        <v>2710</v>
      </c>
      <c r="FS31" s="94">
        <v>0</v>
      </c>
      <c r="FT31" s="48" t="s">
        <v>1746</v>
      </c>
      <c r="FU31" s="64">
        <f>4975.39+4974.29+4974.23-15000</f>
        <v>-76.0900000000001</v>
      </c>
      <c r="FV31" s="171">
        <v>100</v>
      </c>
      <c r="FW31" s="172">
        <f>FS11+FV31-FY16</f>
        <v>126</v>
      </c>
      <c r="FX31" s="77" t="s">
        <v>2533</v>
      </c>
      <c r="FY31" s="97"/>
      <c r="GB31" s="151" t="s">
        <v>2829</v>
      </c>
      <c r="GC31" s="15">
        <v>20</v>
      </c>
      <c r="GD31" s="77" t="s">
        <v>2533</v>
      </c>
      <c r="GE31" s="97"/>
      <c r="GH31" s="151" t="s">
        <v>2830</v>
      </c>
      <c r="GI31" s="15">
        <v>66.62</v>
      </c>
      <c r="GJ31" s="48" t="s">
        <v>2664</v>
      </c>
      <c r="GK31" s="94">
        <v>0</v>
      </c>
      <c r="GN31" s="151" t="s">
        <v>2831</v>
      </c>
      <c r="GO31" s="15">
        <v>14.06</v>
      </c>
      <c r="GP31" s="77" t="s">
        <v>2533</v>
      </c>
      <c r="GQ31" s="97"/>
      <c r="GR31" s="48"/>
      <c r="GS31" s="64"/>
      <c r="GT31" s="151" t="s">
        <v>2832</v>
      </c>
      <c r="GU31" s="15">
        <v>47.67</v>
      </c>
      <c r="GV31" s="69"/>
      <c r="GZ31" s="151" t="s">
        <v>2833</v>
      </c>
      <c r="HA31" s="15">
        <v>41.4</v>
      </c>
      <c r="HB31" s="69" t="s">
        <v>2834</v>
      </c>
      <c r="HC31" s="101">
        <v>1159.4</v>
      </c>
      <c r="HF31" s="171">
        <v>200</v>
      </c>
      <c r="HG31" s="178"/>
      <c r="HH31" s="188" t="s">
        <v>1959</v>
      </c>
      <c r="HI31" s="194">
        <v>23.05</v>
      </c>
      <c r="HJ31" s="154" t="s">
        <v>2835</v>
      </c>
      <c r="HK31" s="171">
        <v>300</v>
      </c>
      <c r="HL31" s="204">
        <v>45</v>
      </c>
      <c r="HM31" s="154" t="s">
        <v>2355</v>
      </c>
      <c r="HP31" s="170" t="s">
        <v>2607</v>
      </c>
      <c r="HQ31" s="198">
        <f>SUM(HS12:HS23)</f>
        <v>1323.13666666667</v>
      </c>
      <c r="HR31" s="42" t="s">
        <v>2486</v>
      </c>
      <c r="HS31" s="42">
        <v>429</v>
      </c>
      <c r="HT31" s="48" t="s">
        <v>2097</v>
      </c>
      <c r="HU31" s="94">
        <v>2000</v>
      </c>
      <c r="HX31" s="15" t="s">
        <v>2430</v>
      </c>
      <c r="HY31" s="61">
        <v>20</v>
      </c>
      <c r="HZ31" s="65" t="s">
        <v>2026</v>
      </c>
      <c r="IA31" s="15">
        <v>1000</v>
      </c>
      <c r="IB31" s="151" t="s">
        <v>2677</v>
      </c>
      <c r="IC31" s="15">
        <f>SUM(IE27:IE35)</f>
        <v>712.47</v>
      </c>
      <c r="ID31" s="151" t="s">
        <v>2836</v>
      </c>
      <c r="IE31" s="15">
        <v>10</v>
      </c>
      <c r="IF31" s="69" t="s">
        <v>2837</v>
      </c>
      <c r="IG31" s="235">
        <v>125.91</v>
      </c>
      <c r="IH31" s="194"/>
      <c r="II31" s="212"/>
      <c r="IJ31" s="151" t="s">
        <v>2838</v>
      </c>
      <c r="IK31" s="15">
        <f>22+32.4</f>
        <v>54.4</v>
      </c>
      <c r="IL31" s="69"/>
      <c r="IM31" s="97"/>
      <c r="IN31" s="199"/>
      <c r="IP31" s="151" t="s">
        <v>2839</v>
      </c>
      <c r="IQ31" s="41">
        <v>42.17</v>
      </c>
      <c r="IR31" s="69"/>
      <c r="IV31" s="204">
        <v>50</v>
      </c>
      <c r="IW31" s="245" t="s">
        <v>2667</v>
      </c>
      <c r="IX31" s="15" t="s">
        <v>197</v>
      </c>
      <c r="IZ31" s="160" t="s">
        <v>1268</v>
      </c>
      <c r="JA31" s="43">
        <f>SUM(JC8:JC10)</f>
        <v>1354.32</v>
      </c>
      <c r="JB31" s="252" t="s">
        <v>2840</v>
      </c>
      <c r="JC31" s="101">
        <v>74.96</v>
      </c>
      <c r="JD31" s="15" t="s">
        <v>2841</v>
      </c>
      <c r="JF31" s="163" t="s">
        <v>2542</v>
      </c>
      <c r="JG31" s="174">
        <f>SUM(JI9:JI11)</f>
        <v>2683.17</v>
      </c>
      <c r="JH31" s="151" t="s">
        <v>2842</v>
      </c>
      <c r="JI31" s="101">
        <f>6.2+29.5</f>
        <v>35.7</v>
      </c>
      <c r="JL31" s="168" t="s">
        <v>2607</v>
      </c>
      <c r="JM31" s="43">
        <f>SUM(JO14:JO21)</f>
        <v>1710.438</v>
      </c>
      <c r="JN31" s="178" t="s">
        <v>2732</v>
      </c>
      <c r="JO31" s="203">
        <f>JK22+JM35-JQ20</f>
        <v>770</v>
      </c>
      <c r="JQ31" s="43"/>
      <c r="JR31" s="151" t="s">
        <v>2803</v>
      </c>
      <c r="JS31" s="263">
        <f>SUM(JU24:JU27)</f>
        <v>169.6</v>
      </c>
      <c r="JT31" s="178" t="s">
        <v>2732</v>
      </c>
      <c r="JU31" s="203">
        <f>JQ20+JS34-JW19</f>
        <v>70</v>
      </c>
      <c r="JZ31" s="170" t="s">
        <v>2843</v>
      </c>
      <c r="KA31" s="41">
        <f>64+30.9</f>
        <v>94.9</v>
      </c>
      <c r="KB31" s="15" t="s">
        <v>2841</v>
      </c>
      <c r="KD31" s="160" t="s">
        <v>1268</v>
      </c>
      <c r="KE31" s="43">
        <v>0</v>
      </c>
      <c r="KF31" s="204">
        <v>70</v>
      </c>
      <c r="KG31" s="245" t="s">
        <v>2667</v>
      </c>
      <c r="KH31" s="69" t="s">
        <v>2442</v>
      </c>
      <c r="KI31" s="41">
        <v>1.64</v>
      </c>
      <c r="KK31" s="48"/>
      <c r="KL31" s="151" t="s">
        <v>2373</v>
      </c>
      <c r="KM31" s="101">
        <v>57.86</v>
      </c>
      <c r="KN31" s="65" t="s">
        <v>2844</v>
      </c>
      <c r="KO31" s="41">
        <v>3.54</v>
      </c>
      <c r="KQ31" s="48"/>
      <c r="KR31" s="151" t="s">
        <v>2845</v>
      </c>
      <c r="KS31" s="41">
        <v>43.9</v>
      </c>
      <c r="KT31" s="69" t="s">
        <v>2846</v>
      </c>
      <c r="KU31" s="41">
        <v>95</v>
      </c>
      <c r="KV31" s="61"/>
      <c r="KX31" s="67" t="s">
        <v>1714</v>
      </c>
      <c r="KY31" s="41">
        <f>14.32+9+9</f>
        <v>32.32</v>
      </c>
      <c r="KZ31" s="69"/>
      <c r="LA31" s="41"/>
      <c r="LD31" s="67" t="s">
        <v>1714</v>
      </c>
      <c r="LE31" s="41">
        <f>14.32+18*2</f>
        <v>50.32</v>
      </c>
      <c r="LF31" s="65"/>
      <c r="LG31" s="43"/>
      <c r="LH31" s="177" t="s">
        <v>2847</v>
      </c>
      <c r="LI31" s="91">
        <f>SUM(LK20:LK22)</f>
        <v>1334.26</v>
      </c>
      <c r="LJ31" s="151" t="s">
        <v>2848</v>
      </c>
      <c r="LK31" s="101">
        <f>45.98+50</f>
        <v>95.98</v>
      </c>
      <c r="LL31" s="69" t="s">
        <v>2319</v>
      </c>
      <c r="LM31" s="41"/>
      <c r="LN31" s="184" t="s">
        <v>1220</v>
      </c>
      <c r="LO31" s="57">
        <f>SUM(LQ7:LQ11)</f>
        <v>8400.23</v>
      </c>
      <c r="LP31" s="151" t="s">
        <v>2064</v>
      </c>
      <c r="LQ31" s="41">
        <v>80</v>
      </c>
      <c r="LR31" s="65" t="s">
        <v>2849</v>
      </c>
      <c r="LS31" s="15">
        <v>8</v>
      </c>
      <c r="LT31" s="45" t="s">
        <v>2395</v>
      </c>
      <c r="LU31" s="315"/>
      <c r="LV31" s="151" t="s">
        <v>2850</v>
      </c>
      <c r="LW31" s="41">
        <v>53.72</v>
      </c>
      <c r="LX31" s="65" t="s">
        <v>2503</v>
      </c>
      <c r="LY31" s="43"/>
      <c r="MB31" s="67" t="s">
        <v>2851</v>
      </c>
      <c r="MC31" s="57">
        <v>14.9</v>
      </c>
      <c r="MD31" s="69" t="s">
        <v>2319</v>
      </c>
      <c r="MF31" s="321"/>
      <c r="MG31" s="328"/>
      <c r="MH31" s="327" t="s">
        <v>2852</v>
      </c>
      <c r="MI31" s="41">
        <v>50.74</v>
      </c>
      <c r="MJ31" s="215">
        <v>0</v>
      </c>
      <c r="MK31" s="43" t="s">
        <v>2518</v>
      </c>
      <c r="ML31" s="321"/>
      <c r="MM31" s="328"/>
      <c r="MN31" s="327" t="s">
        <v>2853</v>
      </c>
      <c r="MO31" s="41">
        <f>19.69+33.2</f>
        <v>52.89</v>
      </c>
      <c r="MP31" s="215">
        <v>0</v>
      </c>
      <c r="MQ31" s="43" t="s">
        <v>2518</v>
      </c>
      <c r="MR31" s="321"/>
      <c r="MS31" s="321"/>
      <c r="MT31" s="327" t="s">
        <v>2343</v>
      </c>
      <c r="MU31" s="41">
        <v>39.33</v>
      </c>
      <c r="MV31" s="215">
        <v>0</v>
      </c>
      <c r="MW31" s="43" t="s">
        <v>2518</v>
      </c>
      <c r="MX31" s="151" t="s">
        <v>2637</v>
      </c>
      <c r="MY31" s="41">
        <f>SUM(NA10:NA14)</f>
        <v>197.39</v>
      </c>
      <c r="MZ31" s="58" t="s">
        <v>2854</v>
      </c>
      <c r="NA31" s="57">
        <v>16</v>
      </c>
      <c r="NB31" s="215">
        <v>0</v>
      </c>
      <c r="NC31" s="43" t="s">
        <v>2518</v>
      </c>
      <c r="ND31" s="327" t="s">
        <v>2803</v>
      </c>
      <c r="NE31" s="263">
        <f>SUM(NG20:NG26)</f>
        <v>444.11</v>
      </c>
      <c r="NF31" s="178" t="s">
        <v>2732</v>
      </c>
      <c r="NG31" s="23">
        <f>NC27+NE33-NI24</f>
        <v>150</v>
      </c>
      <c r="NH31" s="69" t="s">
        <v>2855</v>
      </c>
      <c r="NJ31" s="158" t="s">
        <v>2856</v>
      </c>
      <c r="NK31" s="204">
        <f>-10+100</f>
        <v>90</v>
      </c>
      <c r="NL31" s="178" t="s">
        <v>2732</v>
      </c>
      <c r="NM31" s="23">
        <f>NI24+NK31-NO27</f>
        <v>40</v>
      </c>
      <c r="NN31" s="69" t="s">
        <v>2436</v>
      </c>
      <c r="NO31" s="41"/>
      <c r="NP31" s="161" t="s">
        <v>2515</v>
      </c>
      <c r="NQ31" s="57">
        <f>SUM(NS8:NS9)</f>
        <v>73000</v>
      </c>
      <c r="NR31" s="58" t="s">
        <v>2857</v>
      </c>
      <c r="NS31" s="41">
        <v>74</v>
      </c>
      <c r="NT31" s="65" t="s">
        <v>2503</v>
      </c>
      <c r="NV31" s="287"/>
      <c r="NW31" s="287"/>
      <c r="NX31" s="327" t="s">
        <v>2858</v>
      </c>
      <c r="NY31" s="57">
        <v>6.2</v>
      </c>
      <c r="NZ31" s="69" t="s">
        <v>2855</v>
      </c>
      <c r="OD31" s="58" t="s">
        <v>2024</v>
      </c>
      <c r="OE31" s="41"/>
      <c r="OF31" s="65" t="s">
        <v>2503</v>
      </c>
    </row>
    <row r="32" spans="1:396">
      <c r="A32" s="63" t="s">
        <v>2748</v>
      </c>
      <c r="B32" s="63"/>
      <c r="C32" s="64"/>
      <c r="D32" s="64"/>
      <c r="E32" s="64"/>
      <c r="F32" s="64"/>
      <c r="G32" s="63" t="s">
        <v>2748</v>
      </c>
      <c r="H32" s="63"/>
      <c r="K32" s="68" t="s">
        <v>2859</v>
      </c>
      <c r="L32" s="68"/>
      <c r="M32" s="69" t="s">
        <v>2841</v>
      </c>
      <c r="N32" s="69"/>
      <c r="Q32" s="67" t="s">
        <v>1861</v>
      </c>
      <c r="R32" s="15">
        <v>77.24</v>
      </c>
      <c r="S32" s="69" t="s">
        <v>2841</v>
      </c>
      <c r="T32" s="69"/>
      <c r="Y32" s="61" t="s">
        <v>363</v>
      </c>
      <c r="Z32" s="61"/>
      <c r="AC32" s="624" t="s">
        <v>1465</v>
      </c>
      <c r="AD32" s="15">
        <v>350</v>
      </c>
      <c r="AE32" s="69" t="s">
        <v>2841</v>
      </c>
      <c r="AF32" s="69"/>
      <c r="AI32" s="624" t="s">
        <v>1465</v>
      </c>
      <c r="AJ32" s="15">
        <v>200</v>
      </c>
      <c r="AK32" s="69" t="s">
        <v>2841</v>
      </c>
      <c r="AL32" s="69" t="s">
        <v>2841</v>
      </c>
      <c r="AQ32" s="69" t="s">
        <v>2841</v>
      </c>
      <c r="AR32" s="69"/>
      <c r="AW32" s="69" t="s">
        <v>2841</v>
      </c>
      <c r="AX32" s="69"/>
      <c r="BA32" s="69" t="s">
        <v>2841</v>
      </c>
      <c r="BB32" s="69"/>
      <c r="BE32" s="78" t="s">
        <v>2860</v>
      </c>
      <c r="BF32" s="15">
        <v>14</v>
      </c>
      <c r="BG32" s="69" t="s">
        <v>2841</v>
      </c>
      <c r="BH32" s="69"/>
      <c r="BM32" s="69" t="s">
        <v>2841</v>
      </c>
      <c r="BN32" s="69"/>
      <c r="BQ32" s="42" t="s">
        <v>2861</v>
      </c>
      <c r="BR32" s="42" t="s">
        <v>2862</v>
      </c>
      <c r="BS32" s="69" t="s">
        <v>2841</v>
      </c>
      <c r="BT32" s="97"/>
      <c r="BW32" s="90"/>
      <c r="BY32" s="69" t="s">
        <v>2841</v>
      </c>
      <c r="BZ32" s="101"/>
      <c r="CC32" s="90" t="s">
        <v>2863</v>
      </c>
      <c r="CD32" s="42">
        <v>82.15</v>
      </c>
      <c r="CE32" s="69" t="s">
        <v>2841</v>
      </c>
      <c r="CF32" s="101"/>
      <c r="CI32" s="103" t="s">
        <v>2864</v>
      </c>
      <c r="CJ32" s="42">
        <v>28.6</v>
      </c>
      <c r="CK32" s="69" t="s">
        <v>2841</v>
      </c>
      <c r="CL32" s="101"/>
      <c r="CO32" s="42" t="s">
        <v>2865</v>
      </c>
      <c r="CP32" s="42">
        <v>60</v>
      </c>
      <c r="CQ32" s="69" t="s">
        <v>2841</v>
      </c>
      <c r="CR32" s="101"/>
      <c r="CU32" s="42" t="s">
        <v>2866</v>
      </c>
      <c r="CV32" s="42">
        <v>11</v>
      </c>
      <c r="CW32" s="15" t="s">
        <v>2701</v>
      </c>
      <c r="CX32" s="101"/>
      <c r="DA32" s="121" t="s">
        <v>2732</v>
      </c>
      <c r="DB32" s="122"/>
      <c r="DC32" s="48" t="s">
        <v>197</v>
      </c>
      <c r="DD32" s="57"/>
      <c r="DE32" s="61" t="s">
        <v>2867</v>
      </c>
      <c r="DF32" s="42">
        <v>307.61</v>
      </c>
      <c r="DG32" s="88" t="s">
        <v>2013</v>
      </c>
      <c r="DH32" s="57">
        <f>140.45+146.45</f>
        <v>286.9</v>
      </c>
      <c r="DI32" s="22" t="s">
        <v>2165</v>
      </c>
      <c r="DJ32" s="92">
        <v>10000</v>
      </c>
      <c r="DM32" s="118" t="s">
        <v>2868</v>
      </c>
      <c r="DN32" s="57">
        <v>20</v>
      </c>
      <c r="DO32" s="111" t="s">
        <v>2869</v>
      </c>
      <c r="DP32" s="111"/>
      <c r="DS32" s="118" t="s">
        <v>2870</v>
      </c>
      <c r="DT32" s="57">
        <v>8.5</v>
      </c>
      <c r="DU32" s="144" t="s">
        <v>2871</v>
      </c>
      <c r="DV32" s="145">
        <v>1583.97</v>
      </c>
      <c r="DY32" s="22"/>
      <c r="DZ32" s="22"/>
      <c r="EE32" s="61" t="s">
        <v>1812</v>
      </c>
      <c r="EF32" s="48">
        <v>77.37</v>
      </c>
      <c r="EH32" s="15" t="s">
        <v>197</v>
      </c>
      <c r="EL32" s="22" t="s">
        <v>2872</v>
      </c>
      <c r="EM32" s="22"/>
      <c r="EN32" s="15" t="s">
        <v>2821</v>
      </c>
      <c r="ER32" s="22" t="s">
        <v>2873</v>
      </c>
      <c r="ES32" s="22"/>
      <c r="ET32" s="69" t="s">
        <v>2874</v>
      </c>
      <c r="EU32" s="91">
        <v>1178</v>
      </c>
      <c r="EX32" s="154" t="s">
        <v>2875</v>
      </c>
      <c r="EY32" s="158"/>
      <c r="EZ32" s="48" t="s">
        <v>2710</v>
      </c>
      <c r="FA32" s="94" t="s">
        <v>646</v>
      </c>
      <c r="FD32" s="154" t="s">
        <v>2876</v>
      </c>
      <c r="FE32" s="158"/>
      <c r="FF32" s="48" t="s">
        <v>2710</v>
      </c>
      <c r="FG32" s="94">
        <v>0</v>
      </c>
      <c r="FJ32" s="154" t="s">
        <v>2877</v>
      </c>
      <c r="FK32" s="158"/>
      <c r="FL32" s="48" t="s">
        <v>1942</v>
      </c>
      <c r="FM32" s="94">
        <v>6010</v>
      </c>
      <c r="FP32" s="151" t="s">
        <v>2878</v>
      </c>
      <c r="FQ32" s="15">
        <f>6+4.39+49</f>
        <v>59.39</v>
      </c>
      <c r="FR32" s="77" t="s">
        <v>2533</v>
      </c>
      <c r="FS32" s="97"/>
      <c r="FV32" s="158" t="s">
        <v>2879</v>
      </c>
      <c r="FW32" s="158"/>
      <c r="FX32" s="69"/>
      <c r="FY32" s="97"/>
      <c r="GB32" s="151" t="s">
        <v>2815</v>
      </c>
      <c r="GC32" s="15">
        <v>10</v>
      </c>
      <c r="GD32" s="69"/>
      <c r="GE32" s="97"/>
      <c r="GH32" s="178" t="s">
        <v>2596</v>
      </c>
      <c r="GI32" s="178"/>
      <c r="GJ32" s="77" t="s">
        <v>2533</v>
      </c>
      <c r="GK32" s="97"/>
      <c r="GN32" s="151" t="s">
        <v>2880</v>
      </c>
      <c r="GO32" s="15">
        <v>10</v>
      </c>
      <c r="GP32" s="176" t="s">
        <v>2881</v>
      </c>
      <c r="GQ32" s="61">
        <v>35.1</v>
      </c>
      <c r="GT32" s="151" t="s">
        <v>2556</v>
      </c>
      <c r="GU32" s="15">
        <f>37.5+18.7</f>
        <v>56.2</v>
      </c>
      <c r="GV32" s="69"/>
      <c r="GW32" s="97"/>
      <c r="GZ32" s="151" t="s">
        <v>2882</v>
      </c>
      <c r="HA32" s="15">
        <f>12.35+5.8</f>
        <v>18.15</v>
      </c>
      <c r="HB32" s="69" t="s">
        <v>2883</v>
      </c>
      <c r="HC32" s="101">
        <v>13.5</v>
      </c>
      <c r="HF32" s="158" t="s">
        <v>2884</v>
      </c>
      <c r="HG32" s="172">
        <f>HC17+HF31-HI16</f>
        <v>200</v>
      </c>
      <c r="HH32" s="189" t="s">
        <v>2114</v>
      </c>
      <c r="HI32" s="199">
        <v>1580.64</v>
      </c>
      <c r="HK32" s="153"/>
      <c r="HL32" s="204">
        <v>5</v>
      </c>
      <c r="HM32" s="154" t="s">
        <v>2885</v>
      </c>
      <c r="HP32" s="170" t="s">
        <v>2886</v>
      </c>
      <c r="HQ32" s="198"/>
      <c r="HR32" s="202">
        <v>28.54</v>
      </c>
      <c r="HS32" s="42" t="s">
        <v>2540</v>
      </c>
      <c r="HT32" s="48" t="s">
        <v>2167</v>
      </c>
      <c r="HU32" s="94">
        <v>4000</v>
      </c>
      <c r="HX32" s="15" t="s">
        <v>2887</v>
      </c>
      <c r="HY32" s="61">
        <v>10</v>
      </c>
      <c r="HZ32" s="48" t="s">
        <v>1544</v>
      </c>
      <c r="IA32" s="94">
        <v>3000</v>
      </c>
      <c r="IB32" s="151" t="s">
        <v>2771</v>
      </c>
      <c r="IC32" s="15">
        <f>SUM(IE31:IE35)</f>
        <v>210.71</v>
      </c>
      <c r="ID32" s="151" t="s">
        <v>2888</v>
      </c>
      <c r="IE32" s="15">
        <f>40.3+11+11.4+19.2</f>
        <v>81.9</v>
      </c>
      <c r="IF32" s="69" t="s">
        <v>2889</v>
      </c>
      <c r="IG32" s="97">
        <v>146</v>
      </c>
      <c r="IH32" s="194"/>
      <c r="II32" s="212"/>
      <c r="IJ32" s="151" t="s">
        <v>2890</v>
      </c>
      <c r="IK32" s="15">
        <f>10.1+8+57.3+1.6</f>
        <v>77</v>
      </c>
      <c r="IL32" s="15" t="s">
        <v>372</v>
      </c>
      <c r="IN32" s="45" t="s">
        <v>2313</v>
      </c>
      <c r="IO32" s="45"/>
      <c r="IP32" s="151" t="s">
        <v>2891</v>
      </c>
      <c r="IQ32" s="41">
        <v>6.5</v>
      </c>
      <c r="IR32" s="15" t="s">
        <v>372</v>
      </c>
      <c r="IV32" s="204">
        <v>10</v>
      </c>
      <c r="IW32" s="245" t="s">
        <v>2892</v>
      </c>
      <c r="IX32" s="15" t="s">
        <v>2893</v>
      </c>
      <c r="IZ32" s="163" t="s">
        <v>2542</v>
      </c>
      <c r="JA32" s="43">
        <f>SUM(JC11:JC13)</f>
        <v>762.49</v>
      </c>
      <c r="JB32" s="252" t="s">
        <v>2894</v>
      </c>
      <c r="JC32" s="101">
        <v>74.13</v>
      </c>
      <c r="JF32" s="168" t="s">
        <v>2607</v>
      </c>
      <c r="JG32" s="43">
        <f>SUM(JI16:JI24)</f>
        <v>412.16</v>
      </c>
      <c r="JH32" s="15" t="s">
        <v>2682</v>
      </c>
      <c r="JI32" s="57">
        <v>78</v>
      </c>
      <c r="JJ32" s="15" t="s">
        <v>372</v>
      </c>
      <c r="JL32" s="151" t="s">
        <v>2677</v>
      </c>
      <c r="JM32" s="43">
        <f>SUM(JO22:JO27)</f>
        <v>3204.23</v>
      </c>
      <c r="JN32" s="204">
        <v>60</v>
      </c>
      <c r="JO32" s="245" t="s">
        <v>2667</v>
      </c>
      <c r="JQ32" s="43"/>
      <c r="JT32" s="204">
        <v>30</v>
      </c>
      <c r="JU32" s="245" t="s">
        <v>2895</v>
      </c>
      <c r="JZ32" s="170" t="s">
        <v>1908</v>
      </c>
      <c r="KA32" s="41">
        <v>10.8</v>
      </c>
      <c r="KD32" s="163" t="s">
        <v>2542</v>
      </c>
      <c r="KE32" s="43">
        <f>SUM(KG7:KG7)</f>
        <v>10.25</v>
      </c>
      <c r="KF32" s="204">
        <v>45</v>
      </c>
      <c r="KG32" s="245" t="s">
        <v>2896</v>
      </c>
      <c r="KH32" s="69" t="s">
        <v>2897</v>
      </c>
      <c r="KI32" s="41"/>
      <c r="KL32" s="151" t="s">
        <v>2898</v>
      </c>
      <c r="KM32" s="101">
        <v>36.5</v>
      </c>
      <c r="KN32" s="15" t="s">
        <v>2899</v>
      </c>
      <c r="KO32" s="41">
        <v>58.2</v>
      </c>
      <c r="KR32" s="151" t="s">
        <v>2900</v>
      </c>
      <c r="KS32" s="41">
        <v>24.5</v>
      </c>
      <c r="KT32" s="69"/>
      <c r="KU32" s="41"/>
      <c r="KV32" s="61"/>
      <c r="KX32" s="67" t="s">
        <v>1788</v>
      </c>
      <c r="KY32" s="41">
        <f>16.79+10+18.2+10+17.89+10+21.84+10.3+10+19.32+2.2+15.96+15</f>
        <v>177.5</v>
      </c>
      <c r="KZ32" s="69"/>
      <c r="LD32" s="67" t="s">
        <v>1788</v>
      </c>
      <c r="LE32" s="41">
        <f>15+16.38+16.09+15.91+10+16.16+19.63</f>
        <v>109.17</v>
      </c>
      <c r="LF32" s="65"/>
      <c r="LH32" s="292" t="s">
        <v>2569</v>
      </c>
      <c r="LI32" s="43">
        <f>SUM(LK8:LK9)</f>
        <v>393.36</v>
      </c>
      <c r="LJ32" s="151" t="s">
        <v>2901</v>
      </c>
      <c r="LK32" s="101">
        <v>43.76</v>
      </c>
      <c r="LL32" s="65" t="s">
        <v>2902</v>
      </c>
      <c r="LM32" s="41">
        <v>37.99</v>
      </c>
      <c r="LN32" s="316" t="s">
        <v>2515</v>
      </c>
      <c r="LO32" s="57">
        <f>SUM(LQ21:LQ22)</f>
        <v>245.66</v>
      </c>
      <c r="LP32" s="151" t="s">
        <v>2903</v>
      </c>
      <c r="LQ32" s="41">
        <v>78.65</v>
      </c>
      <c r="LT32" s="184" t="s">
        <v>1220</v>
      </c>
      <c r="LU32" s="57">
        <f>SUM(LW6:LW10)</f>
        <v>42940.08</v>
      </c>
      <c r="LV32" s="151" t="s">
        <v>2904</v>
      </c>
      <c r="LW32" s="57">
        <v>70</v>
      </c>
      <c r="LZ32" s="45" t="s">
        <v>2395</v>
      </c>
      <c r="MA32" s="315"/>
      <c r="MB32" s="115" t="s">
        <v>2905</v>
      </c>
      <c r="MC32" s="57">
        <v>79.3</v>
      </c>
      <c r="MD32" s="65" t="s">
        <v>2906</v>
      </c>
      <c r="ME32" s="41">
        <v>182</v>
      </c>
      <c r="MF32" s="321"/>
      <c r="MG32" s="328"/>
      <c r="MH32" s="327" t="s">
        <v>2907</v>
      </c>
      <c r="MI32" s="41">
        <f>17.1+17.1</f>
        <v>34.2</v>
      </c>
      <c r="MJ32" s="69" t="s">
        <v>2436</v>
      </c>
      <c r="MK32" s="41"/>
      <c r="ML32" s="321"/>
      <c r="MM32" s="328"/>
      <c r="MN32" s="327" t="s">
        <v>2908</v>
      </c>
      <c r="MO32" s="41">
        <v>8.3</v>
      </c>
      <c r="MP32" s="69" t="s">
        <v>2436</v>
      </c>
      <c r="MQ32" s="41"/>
      <c r="MR32" s="45" t="s">
        <v>2395</v>
      </c>
      <c r="MS32" s="315"/>
      <c r="MT32" s="327" t="s">
        <v>2909</v>
      </c>
      <c r="MU32" s="41">
        <v>19.9</v>
      </c>
      <c r="MV32" s="69" t="s">
        <v>2436</v>
      </c>
      <c r="MW32" s="41"/>
      <c r="MX32" s="58" t="s">
        <v>2695</v>
      </c>
      <c r="MY32" s="41">
        <f>SUM(NA25:NA32)</f>
        <v>1888.15</v>
      </c>
      <c r="MZ32" s="58" t="s">
        <v>2910</v>
      </c>
      <c r="NA32" s="15">
        <f>21+41.8</f>
        <v>62.8</v>
      </c>
      <c r="NB32" s="69" t="s">
        <v>2436</v>
      </c>
      <c r="NC32" s="41"/>
      <c r="NF32" s="204">
        <f>10+20</f>
        <v>30</v>
      </c>
      <c r="NG32" s="334" t="s">
        <v>2911</v>
      </c>
      <c r="NH32" s="69" t="s">
        <v>2912</v>
      </c>
      <c r="NL32" s="204">
        <v>40</v>
      </c>
      <c r="NM32" s="334" t="s">
        <v>554</v>
      </c>
      <c r="NN32" s="69" t="s">
        <v>2913</v>
      </c>
      <c r="NO32" s="41">
        <f>196.2</f>
        <v>196.2</v>
      </c>
      <c r="NP32" s="42" t="s">
        <v>2569</v>
      </c>
      <c r="NQ32" s="41">
        <f>SUM(NS10:NS10)</f>
        <v>293.85</v>
      </c>
      <c r="NR32" s="58" t="s">
        <v>2914</v>
      </c>
      <c r="NS32" s="41">
        <v>65.9</v>
      </c>
      <c r="NT32" s="61" t="s">
        <v>2844</v>
      </c>
      <c r="NU32" s="41">
        <v>6.56</v>
      </c>
      <c r="NV32" s="287"/>
      <c r="NW32" s="287"/>
      <c r="NX32" s="327" t="s">
        <v>2915</v>
      </c>
      <c r="NY32" s="57">
        <f>4.6+5.35+7.55</f>
        <v>17.5</v>
      </c>
      <c r="NZ32" s="69" t="s">
        <v>2916</v>
      </c>
      <c r="OB32" s="45" t="s">
        <v>2395</v>
      </c>
      <c r="OC32" s="315"/>
      <c r="OD32" s="58" t="s">
        <v>2917</v>
      </c>
      <c r="OE32" s="41"/>
      <c r="OF32" s="69" t="s">
        <v>2855</v>
      </c>
    </row>
    <row r="33" spans="1:396">
      <c r="A33" s="61" t="s">
        <v>363</v>
      </c>
      <c r="B33" s="61"/>
      <c r="E33" s="625" t="s">
        <v>455</v>
      </c>
      <c r="F33" s="53"/>
      <c r="G33" s="61" t="s">
        <v>363</v>
      </c>
      <c r="H33" s="61"/>
      <c r="K33" s="68" t="s">
        <v>2918</v>
      </c>
      <c r="L33" s="68">
        <v>652</v>
      </c>
      <c r="Q33" s="67" t="s">
        <v>2226</v>
      </c>
      <c r="R33" s="15">
        <v>32</v>
      </c>
      <c r="W33" s="72" t="s">
        <v>2919</v>
      </c>
      <c r="X33" s="72">
        <v>283</v>
      </c>
      <c r="Y33" s="69" t="s">
        <v>2841</v>
      </c>
      <c r="Z33" s="69"/>
      <c r="AC33" s="614" t="s">
        <v>2920</v>
      </c>
      <c r="AD33" s="15">
        <v>100</v>
      </c>
      <c r="AI33" s="614" t="s">
        <v>2920</v>
      </c>
      <c r="AJ33" s="15">
        <v>200</v>
      </c>
      <c r="AO33" s="78" t="s">
        <v>2921</v>
      </c>
      <c r="AP33" s="15">
        <f>242+12+489</f>
        <v>743</v>
      </c>
      <c r="AU33" s="78" t="s">
        <v>2922</v>
      </c>
      <c r="AV33" s="15">
        <v>24</v>
      </c>
      <c r="AY33" s="78"/>
      <c r="BE33" s="78" t="s">
        <v>2923</v>
      </c>
      <c r="BF33" s="15">
        <v>18</v>
      </c>
      <c r="BK33" s="42" t="s">
        <v>2924</v>
      </c>
      <c r="BL33" s="42" t="s">
        <v>2862</v>
      </c>
      <c r="BQ33" s="42" t="s">
        <v>2925</v>
      </c>
      <c r="BR33" s="42" t="s">
        <v>2862</v>
      </c>
      <c r="BW33" s="42" t="s">
        <v>2926</v>
      </c>
      <c r="BX33" s="42" t="s">
        <v>2927</v>
      </c>
      <c r="CC33" s="90" t="s">
        <v>2928</v>
      </c>
      <c r="CD33" s="42">
        <v>171.4</v>
      </c>
      <c r="CI33" s="103" t="s">
        <v>2929</v>
      </c>
      <c r="CJ33" s="42">
        <v>44</v>
      </c>
      <c r="CO33" s="42" t="s">
        <v>2930</v>
      </c>
      <c r="CP33" s="42">
        <v>24</v>
      </c>
      <c r="CU33" s="42" t="s">
        <v>2931</v>
      </c>
      <c r="CV33" s="42">
        <v>318</v>
      </c>
      <c r="CW33" s="77" t="s">
        <v>2748</v>
      </c>
      <c r="DA33" s="123" t="s">
        <v>2932</v>
      </c>
      <c r="DB33" s="123">
        <v>300</v>
      </c>
      <c r="DC33" s="15" t="s">
        <v>2701</v>
      </c>
      <c r="DD33" s="101"/>
      <c r="DE33" s="61" t="s">
        <v>2933</v>
      </c>
      <c r="DF33" s="42">
        <f>569.34-527</f>
        <v>42.34</v>
      </c>
      <c r="DG33" s="88" t="s">
        <v>2294</v>
      </c>
      <c r="DH33" s="57">
        <f>2*(11+53.24)</f>
        <v>128.48</v>
      </c>
      <c r="DI33" s="22"/>
      <c r="DJ33" s="92"/>
      <c r="DM33" s="118" t="s">
        <v>2934</v>
      </c>
      <c r="DN33" s="57">
        <v>10</v>
      </c>
      <c r="DP33" s="56"/>
      <c r="DS33" s="118" t="s">
        <v>2935</v>
      </c>
      <c r="DT33" s="44">
        <v>11.41</v>
      </c>
      <c r="DU33" s="111" t="s">
        <v>2936</v>
      </c>
      <c r="DV33" s="111">
        <v>214</v>
      </c>
      <c r="DY33" s="15" t="s">
        <v>2937</v>
      </c>
      <c r="DZ33" s="15">
        <f>55.46-17.24</f>
        <v>38.22</v>
      </c>
      <c r="EA33" s="614" t="s">
        <v>372</v>
      </c>
      <c r="EE33" s="15" t="s">
        <v>2938</v>
      </c>
      <c r="EF33" s="15">
        <v>10.77</v>
      </c>
      <c r="EH33" s="15" t="s">
        <v>2701</v>
      </c>
      <c r="EL33" s="22" t="s">
        <v>2939</v>
      </c>
      <c r="EM33" s="22"/>
      <c r="EN33" s="15" t="s">
        <v>197</v>
      </c>
      <c r="ER33" s="22" t="s">
        <v>2940</v>
      </c>
      <c r="ES33" s="22"/>
      <c r="EX33" s="154" t="s">
        <v>2941</v>
      </c>
      <c r="EY33" s="158"/>
      <c r="EZ33" s="77" t="s">
        <v>2533</v>
      </c>
      <c r="FA33" s="97" t="s">
        <v>646</v>
      </c>
      <c r="FD33" s="154" t="s">
        <v>2942</v>
      </c>
      <c r="FE33" s="22"/>
      <c r="FF33" s="77" t="s">
        <v>2533</v>
      </c>
      <c r="FG33" s="97" t="s">
        <v>646</v>
      </c>
      <c r="FJ33" s="154" t="s">
        <v>2943</v>
      </c>
      <c r="FK33" s="158"/>
      <c r="FL33" s="48" t="s">
        <v>1942</v>
      </c>
      <c r="FM33" s="94">
        <v>10010</v>
      </c>
      <c r="FP33" s="151" t="s">
        <v>2944</v>
      </c>
      <c r="FQ33" s="15">
        <v>26.78</v>
      </c>
      <c r="FR33" s="69" t="s">
        <v>2945</v>
      </c>
      <c r="FS33" s="97">
        <v>53.5</v>
      </c>
      <c r="FV33" s="154" t="s">
        <v>2667</v>
      </c>
      <c r="FW33" s="158"/>
      <c r="FX33" s="69"/>
      <c r="FY33" s="97"/>
      <c r="GB33" s="178" t="s">
        <v>2596</v>
      </c>
      <c r="GC33" s="178"/>
      <c r="GD33" s="69"/>
      <c r="GE33" s="97"/>
      <c r="GH33" s="171">
        <v>100</v>
      </c>
      <c r="GI33" s="172">
        <f>GE16+GH33-GK17</f>
        <v>70</v>
      </c>
      <c r="GJ33" s="176" t="s">
        <v>2881</v>
      </c>
      <c r="GK33" s="61">
        <v>35.1</v>
      </c>
      <c r="GN33" s="151" t="s">
        <v>2946</v>
      </c>
      <c r="GO33" s="15">
        <v>20</v>
      </c>
      <c r="GP33" s="69" t="s">
        <v>2947</v>
      </c>
      <c r="GQ33" s="97">
        <v>81</v>
      </c>
      <c r="GT33" s="178" t="s">
        <v>2596</v>
      </c>
      <c r="GU33" s="22"/>
      <c r="GV33" s="15" t="s">
        <v>372</v>
      </c>
      <c r="GZ33" s="151" t="s">
        <v>2948</v>
      </c>
      <c r="HA33" s="15">
        <v>31.78</v>
      </c>
      <c r="HB33" s="69" t="s">
        <v>2949</v>
      </c>
      <c r="HC33" s="101">
        <v>12.9</v>
      </c>
      <c r="HF33" s="182">
        <v>35</v>
      </c>
      <c r="HG33" s="190" t="s">
        <v>2950</v>
      </c>
      <c r="HH33" s="189" t="s">
        <v>2548</v>
      </c>
      <c r="HI33" s="199">
        <v>6.1</v>
      </c>
      <c r="HL33" s="204">
        <v>17</v>
      </c>
      <c r="HM33" s="154" t="s">
        <v>2951</v>
      </c>
      <c r="HP33" s="151" t="s">
        <v>2677</v>
      </c>
      <c r="HQ33" s="15">
        <f>SUM(HS24:HS29)</f>
        <v>160.6</v>
      </c>
      <c r="HR33" s="178" t="s">
        <v>2952</v>
      </c>
      <c r="HS33" s="203">
        <f>HO18+HQ36-HU24</f>
        <v>100</v>
      </c>
      <c r="HT33" s="77"/>
      <c r="HU33" s="97"/>
      <c r="HX33" s="42" t="s">
        <v>2486</v>
      </c>
      <c r="HY33" s="42">
        <v>434</v>
      </c>
      <c r="HZ33" s="48" t="s">
        <v>1606</v>
      </c>
      <c r="IA33" s="94">
        <v>4000</v>
      </c>
      <c r="IB33" s="214" t="s">
        <v>2670</v>
      </c>
      <c r="IC33" s="15">
        <f>SUM(IE54:IE58)</f>
        <v>235.25</v>
      </c>
      <c r="ID33" s="151" t="s">
        <v>2953</v>
      </c>
      <c r="IE33" s="15">
        <v>30.01</v>
      </c>
      <c r="IH33" s="194"/>
      <c r="II33" s="212"/>
      <c r="IJ33" s="151" t="s">
        <v>2954</v>
      </c>
      <c r="IK33" s="15">
        <v>27.9</v>
      </c>
      <c r="IL33" s="15" t="s">
        <v>197</v>
      </c>
      <c r="IN33" s="169" t="s">
        <v>1220</v>
      </c>
      <c r="IO33" s="91">
        <f>SUM(IQ6:IQ9)</f>
        <v>3943.01</v>
      </c>
      <c r="IP33" s="15" t="s">
        <v>2550</v>
      </c>
      <c r="IQ33" s="57">
        <v>40</v>
      </c>
      <c r="IR33" s="15" t="s">
        <v>197</v>
      </c>
      <c r="IU33" s="234"/>
      <c r="IV33" s="244" t="s">
        <v>2955</v>
      </c>
      <c r="IW33" s="249">
        <v>70</v>
      </c>
      <c r="IX33" s="15" t="s">
        <v>2823</v>
      </c>
      <c r="IZ33" s="168" t="s">
        <v>2607</v>
      </c>
      <c r="JA33" s="43">
        <f>SUM(JC17:JC25)</f>
        <v>1699.21</v>
      </c>
      <c r="JB33" s="252" t="s">
        <v>2956</v>
      </c>
      <c r="JC33" s="101">
        <v>24.71</v>
      </c>
      <c r="JF33" s="151" t="s">
        <v>2677</v>
      </c>
      <c r="JG33" s="43">
        <f>SUM(JI25:JI31)</f>
        <v>353.64</v>
      </c>
      <c r="JH33" s="42" t="s">
        <v>2486</v>
      </c>
      <c r="JI33" s="44">
        <f>158+69+34+259</f>
        <v>520</v>
      </c>
      <c r="JJ33" s="15" t="s">
        <v>197</v>
      </c>
      <c r="JL33" s="151" t="s">
        <v>2731</v>
      </c>
      <c r="JM33" s="43">
        <f>SUM(JO23:JO27)</f>
        <v>251.23</v>
      </c>
      <c r="JN33" s="204">
        <v>40</v>
      </c>
      <c r="JO33" s="245" t="s">
        <v>2957</v>
      </c>
      <c r="JQ33" s="43"/>
      <c r="JT33" s="204">
        <v>10</v>
      </c>
      <c r="JU33" s="245" t="s">
        <v>2667</v>
      </c>
      <c r="JZ33" s="170" t="s">
        <v>1788</v>
      </c>
      <c r="KA33" s="41">
        <f>16.3+16.34+12.3+10+15.21+16.19+10+16.01+15.57+10+10+15.19</f>
        <v>163.11</v>
      </c>
      <c r="KD33" s="168" t="s">
        <v>2637</v>
      </c>
      <c r="KE33" s="43">
        <f>SUM(KG11:KG17)</f>
        <v>563.7</v>
      </c>
      <c r="KF33" s="204">
        <v>30</v>
      </c>
      <c r="KG33" s="245" t="s">
        <v>2958</v>
      </c>
      <c r="KH33" s="69" t="s">
        <v>2959</v>
      </c>
      <c r="KI33" s="101">
        <v>52.8</v>
      </c>
      <c r="KL33" s="151" t="s">
        <v>2960</v>
      </c>
      <c r="KM33" s="101">
        <v>50.1</v>
      </c>
      <c r="KN33" s="69" t="s">
        <v>2961</v>
      </c>
      <c r="KO33" s="41">
        <v>16.3</v>
      </c>
      <c r="KR33" s="151" t="s">
        <v>2962</v>
      </c>
      <c r="KS33" s="101">
        <v>48.11</v>
      </c>
      <c r="KT33" s="69"/>
      <c r="KU33" s="41"/>
      <c r="KV33" s="61"/>
      <c r="KX33" s="151" t="s">
        <v>2963</v>
      </c>
      <c r="KY33" s="41">
        <v>40</v>
      </c>
      <c r="KZ33" s="65"/>
      <c r="LA33" s="41"/>
      <c r="LD33" s="151" t="s">
        <v>2964</v>
      </c>
      <c r="LE33" s="41">
        <v>40</v>
      </c>
      <c r="LF33" s="69" t="s">
        <v>2855</v>
      </c>
      <c r="LH33" s="161" t="s">
        <v>2965</v>
      </c>
      <c r="LI33" s="43">
        <f>SUM(LK10:LK16)</f>
        <v>1005.08</v>
      </c>
      <c r="LJ33" s="151" t="s">
        <v>2966</v>
      </c>
      <c r="LK33" s="101">
        <f>15.1+24.6</f>
        <v>39.7</v>
      </c>
      <c r="LL33" s="65" t="s">
        <v>2967</v>
      </c>
      <c r="LM33" s="41">
        <v>10184</v>
      </c>
      <c r="LN33" s="42" t="s">
        <v>2569</v>
      </c>
      <c r="LO33" s="317">
        <f>SUM(LQ13:LQ14)</f>
        <v>3219.09</v>
      </c>
      <c r="LP33" s="151" t="s">
        <v>2968</v>
      </c>
      <c r="LQ33" s="41">
        <f>9.79+12.29</f>
        <v>22.08</v>
      </c>
      <c r="LT33" s="316" t="s">
        <v>2515</v>
      </c>
      <c r="LU33" s="57">
        <f>SUM(LW15:LW17)</f>
        <v>50407.35</v>
      </c>
      <c r="LV33" s="42" t="s">
        <v>2969</v>
      </c>
      <c r="LW33" s="101">
        <v>16</v>
      </c>
      <c r="LX33" s="69" t="s">
        <v>2319</v>
      </c>
      <c r="LY33" s="41"/>
      <c r="LZ33" s="329" t="s">
        <v>1220</v>
      </c>
      <c r="MA33" s="57">
        <f>SUM(MC6:MC6)</f>
        <v>0</v>
      </c>
      <c r="MB33" s="115" t="s">
        <v>2694</v>
      </c>
      <c r="MC33" s="57">
        <v>69.2</v>
      </c>
      <c r="MF33" s="321"/>
      <c r="MG33" s="328"/>
      <c r="MH33" s="327" t="s">
        <v>2970</v>
      </c>
      <c r="MI33" s="41">
        <v>25.8</v>
      </c>
      <c r="ML33" s="321"/>
      <c r="MM33" s="321"/>
      <c r="MN33" s="327" t="s">
        <v>2898</v>
      </c>
      <c r="MO33" s="41">
        <v>30.5</v>
      </c>
      <c r="MP33" s="15" t="s">
        <v>2971</v>
      </c>
      <c r="MQ33" s="41">
        <v>1593.84</v>
      </c>
      <c r="MR33" s="329" t="s">
        <v>1220</v>
      </c>
      <c r="MS33" s="57">
        <f>SUM(MU6:MU8)</f>
        <v>4360.08</v>
      </c>
      <c r="MT33" s="327" t="s">
        <v>2972</v>
      </c>
      <c r="MU33" s="41">
        <v>73.14</v>
      </c>
      <c r="MV33" s="65" t="s">
        <v>2973</v>
      </c>
      <c r="MW33" s="43">
        <v>40000</v>
      </c>
      <c r="MX33" s="327" t="s">
        <v>2677</v>
      </c>
      <c r="MY33" s="38">
        <f>SUM(NA15:NA24)</f>
        <v>403.98</v>
      </c>
      <c r="MZ33" s="42" t="s">
        <v>2974</v>
      </c>
      <c r="NA33" s="57">
        <f>16+9</f>
        <v>25</v>
      </c>
      <c r="NB33" s="15" t="s">
        <v>2975</v>
      </c>
      <c r="NC33" s="41">
        <v>215.8</v>
      </c>
      <c r="ND33" s="158" t="s">
        <v>2856</v>
      </c>
      <c r="NE33" s="204">
        <v>200</v>
      </c>
      <c r="NF33" s="204">
        <v>20</v>
      </c>
      <c r="NG33" s="245" t="s">
        <v>2976</v>
      </c>
      <c r="NH33" s="15" t="s">
        <v>372</v>
      </c>
      <c r="NK33" s="56"/>
      <c r="NL33" s="65" t="s">
        <v>2977</v>
      </c>
      <c r="NM33" s="57">
        <v>33</v>
      </c>
      <c r="NN33" s="69" t="s">
        <v>2978</v>
      </c>
      <c r="NP33" s="151" t="s">
        <v>2637</v>
      </c>
      <c r="NQ33" s="41">
        <f>SUM(NS11:NS17)</f>
        <v>368.64</v>
      </c>
      <c r="NR33" s="58" t="s">
        <v>2979</v>
      </c>
      <c r="NS33" s="41">
        <v>120.07</v>
      </c>
      <c r="NT33" s="69" t="s">
        <v>2855</v>
      </c>
      <c r="NV33" s="287"/>
      <c r="NW33" s="287"/>
      <c r="NX33" s="327" t="s">
        <v>2980</v>
      </c>
      <c r="NY33" s="41">
        <f>(48.29+6.8+3.6)+17.4</f>
        <v>76.09</v>
      </c>
      <c r="NZ33" s="15" t="s">
        <v>372</v>
      </c>
      <c r="OB33" s="338" t="s">
        <v>1220</v>
      </c>
      <c r="OC33" s="57">
        <f>SUM(OE6:OE7)</f>
        <v>0</v>
      </c>
      <c r="OD33" s="58" t="s">
        <v>2917</v>
      </c>
      <c r="OE33" s="41"/>
      <c r="OF33" s="69" t="s">
        <v>2916</v>
      </c>
    </row>
    <row r="34" spans="6:396">
      <c r="F34" s="53"/>
      <c r="K34" s="68" t="s">
        <v>2981</v>
      </c>
      <c r="L34" s="68">
        <v>76</v>
      </c>
      <c r="N34" s="15"/>
      <c r="Q34" s="67" t="s">
        <v>2288</v>
      </c>
      <c r="R34" s="15">
        <v>100.01</v>
      </c>
      <c r="T34" s="15"/>
      <c r="W34" s="72" t="s">
        <v>2982</v>
      </c>
      <c r="X34" s="72">
        <v>65</v>
      </c>
      <c r="AF34" s="15"/>
      <c r="AL34" s="15"/>
      <c r="AO34" s="79" t="s">
        <v>2983</v>
      </c>
      <c r="AP34" s="15">
        <v>50.28</v>
      </c>
      <c r="AR34" s="15"/>
      <c r="AX34" s="15"/>
      <c r="BB34" s="15"/>
      <c r="BE34" s="78" t="s">
        <v>2984</v>
      </c>
      <c r="BF34" s="15">
        <f>5+5</f>
        <v>10</v>
      </c>
      <c r="BG34" s="15" t="s">
        <v>2985</v>
      </c>
      <c r="BH34" s="15"/>
      <c r="BN34" s="15"/>
      <c r="BQ34" s="42" t="s">
        <v>2986</v>
      </c>
      <c r="BR34" s="42">
        <f>950+20+20+12</f>
        <v>1002</v>
      </c>
      <c r="BW34" s="42" t="s">
        <v>2987</v>
      </c>
      <c r="BX34" s="42" t="s">
        <v>2927</v>
      </c>
      <c r="CC34" s="42" t="s">
        <v>2988</v>
      </c>
      <c r="CD34" s="42">
        <v>72.5</v>
      </c>
      <c r="CO34" s="42" t="s">
        <v>2989</v>
      </c>
      <c r="CP34" s="84">
        <f>28.9+35</f>
        <v>63.9</v>
      </c>
      <c r="CV34" s="84"/>
      <c r="CW34" s="61"/>
      <c r="DA34" s="123" t="s">
        <v>2990</v>
      </c>
      <c r="DB34" s="123"/>
      <c r="DC34" s="77" t="s">
        <v>2748</v>
      </c>
      <c r="DE34" s="61" t="s">
        <v>2991</v>
      </c>
      <c r="DF34" s="42">
        <f>17663-17242</f>
        <v>421</v>
      </c>
      <c r="DG34" s="88" t="s">
        <v>2351</v>
      </c>
      <c r="DH34" s="57">
        <f>64+32</f>
        <v>96</v>
      </c>
      <c r="DI34" s="22" t="s">
        <v>2018</v>
      </c>
      <c r="DJ34" s="92">
        <v>5000</v>
      </c>
      <c r="DM34" s="118" t="s">
        <v>2992</v>
      </c>
      <c r="DN34" s="57">
        <v>42.37</v>
      </c>
      <c r="DO34" s="614" t="s">
        <v>372</v>
      </c>
      <c r="DS34" s="118" t="s">
        <v>2993</v>
      </c>
      <c r="DT34" s="57">
        <f>6.9+70.45</f>
        <v>77.35</v>
      </c>
      <c r="DV34" s="56"/>
      <c r="DY34" s="15" t="s">
        <v>2994</v>
      </c>
      <c r="DZ34" s="15">
        <v>60.2</v>
      </c>
      <c r="EA34" s="614" t="s">
        <v>2821</v>
      </c>
      <c r="EE34" s="15" t="s">
        <v>1812</v>
      </c>
      <c r="EF34" s="15">
        <v>113.2</v>
      </c>
      <c r="EH34" s="15" t="s">
        <v>2841</v>
      </c>
      <c r="EL34" s="22" t="s">
        <v>2942</v>
      </c>
      <c r="EM34" s="22"/>
      <c r="EN34" s="15" t="s">
        <v>2701</v>
      </c>
      <c r="ER34" s="22" t="s">
        <v>2995</v>
      </c>
      <c r="ES34" s="22"/>
      <c r="ET34" s="15" t="s">
        <v>372</v>
      </c>
      <c r="EX34" s="22"/>
      <c r="EY34" s="22"/>
      <c r="EZ34" s="69"/>
      <c r="FA34" s="91"/>
      <c r="FD34" s="48" t="s">
        <v>2996</v>
      </c>
      <c r="FE34" s="48"/>
      <c r="FF34" s="69" t="s">
        <v>2997</v>
      </c>
      <c r="FG34" s="57">
        <v>30</v>
      </c>
      <c r="FJ34" s="154" t="s">
        <v>2998</v>
      </c>
      <c r="FK34" s="22"/>
      <c r="FL34" s="48" t="s">
        <v>2014</v>
      </c>
      <c r="FM34" s="94" t="s">
        <v>1949</v>
      </c>
      <c r="FP34" s="151" t="s">
        <v>2999</v>
      </c>
      <c r="FQ34" s="15">
        <v>7</v>
      </c>
      <c r="FR34" s="69" t="s">
        <v>3000</v>
      </c>
      <c r="FS34" s="97">
        <v>-738</v>
      </c>
      <c r="FV34" s="154" t="s">
        <v>3001</v>
      </c>
      <c r="FW34" s="158"/>
      <c r="FX34" s="69"/>
      <c r="FY34" s="97"/>
      <c r="GB34" s="171">
        <v>200</v>
      </c>
      <c r="GC34" s="172">
        <f>FY16+GB34-GE16</f>
        <v>190</v>
      </c>
      <c r="GD34" s="69"/>
      <c r="GE34" s="97"/>
      <c r="GH34" s="158" t="s">
        <v>3002</v>
      </c>
      <c r="GI34" s="158"/>
      <c r="GJ34" s="69" t="s">
        <v>2945</v>
      </c>
      <c r="GK34" s="97">
        <v>20</v>
      </c>
      <c r="GN34" s="151" t="s">
        <v>3003</v>
      </c>
      <c r="GO34" s="15">
        <v>23.9</v>
      </c>
      <c r="GP34" s="69" t="s">
        <v>3004</v>
      </c>
      <c r="GQ34" s="97">
        <v>298</v>
      </c>
      <c r="GT34" s="171">
        <v>280</v>
      </c>
      <c r="GU34" s="178"/>
      <c r="GV34" s="15" t="s">
        <v>2823</v>
      </c>
      <c r="GZ34" s="151" t="s">
        <v>3005</v>
      </c>
      <c r="HA34" s="15">
        <v>64.86</v>
      </c>
      <c r="HB34" s="69" t="s">
        <v>2949</v>
      </c>
      <c r="HC34" s="101">
        <v>22.5</v>
      </c>
      <c r="HF34" s="182">
        <v>40</v>
      </c>
      <c r="HG34" s="154" t="s">
        <v>2722</v>
      </c>
      <c r="HL34" s="204">
        <v>6</v>
      </c>
      <c r="HM34" s="154" t="s">
        <v>3006</v>
      </c>
      <c r="HP34" s="151" t="s">
        <v>2771</v>
      </c>
      <c r="HR34" s="204">
        <v>4</v>
      </c>
      <c r="HS34" s="154" t="s">
        <v>3007</v>
      </c>
      <c r="HT34" s="188"/>
      <c r="HU34" s="97"/>
      <c r="HX34" s="202">
        <v>34.91</v>
      </c>
      <c r="HY34" s="42"/>
      <c r="HZ34" s="48" t="s">
        <v>1685</v>
      </c>
      <c r="IA34" s="94">
        <v>25000</v>
      </c>
      <c r="ID34" s="151" t="s">
        <v>3008</v>
      </c>
      <c r="IE34" s="15">
        <v>40.84</v>
      </c>
      <c r="IF34" s="15" t="s">
        <v>372</v>
      </c>
      <c r="IH34" s="194"/>
      <c r="II34" s="212"/>
      <c r="IJ34" s="151" t="s">
        <v>3009</v>
      </c>
      <c r="IK34" s="15">
        <v>84.86</v>
      </c>
      <c r="IL34" s="15" t="s">
        <v>2893</v>
      </c>
      <c r="IN34" s="72" t="s">
        <v>1277</v>
      </c>
      <c r="IO34" s="91">
        <f>SUM(IQ12:IQ12)</f>
        <v>1833.74666666667</v>
      </c>
      <c r="IP34" s="42" t="s">
        <v>2486</v>
      </c>
      <c r="IQ34" s="44">
        <f>102+308+94+155</f>
        <v>659</v>
      </c>
      <c r="IR34" s="15" t="s">
        <v>2893</v>
      </c>
      <c r="IU34" s="234"/>
      <c r="IV34" s="69" t="s">
        <v>3010</v>
      </c>
      <c r="IW34" s="15">
        <v>8.67</v>
      </c>
      <c r="IZ34" s="151" t="s">
        <v>2677</v>
      </c>
      <c r="JA34" s="43">
        <f>SUM(JC26:JC34)</f>
        <v>354.851</v>
      </c>
      <c r="JB34" s="151" t="s">
        <v>3011</v>
      </c>
      <c r="JC34" s="41">
        <v>55</v>
      </c>
      <c r="JF34" s="151" t="s">
        <v>2731</v>
      </c>
      <c r="JG34" s="43">
        <f>SUM(JI27:JI31)</f>
        <v>303.64</v>
      </c>
      <c r="JH34" s="202">
        <v>23.04</v>
      </c>
      <c r="JI34" s="44"/>
      <c r="JJ34" s="15" t="s">
        <v>2841</v>
      </c>
      <c r="JN34" s="204">
        <v>50</v>
      </c>
      <c r="JO34" s="245" t="s">
        <v>3012</v>
      </c>
      <c r="JR34" s="158" t="s">
        <v>3013</v>
      </c>
      <c r="JS34" s="171">
        <v>100</v>
      </c>
      <c r="JT34" s="204">
        <v>10</v>
      </c>
      <c r="JU34" s="245" t="s">
        <v>3014</v>
      </c>
      <c r="JZ34" s="151" t="s">
        <v>3015</v>
      </c>
      <c r="KA34" s="41">
        <f>80+115</f>
        <v>195</v>
      </c>
      <c r="KD34" s="151" t="s">
        <v>2677</v>
      </c>
      <c r="KE34" s="43">
        <f>SUM(KG18:KG26)</f>
        <v>457.561</v>
      </c>
      <c r="KF34" s="204">
        <v>6</v>
      </c>
      <c r="KG34" s="245" t="s">
        <v>3016</v>
      </c>
      <c r="KH34" s="69" t="s">
        <v>3017</v>
      </c>
      <c r="KI34" s="15">
        <v>104</v>
      </c>
      <c r="KL34" s="151" t="s">
        <v>3018</v>
      </c>
      <c r="KM34" s="101">
        <v>121.7</v>
      </c>
      <c r="KN34" s="69" t="s">
        <v>3019</v>
      </c>
      <c r="KO34" s="41">
        <v>52.8</v>
      </c>
      <c r="KR34" s="151" t="s">
        <v>2795</v>
      </c>
      <c r="KS34" s="101">
        <v>60.23</v>
      </c>
      <c r="KT34" s="69"/>
      <c r="KU34" s="41"/>
      <c r="KV34" s="61"/>
      <c r="KX34" s="151" t="s">
        <v>3020</v>
      </c>
      <c r="KY34" s="41">
        <v>10</v>
      </c>
      <c r="KZ34" s="69" t="s">
        <v>2855</v>
      </c>
      <c r="LD34" s="151" t="s">
        <v>3021</v>
      </c>
      <c r="LE34" s="41">
        <f>530+3</f>
        <v>533</v>
      </c>
      <c r="LF34" s="69" t="s">
        <v>3022</v>
      </c>
      <c r="LH34" s="88" t="s">
        <v>3023</v>
      </c>
      <c r="LI34" s="241">
        <f>SUM(LK17:LK19)</f>
        <v>685.72</v>
      </c>
      <c r="LJ34" s="151" t="s">
        <v>3024</v>
      </c>
      <c r="LK34" s="101">
        <v>50.36</v>
      </c>
      <c r="LL34" s="65" t="s">
        <v>2792</v>
      </c>
      <c r="LM34" s="41">
        <v>28.82</v>
      </c>
      <c r="LN34" s="161" t="s">
        <v>2965</v>
      </c>
      <c r="LO34" s="41">
        <f>SUM(LQ15:LQ18)</f>
        <v>1348.41</v>
      </c>
      <c r="LP34" s="151" t="s">
        <v>3025</v>
      </c>
      <c r="LQ34" s="101">
        <v>32</v>
      </c>
      <c r="LT34" s="301" t="s">
        <v>2569</v>
      </c>
      <c r="LU34" s="41">
        <f>SUM(LW11:LW11)</f>
        <v>330.77</v>
      </c>
      <c r="LV34" s="42" t="s">
        <v>2623</v>
      </c>
      <c r="LW34" s="44">
        <f>143+128+130+21+118</f>
        <v>540</v>
      </c>
      <c r="LX34" s="65"/>
      <c r="LY34" s="43"/>
      <c r="LZ34" s="161" t="s">
        <v>2515</v>
      </c>
      <c r="MA34" s="57">
        <f>SUM(MC7:MC9)</f>
        <v>2342.88</v>
      </c>
      <c r="MB34" s="115" t="s">
        <v>3026</v>
      </c>
      <c r="MC34" s="57">
        <v>34.8</v>
      </c>
      <c r="MD34" s="69" t="s">
        <v>2855</v>
      </c>
      <c r="MF34" s="321"/>
      <c r="MG34" s="321"/>
      <c r="MH34" s="327" t="s">
        <v>3027</v>
      </c>
      <c r="MI34" s="41">
        <v>99.76</v>
      </c>
      <c r="MJ34" s="65"/>
      <c r="MK34" s="43"/>
      <c r="ML34" s="45" t="s">
        <v>2395</v>
      </c>
      <c r="MM34" s="315"/>
      <c r="MN34" s="327" t="s">
        <v>3028</v>
      </c>
      <c r="MO34" s="41">
        <v>28.74</v>
      </c>
      <c r="MP34" s="65"/>
      <c r="MR34" s="161" t="s">
        <v>2800</v>
      </c>
      <c r="MS34" s="57">
        <f>SUM(MU9:MU13)</f>
        <v>10550.6</v>
      </c>
      <c r="MT34" s="67" t="s">
        <v>2512</v>
      </c>
      <c r="MU34" s="41">
        <f>250.7+749.38</f>
        <v>1000.08</v>
      </c>
      <c r="MV34" s="15" t="s">
        <v>3029</v>
      </c>
      <c r="MW34" s="15">
        <v>1000</v>
      </c>
      <c r="MX34" s="327" t="s">
        <v>2803</v>
      </c>
      <c r="MY34" s="318">
        <f>SUM(NA19:NA24)</f>
        <v>272.87</v>
      </c>
      <c r="MZ34" s="42" t="s">
        <v>2623</v>
      </c>
      <c r="NA34" s="44">
        <f>187+150+349</f>
        <v>686</v>
      </c>
      <c r="NB34" s="15" t="s">
        <v>2971</v>
      </c>
      <c r="NC34" s="41">
        <v>1593.84</v>
      </c>
      <c r="NF34" s="204">
        <v>40</v>
      </c>
      <c r="NG34" s="245" t="s">
        <v>2667</v>
      </c>
      <c r="NH34" s="15" t="s">
        <v>3030</v>
      </c>
      <c r="NK34" s="56"/>
      <c r="NL34" s="15" t="s">
        <v>3031</v>
      </c>
      <c r="NM34" s="246">
        <v>1.3</v>
      </c>
      <c r="NN34" s="69" t="s">
        <v>2319</v>
      </c>
      <c r="NP34" s="58" t="s">
        <v>2695</v>
      </c>
      <c r="NQ34" s="41">
        <f>SUM(NS30:NS35)</f>
        <v>823.25</v>
      </c>
      <c r="NR34" s="58" t="s">
        <v>3032</v>
      </c>
      <c r="NS34" s="41">
        <v>10</v>
      </c>
      <c r="NT34" s="69" t="s">
        <v>2154</v>
      </c>
      <c r="NV34" s="287"/>
      <c r="NW34" s="287"/>
      <c r="NX34" s="327" t="s">
        <v>3033</v>
      </c>
      <c r="NY34" s="57">
        <f>37.4+21.7</f>
        <v>59.1</v>
      </c>
      <c r="NZ34" s="15" t="s">
        <v>3030</v>
      </c>
      <c r="OB34" s="161" t="s">
        <v>2515</v>
      </c>
      <c r="OC34" s="57">
        <f>SUM(OE8:OE9)</f>
        <v>60774.55</v>
      </c>
      <c r="OD34" s="58" t="s">
        <v>2917</v>
      </c>
      <c r="OE34" s="41"/>
      <c r="OF34" s="15" t="s">
        <v>372</v>
      </c>
    </row>
    <row r="35" ht="14.25" customHeight="1" spans="1:396">
      <c r="A35" s="65"/>
      <c r="B35" s="65"/>
      <c r="E35" s="620" t="s">
        <v>493</v>
      </c>
      <c r="F35" s="53">
        <v>250</v>
      </c>
      <c r="G35" s="65"/>
      <c r="H35" s="65"/>
      <c r="W35" s="72" t="s">
        <v>3034</v>
      </c>
      <c r="X35" s="72">
        <v>20.001</v>
      </c>
      <c r="Z35" s="15"/>
      <c r="AO35" s="78" t="s">
        <v>3035</v>
      </c>
      <c r="AP35" s="15">
        <v>26.26</v>
      </c>
      <c r="AU35" s="15" t="s">
        <v>3036</v>
      </c>
      <c r="AV35" s="15">
        <v>80</v>
      </c>
      <c r="BE35" s="78" t="s">
        <v>3037</v>
      </c>
      <c r="BF35" s="15">
        <v>95</v>
      </c>
      <c r="BK35" s="42" t="s">
        <v>3038</v>
      </c>
      <c r="BL35" s="42">
        <v>200</v>
      </c>
      <c r="BW35" s="42" t="s">
        <v>3039</v>
      </c>
      <c r="BX35" s="42">
        <v>65</v>
      </c>
      <c r="CC35" s="42" t="s">
        <v>3040</v>
      </c>
      <c r="CD35" s="42">
        <v>83.85</v>
      </c>
      <c r="CI35" s="42" t="s">
        <v>3041</v>
      </c>
      <c r="CJ35" s="84">
        <v>46.65</v>
      </c>
      <c r="CK35" s="104"/>
      <c r="CO35" s="42" t="s">
        <v>3042</v>
      </c>
      <c r="CP35" s="42">
        <f>11.3+50.4</f>
        <v>61.7</v>
      </c>
      <c r="CQ35" s="104"/>
      <c r="CU35" s="42" t="s">
        <v>3043</v>
      </c>
      <c r="CV35" s="102">
        <v>412.25</v>
      </c>
      <c r="CW35" s="69" t="s">
        <v>2841</v>
      </c>
      <c r="DA35" s="123" t="s">
        <v>3044</v>
      </c>
      <c r="DB35" s="123"/>
      <c r="DC35" s="61" t="s">
        <v>363</v>
      </c>
      <c r="DE35" s="61" t="s">
        <v>3045</v>
      </c>
      <c r="DF35" s="42">
        <f>46147-45991</f>
        <v>156</v>
      </c>
      <c r="DG35" s="88" t="s">
        <v>3046</v>
      </c>
      <c r="DH35" s="57">
        <f>16.98+17.17+13.1+13.72+14.74+13.83</f>
        <v>89.54</v>
      </c>
      <c r="DI35" s="22" t="s">
        <v>3047</v>
      </c>
      <c r="DJ35" s="92">
        <v>5000</v>
      </c>
      <c r="DM35" s="118"/>
      <c r="DN35" s="57"/>
      <c r="DO35" s="614" t="s">
        <v>2821</v>
      </c>
      <c r="DP35" s="100"/>
      <c r="DS35" s="118" t="s">
        <v>2830</v>
      </c>
      <c r="DT35" s="57">
        <v>68.97</v>
      </c>
      <c r="DU35" s="614" t="s">
        <v>372</v>
      </c>
      <c r="DY35" s="104" t="s">
        <v>3048</v>
      </c>
      <c r="DZ35" s="15">
        <f>1379-100</f>
        <v>1279</v>
      </c>
      <c r="EA35" s="15" t="s">
        <v>197</v>
      </c>
      <c r="EG35" s="48"/>
      <c r="EL35" s="22" t="s">
        <v>3049</v>
      </c>
      <c r="EM35" s="22"/>
      <c r="EN35" s="15" t="s">
        <v>2841</v>
      </c>
      <c r="ER35" s="22"/>
      <c r="ES35" s="22"/>
      <c r="ET35" s="15" t="s">
        <v>2823</v>
      </c>
      <c r="EX35" s="48" t="s">
        <v>3050</v>
      </c>
      <c r="EY35" s="48">
        <v>202.2</v>
      </c>
      <c r="FD35" s="48" t="s">
        <v>3051</v>
      </c>
      <c r="FE35" s="48">
        <v>10.001</v>
      </c>
      <c r="FF35" s="69" t="s">
        <v>3052</v>
      </c>
      <c r="FG35" s="57">
        <v>67.4</v>
      </c>
      <c r="FJ35" s="61" t="s">
        <v>3053</v>
      </c>
      <c r="FK35" s="15">
        <v>720</v>
      </c>
      <c r="FL35" s="48" t="s">
        <v>2657</v>
      </c>
      <c r="FM35" s="94">
        <v>10005</v>
      </c>
      <c r="FP35" s="151" t="s">
        <v>3054</v>
      </c>
      <c r="FQ35" s="15">
        <v>49.23</v>
      </c>
      <c r="FR35" s="69"/>
      <c r="FS35" s="97"/>
      <c r="FV35" s="154" t="s">
        <v>3055</v>
      </c>
      <c r="FW35" s="158"/>
      <c r="FX35" s="15" t="s">
        <v>372</v>
      </c>
      <c r="GB35" s="158" t="s">
        <v>3056</v>
      </c>
      <c r="GC35" s="158"/>
      <c r="GH35" s="154" t="s">
        <v>3057</v>
      </c>
      <c r="GI35" s="158"/>
      <c r="GJ35" s="69" t="s">
        <v>3058</v>
      </c>
      <c r="GK35" s="97">
        <v>20</v>
      </c>
      <c r="GN35" s="151" t="s">
        <v>3059</v>
      </c>
      <c r="GO35" s="15">
        <v>95</v>
      </c>
      <c r="GT35" s="158" t="s">
        <v>3060</v>
      </c>
      <c r="GU35" s="172">
        <f>GQ17+GT34-GW16</f>
        <v>262</v>
      </c>
      <c r="GV35" s="15" t="s">
        <v>197</v>
      </c>
      <c r="GZ35" s="151" t="s">
        <v>3061</v>
      </c>
      <c r="HA35" s="15">
        <v>32.6</v>
      </c>
      <c r="HB35" s="69" t="s">
        <v>3062</v>
      </c>
      <c r="HC35" s="101">
        <v>233.71</v>
      </c>
      <c r="HF35" s="182">
        <v>40</v>
      </c>
      <c r="HG35" s="154" t="s">
        <v>2772</v>
      </c>
      <c r="HH35" s="15" t="s">
        <v>372</v>
      </c>
      <c r="HL35" s="188" t="s">
        <v>3063</v>
      </c>
      <c r="HM35" s="166">
        <v>24.7</v>
      </c>
      <c r="HQ35" s="153"/>
      <c r="HR35" s="204">
        <v>40</v>
      </c>
      <c r="HS35" s="154" t="s">
        <v>2722</v>
      </c>
      <c r="HT35" s="188"/>
      <c r="HU35" s="97"/>
      <c r="HV35" s="154" t="s">
        <v>3064</v>
      </c>
      <c r="HW35" s="171">
        <v>220</v>
      </c>
      <c r="HX35" s="178" t="s">
        <v>2732</v>
      </c>
      <c r="HY35" s="203">
        <f>HU24+HW35-IA28</f>
        <v>320</v>
      </c>
      <c r="HZ35" s="48" t="s">
        <v>2097</v>
      </c>
      <c r="IA35" s="94">
        <v>2000</v>
      </c>
      <c r="ID35" s="151" t="s">
        <v>3065</v>
      </c>
      <c r="IE35" s="15">
        <v>47.96</v>
      </c>
      <c r="IF35" s="15" t="s">
        <v>197</v>
      </c>
      <c r="IH35" s="194"/>
      <c r="II35" s="212"/>
      <c r="IJ35" s="151" t="s">
        <v>3066</v>
      </c>
      <c r="IK35" s="15">
        <v>56.9</v>
      </c>
      <c r="IL35" s="15" t="s">
        <v>2823</v>
      </c>
      <c r="IN35" s="175" t="s">
        <v>1268</v>
      </c>
      <c r="IO35" s="43">
        <v>0</v>
      </c>
      <c r="IP35" s="202">
        <v>44.08</v>
      </c>
      <c r="IQ35" s="44"/>
      <c r="IR35" s="15" t="s">
        <v>2823</v>
      </c>
      <c r="IU35" s="236"/>
      <c r="IV35" s="69" t="s">
        <v>3010</v>
      </c>
      <c r="IW35" s="101">
        <v>23.08</v>
      </c>
      <c r="IZ35" s="151" t="s">
        <v>2731</v>
      </c>
      <c r="JA35" s="43">
        <f>SUM(JC28:JC34)</f>
        <v>337.851</v>
      </c>
      <c r="JB35" s="15" t="s">
        <v>3067</v>
      </c>
      <c r="JC35" s="57">
        <v>16.87</v>
      </c>
      <c r="JH35" s="178" t="s">
        <v>2732</v>
      </c>
      <c r="JI35" s="203">
        <f>JE21+JG37-JK22</f>
        <v>100</v>
      </c>
      <c r="JL35" s="154" t="s">
        <v>3068</v>
      </c>
      <c r="JM35" s="171">
        <f>50+400+200+100</f>
        <v>750</v>
      </c>
      <c r="JN35" s="204">
        <v>9</v>
      </c>
      <c r="JO35" s="245" t="s">
        <v>3069</v>
      </c>
      <c r="JP35" s="15" t="s">
        <v>372</v>
      </c>
      <c r="JT35" s="204">
        <v>10</v>
      </c>
      <c r="JU35" s="245" t="s">
        <v>3070</v>
      </c>
      <c r="JZ35" s="151" t="s">
        <v>3071</v>
      </c>
      <c r="KA35" s="41">
        <v>175</v>
      </c>
      <c r="KD35" s="151" t="s">
        <v>2803</v>
      </c>
      <c r="KE35" s="263">
        <f>SUM(KG20:KG26)</f>
        <v>339.56</v>
      </c>
      <c r="KF35" s="204">
        <v>25.9</v>
      </c>
      <c r="KG35" s="245" t="s">
        <v>3072</v>
      </c>
      <c r="KH35" s="69" t="s">
        <v>2436</v>
      </c>
      <c r="KJ35" s="45" t="s">
        <v>2395</v>
      </c>
      <c r="KK35" s="45"/>
      <c r="KL35" s="15" t="s">
        <v>3073</v>
      </c>
      <c r="KM35" s="57">
        <v>400</v>
      </c>
      <c r="KN35" s="69" t="s">
        <v>3074</v>
      </c>
      <c r="KO35" s="41">
        <v>57.6</v>
      </c>
      <c r="KP35" s="45" t="s">
        <v>2395</v>
      </c>
      <c r="KQ35" s="45"/>
      <c r="KR35" s="151" t="s">
        <v>2340</v>
      </c>
      <c r="KS35" s="101">
        <v>40.4</v>
      </c>
      <c r="KT35" s="69" t="s">
        <v>2855</v>
      </c>
      <c r="KX35" s="151" t="s">
        <v>3075</v>
      </c>
      <c r="KY35" s="41">
        <v>13.5</v>
      </c>
      <c r="KZ35" s="69" t="s">
        <v>3076</v>
      </c>
      <c r="LA35" s="48"/>
      <c r="LB35" s="45" t="s">
        <v>2395</v>
      </c>
      <c r="LC35" s="45"/>
      <c r="LD35" s="151" t="s">
        <v>3077</v>
      </c>
      <c r="LE35" s="41">
        <v>42.9</v>
      </c>
      <c r="LF35" s="15" t="s">
        <v>372</v>
      </c>
      <c r="LH35" s="293" t="s">
        <v>2637</v>
      </c>
      <c r="LI35" s="43">
        <f>SUM(LK23:LK27)</f>
        <v>468.83</v>
      </c>
      <c r="LJ35" s="151" t="s">
        <v>3078</v>
      </c>
      <c r="LK35" s="101">
        <v>172.3</v>
      </c>
      <c r="LL35" s="65" t="s">
        <v>3079</v>
      </c>
      <c r="LM35" s="41">
        <v>21.1</v>
      </c>
      <c r="LN35" s="88" t="s">
        <v>3080</v>
      </c>
      <c r="LO35" s="38">
        <f>SUM(LQ19:LQ20)</f>
        <v>168.17</v>
      </c>
      <c r="LP35" s="151" t="s">
        <v>2898</v>
      </c>
      <c r="LQ35" s="101">
        <v>36.8</v>
      </c>
      <c r="LT35" s="323" t="s">
        <v>2965</v>
      </c>
      <c r="LU35" s="41">
        <f>SUM(LW12:LW14)</f>
        <v>1500.08</v>
      </c>
      <c r="LV35" s="202">
        <v>31.86</v>
      </c>
      <c r="LW35" s="44"/>
      <c r="LZ35" s="151" t="s">
        <v>2637</v>
      </c>
      <c r="MA35" s="41">
        <f>SUM(MC10:MC14)</f>
        <v>381.99</v>
      </c>
      <c r="MB35" s="42" t="s">
        <v>2969</v>
      </c>
      <c r="MC35" s="101">
        <f>17</f>
        <v>17</v>
      </c>
      <c r="MD35" s="69" t="s">
        <v>3081</v>
      </c>
      <c r="MF35" s="321"/>
      <c r="MG35" s="321"/>
      <c r="MH35" s="327" t="s">
        <v>3082</v>
      </c>
      <c r="MI35" s="41">
        <v>38</v>
      </c>
      <c r="MJ35" s="65"/>
      <c r="MK35" s="43"/>
      <c r="ML35" s="329" t="s">
        <v>1220</v>
      </c>
      <c r="MM35" s="57">
        <f>SUM(MO6:MO8)</f>
        <v>2960.13</v>
      </c>
      <c r="MN35" s="327" t="s">
        <v>3083</v>
      </c>
      <c r="MO35" s="41">
        <v>31.53</v>
      </c>
      <c r="MR35" s="42" t="s">
        <v>2569</v>
      </c>
      <c r="MS35" s="41">
        <v>0</v>
      </c>
      <c r="MT35" s="67" t="s">
        <v>3084</v>
      </c>
      <c r="MU35" s="41">
        <v>354.25</v>
      </c>
      <c r="MV35" s="15" t="s">
        <v>2971</v>
      </c>
      <c r="MW35" s="41">
        <v>1593.84</v>
      </c>
      <c r="MZ35" s="330">
        <v>26.16</v>
      </c>
      <c r="NA35" s="44" t="s">
        <v>2149</v>
      </c>
      <c r="NB35" s="69" t="s">
        <v>2855</v>
      </c>
      <c r="NE35" s="56"/>
      <c r="NF35" s="65" t="s">
        <v>3085</v>
      </c>
      <c r="NG35" s="57">
        <v>7.2</v>
      </c>
      <c r="NH35" s="15" t="s">
        <v>3086</v>
      </c>
      <c r="NM35" s="61"/>
      <c r="NN35" s="15" t="s">
        <v>3087</v>
      </c>
      <c r="NO35" s="15">
        <v>102.46</v>
      </c>
      <c r="NP35" s="327" t="s">
        <v>2677</v>
      </c>
      <c r="NQ35" s="38">
        <f>SUM(NS18:NS29)</f>
        <v>1382.16</v>
      </c>
      <c r="NR35" s="58" t="s">
        <v>3088</v>
      </c>
      <c r="NS35" s="41">
        <v>53.28</v>
      </c>
      <c r="NT35" s="15" t="s">
        <v>372</v>
      </c>
      <c r="NV35" s="287"/>
      <c r="NW35" s="287"/>
      <c r="NX35" s="327" t="s">
        <v>3089</v>
      </c>
      <c r="NY35" s="57">
        <f>(37.7+24.5)+(20+15.4)</f>
        <v>97.6</v>
      </c>
      <c r="NZ35" s="15" t="s">
        <v>3086</v>
      </c>
      <c r="OB35" s="42" t="s">
        <v>2569</v>
      </c>
      <c r="OC35" s="41">
        <f>SUM(OE10:OE10)</f>
        <v>0</v>
      </c>
      <c r="OD35" s="42" t="s">
        <v>2969</v>
      </c>
      <c r="OE35" s="41"/>
      <c r="OF35" s="15" t="s">
        <v>3030</v>
      </c>
    </row>
    <row r="36" ht="14.25" customHeight="1" spans="2:396">
      <c r="B36" s="15"/>
      <c r="H36" s="15"/>
      <c r="K36" s="68" t="s">
        <v>3090</v>
      </c>
      <c r="L36" s="68">
        <f>1070+321</f>
        <v>1391</v>
      </c>
      <c r="Q36" s="68" t="s">
        <v>2859</v>
      </c>
      <c r="R36" s="68">
        <v>0</v>
      </c>
      <c r="W36" s="72" t="s">
        <v>3091</v>
      </c>
      <c r="X36" s="72">
        <f>10+5</f>
        <v>15</v>
      </c>
      <c r="AO36" s="78" t="s">
        <v>3091</v>
      </c>
      <c r="AP36" s="15">
        <v>10</v>
      </c>
      <c r="AU36" s="15" t="s">
        <v>3092</v>
      </c>
      <c r="AV36" s="15">
        <v>150</v>
      </c>
      <c r="BE36" s="15" t="s">
        <v>3093</v>
      </c>
      <c r="BF36" s="15">
        <f>108.3+39.8</f>
        <v>148.1</v>
      </c>
      <c r="BK36" s="42" t="s">
        <v>3094</v>
      </c>
      <c r="BL36" s="42">
        <v>400</v>
      </c>
      <c r="BQ36" s="42" t="s">
        <v>3095</v>
      </c>
      <c r="BR36" s="42">
        <v>300</v>
      </c>
      <c r="BW36" s="42" t="s">
        <v>3096</v>
      </c>
      <c r="BX36" s="42">
        <v>32.3</v>
      </c>
      <c r="CC36" s="42" t="s">
        <v>3097</v>
      </c>
      <c r="CD36" s="42">
        <v>535</v>
      </c>
      <c r="CI36" s="42" t="s">
        <v>3098</v>
      </c>
      <c r="CJ36" s="42">
        <v>39</v>
      </c>
      <c r="CO36" s="42" t="s">
        <v>3099</v>
      </c>
      <c r="CP36" s="42">
        <v>28.85</v>
      </c>
      <c r="CU36" s="42" t="s">
        <v>3100</v>
      </c>
      <c r="CV36" s="42">
        <v>33</v>
      </c>
      <c r="DA36" s="123"/>
      <c r="DB36" s="123"/>
      <c r="DC36" s="69" t="s">
        <v>2841</v>
      </c>
      <c r="DE36" s="61" t="s">
        <v>3101</v>
      </c>
      <c r="DF36" s="42">
        <v>348.15</v>
      </c>
      <c r="DG36" s="118" t="s">
        <v>3102</v>
      </c>
      <c r="DH36" s="57">
        <v>72.33</v>
      </c>
      <c r="DI36" s="22" t="s">
        <v>2591</v>
      </c>
      <c r="DJ36" s="23">
        <v>10000</v>
      </c>
      <c r="DM36" s="121" t="s">
        <v>3103</v>
      </c>
      <c r="DN36" s="124">
        <f>DJ16+DM38-DP13</f>
        <v>170</v>
      </c>
      <c r="DO36" s="614" t="s">
        <v>2574</v>
      </c>
      <c r="DP36" s="57"/>
      <c r="DS36" s="134" t="s">
        <v>2357</v>
      </c>
      <c r="DT36" s="146"/>
      <c r="DU36" s="614" t="s">
        <v>2821</v>
      </c>
      <c r="DV36" s="100"/>
      <c r="DY36" s="15" t="s">
        <v>3104</v>
      </c>
      <c r="DZ36" s="15">
        <v>100</v>
      </c>
      <c r="EA36" s="15" t="s">
        <v>2701</v>
      </c>
      <c r="EE36" s="15" t="s">
        <v>3105</v>
      </c>
      <c r="EF36" s="15">
        <v>700</v>
      </c>
      <c r="EL36" s="22" t="s">
        <v>3106</v>
      </c>
      <c r="EM36" s="22"/>
      <c r="ER36" s="48" t="s">
        <v>3107</v>
      </c>
      <c r="ES36" s="48">
        <v>110</v>
      </c>
      <c r="ET36" s="15" t="s">
        <v>2821</v>
      </c>
      <c r="EX36" s="48" t="s">
        <v>3108</v>
      </c>
      <c r="EY36" s="48">
        <v>22.4</v>
      </c>
      <c r="EZ36" s="15" t="s">
        <v>372</v>
      </c>
      <c r="FD36" s="61" t="s">
        <v>3109</v>
      </c>
      <c r="FE36" s="48">
        <v>19.36</v>
      </c>
      <c r="FF36" s="69" t="s">
        <v>3110</v>
      </c>
      <c r="FG36" s="57">
        <v>87</v>
      </c>
      <c r="FJ36" s="48" t="s">
        <v>3111</v>
      </c>
      <c r="FK36" s="48">
        <f>58.1+1.5</f>
        <v>59.6</v>
      </c>
      <c r="FL36" s="48" t="s">
        <v>2710</v>
      </c>
      <c r="FM36" s="94">
        <v>0</v>
      </c>
      <c r="FP36" s="151" t="s">
        <v>3112</v>
      </c>
      <c r="FQ36" s="15">
        <v>80</v>
      </c>
      <c r="FR36" s="15" t="s">
        <v>372</v>
      </c>
      <c r="FV36" s="61" t="s">
        <v>3113</v>
      </c>
      <c r="FW36" s="15">
        <v>9.9</v>
      </c>
      <c r="FX36" s="15" t="s">
        <v>2823</v>
      </c>
      <c r="GB36" s="154" t="s">
        <v>2667</v>
      </c>
      <c r="GC36" s="158"/>
      <c r="GH36" s="154" t="s">
        <v>3114</v>
      </c>
      <c r="GI36" s="158"/>
      <c r="GJ36" s="69" t="s">
        <v>3058</v>
      </c>
      <c r="GK36" s="61">
        <v>63.6</v>
      </c>
      <c r="GN36" s="151" t="s">
        <v>3115</v>
      </c>
      <c r="GO36" s="15">
        <v>63.06</v>
      </c>
      <c r="GP36" s="15" t="s">
        <v>3116</v>
      </c>
      <c r="GT36" s="181">
        <v>71.8</v>
      </c>
      <c r="GU36" s="154" t="s">
        <v>3117</v>
      </c>
      <c r="GV36" s="15" t="s">
        <v>2701</v>
      </c>
      <c r="GZ36" s="151" t="s">
        <v>3118</v>
      </c>
      <c r="HA36" s="15">
        <v>40.48</v>
      </c>
      <c r="HB36" s="69" t="s">
        <v>3119</v>
      </c>
      <c r="HC36" s="101">
        <v>71</v>
      </c>
      <c r="HF36" s="182">
        <v>50</v>
      </c>
      <c r="HG36" s="154" t="s">
        <v>2667</v>
      </c>
      <c r="HH36" s="15" t="s">
        <v>2823</v>
      </c>
      <c r="HL36" s="188" t="s">
        <v>3120</v>
      </c>
      <c r="HM36" s="205">
        <v>20760</v>
      </c>
      <c r="HP36" s="154" t="s">
        <v>3121</v>
      </c>
      <c r="HQ36" s="171">
        <v>100</v>
      </c>
      <c r="HR36" s="204">
        <v>20</v>
      </c>
      <c r="HS36" s="154" t="s">
        <v>3122</v>
      </c>
      <c r="HT36" s="189"/>
      <c r="HU36" s="97"/>
      <c r="HX36" s="204">
        <v>140</v>
      </c>
      <c r="HY36" s="154" t="s">
        <v>3123</v>
      </c>
      <c r="HZ36" s="48" t="s">
        <v>2167</v>
      </c>
      <c r="IA36" s="94">
        <v>4000</v>
      </c>
      <c r="IC36" s="234"/>
      <c r="ID36" s="15" t="s">
        <v>2430</v>
      </c>
      <c r="IE36" s="61">
        <v>52</v>
      </c>
      <c r="IH36" s="194"/>
      <c r="II36" s="212"/>
      <c r="IJ36" s="151" t="s">
        <v>3124</v>
      </c>
      <c r="IK36" s="15">
        <v>47.08</v>
      </c>
      <c r="IL36" s="15" t="s">
        <v>2841</v>
      </c>
      <c r="IN36" s="163" t="s">
        <v>2542</v>
      </c>
      <c r="IO36" s="43">
        <f>SUM(IQ10:IQ11)</f>
        <v>1105.41</v>
      </c>
      <c r="IP36" s="178" t="s">
        <v>2732</v>
      </c>
      <c r="IQ36" s="55">
        <f>IM23+IO40-IS19</f>
        <v>680</v>
      </c>
      <c r="IR36" s="15" t="s">
        <v>2841</v>
      </c>
      <c r="IV36" s="69" t="s">
        <v>3125</v>
      </c>
      <c r="IW36" s="101">
        <v>6.37</v>
      </c>
      <c r="JB36" s="42" t="s">
        <v>2486</v>
      </c>
      <c r="JC36" s="44">
        <f>204+76+114+103</f>
        <v>497</v>
      </c>
      <c r="JH36" s="204">
        <v>8</v>
      </c>
      <c r="JI36" s="245" t="s">
        <v>3126</v>
      </c>
      <c r="JN36" s="204">
        <v>10</v>
      </c>
      <c r="JO36" s="245" t="s">
        <v>3127</v>
      </c>
      <c r="JP36" s="15" t="s">
        <v>197</v>
      </c>
      <c r="JS36" s="234"/>
      <c r="JT36" s="15" t="s">
        <v>3128</v>
      </c>
      <c r="JU36" s="101">
        <v>139</v>
      </c>
      <c r="JZ36" s="151" t="s">
        <v>3129</v>
      </c>
      <c r="KA36" s="101">
        <v>10</v>
      </c>
      <c r="KD36" s="158" t="s">
        <v>3130</v>
      </c>
      <c r="KE36" s="289">
        <v>100</v>
      </c>
      <c r="KF36" s="290" t="s">
        <v>3131</v>
      </c>
      <c r="KG36" s="249">
        <v>70</v>
      </c>
      <c r="KH36" s="69" t="s">
        <v>3132</v>
      </c>
      <c r="KI36" s="43">
        <v>194</v>
      </c>
      <c r="KJ36" s="184" t="s">
        <v>1220</v>
      </c>
      <c r="KK36" s="91">
        <f>SUM(KM6:KM6)</f>
        <v>1900.1</v>
      </c>
      <c r="KL36" s="42" t="s">
        <v>2623</v>
      </c>
      <c r="KM36" s="44">
        <f>166+85+79+40</f>
        <v>370</v>
      </c>
      <c r="KN36" s="69" t="s">
        <v>2503</v>
      </c>
      <c r="KO36" s="41"/>
      <c r="KP36" s="184" t="s">
        <v>1220</v>
      </c>
      <c r="KQ36" s="91">
        <f>SUM(KS6:KS7)</f>
        <v>3900.11</v>
      </c>
      <c r="KR36" s="151" t="s">
        <v>3133</v>
      </c>
      <c r="KS36" s="101">
        <f>30.8+1.8+1</f>
        <v>33.6</v>
      </c>
      <c r="KT36" s="69" t="s">
        <v>2154</v>
      </c>
      <c r="KU36" s="48"/>
      <c r="KV36" s="61"/>
      <c r="KX36" s="151" t="s">
        <v>3134</v>
      </c>
      <c r="KY36" s="41">
        <f>12.5+36</f>
        <v>48.5</v>
      </c>
      <c r="KZ36" s="69" t="s">
        <v>1972</v>
      </c>
      <c r="LB36" s="184" t="s">
        <v>1220</v>
      </c>
      <c r="LC36" s="91">
        <f>SUM(LE7:LE9)</f>
        <v>9900.01</v>
      </c>
      <c r="LD36" s="151" t="s">
        <v>3135</v>
      </c>
      <c r="LE36" s="41">
        <v>36.9</v>
      </c>
      <c r="LF36" s="15" t="s">
        <v>3136</v>
      </c>
      <c r="LH36" s="151" t="s">
        <v>2677</v>
      </c>
      <c r="LI36" s="43">
        <f>SUM(LK28:LK37)</f>
        <v>481.6</v>
      </c>
      <c r="LJ36" s="151" t="s">
        <v>3137</v>
      </c>
      <c r="LK36" s="101">
        <v>37.4</v>
      </c>
      <c r="LL36" s="69" t="s">
        <v>2855</v>
      </c>
      <c r="LN36" s="293" t="s">
        <v>2637</v>
      </c>
      <c r="LO36" s="41">
        <f>SUM(LQ23:LQ28)</f>
        <v>707.88</v>
      </c>
      <c r="LP36" s="151" t="s">
        <v>3138</v>
      </c>
      <c r="LQ36" s="101">
        <v>38.9</v>
      </c>
      <c r="LT36" s="293" t="s">
        <v>2637</v>
      </c>
      <c r="LU36" s="41">
        <f>SUM(LW18:LW22)</f>
        <v>375.93</v>
      </c>
      <c r="LV36" s="178" t="s">
        <v>2732</v>
      </c>
      <c r="LW36" s="203">
        <f>LS24+LU40-LY25</f>
        <v>230</v>
      </c>
      <c r="LZ36" s="42" t="s">
        <v>2569</v>
      </c>
      <c r="MA36" s="41">
        <f>SUM(MC15:MC16)</f>
        <v>506.97</v>
      </c>
      <c r="MB36" s="42" t="s">
        <v>2623</v>
      </c>
      <c r="MC36" s="44">
        <f>36+167+36+137+168+192</f>
        <v>736</v>
      </c>
      <c r="MD36" s="15" t="s">
        <v>372</v>
      </c>
      <c r="MF36" s="321"/>
      <c r="MG36" s="321"/>
      <c r="MH36" s="327" t="s">
        <v>3139</v>
      </c>
      <c r="MI36" s="41">
        <v>45.5</v>
      </c>
      <c r="MJ36" s="65" t="s">
        <v>2503</v>
      </c>
      <c r="MK36" s="43"/>
      <c r="ML36" s="161" t="s">
        <v>2515</v>
      </c>
      <c r="MM36" s="57">
        <f>SUM(MO10:MO12)</f>
        <v>832.26</v>
      </c>
      <c r="MN36" s="67" t="s">
        <v>2512</v>
      </c>
      <c r="MO36" s="331">
        <f>1294.38+250.7</f>
        <v>1545.08</v>
      </c>
      <c r="MQ36" s="43"/>
      <c r="MR36" s="151" t="s">
        <v>2637</v>
      </c>
      <c r="MS36" s="41">
        <f>SUM(MU14:MU20)</f>
        <v>595.67</v>
      </c>
      <c r="MT36" s="67" t="s">
        <v>1983</v>
      </c>
      <c r="MU36" s="41">
        <v>47.19</v>
      </c>
      <c r="MV36" s="69"/>
      <c r="MX36" s="158" t="s">
        <v>3140</v>
      </c>
      <c r="MY36" s="204">
        <v>0</v>
      </c>
      <c r="MZ36" s="178" t="s">
        <v>2732</v>
      </c>
      <c r="NA36" s="23">
        <f>MW28+MY36-NC27</f>
        <v>70</v>
      </c>
      <c r="NB36" s="69" t="s">
        <v>3141</v>
      </c>
      <c r="NE36" s="56"/>
      <c r="NF36" s="15" t="s">
        <v>3142</v>
      </c>
      <c r="NG36" s="246">
        <f>9.5+6.2</f>
        <v>15.7</v>
      </c>
      <c r="NM36" s="61"/>
      <c r="NN36" s="69" t="s">
        <v>2855</v>
      </c>
      <c r="NP36" s="327" t="s">
        <v>2803</v>
      </c>
      <c r="NQ36" s="318">
        <f>SUM(NS20:NS29)</f>
        <v>357.16</v>
      </c>
      <c r="NR36" s="42" t="s">
        <v>2623</v>
      </c>
      <c r="NS36" s="44">
        <f>318+54+24</f>
        <v>396</v>
      </c>
      <c r="NT36" s="15" t="s">
        <v>3030</v>
      </c>
      <c r="NV36" s="287"/>
      <c r="NW36" s="287"/>
      <c r="NX36" s="327" t="s">
        <v>3143</v>
      </c>
      <c r="NY36" s="57">
        <v>23.3</v>
      </c>
      <c r="OB36" s="151" t="s">
        <v>2637</v>
      </c>
      <c r="OC36" s="41">
        <f>SUM(OE11:OE18)</f>
        <v>345.78</v>
      </c>
      <c r="OD36" s="42" t="s">
        <v>2974</v>
      </c>
      <c r="OE36" s="41"/>
      <c r="OF36" s="15" t="s">
        <v>3086</v>
      </c>
    </row>
    <row r="37" ht="12.75" customHeight="1" spans="23:395">
      <c r="W37" s="72" t="s">
        <v>2922</v>
      </c>
      <c r="X37" s="72">
        <f>70+16</f>
        <v>86</v>
      </c>
      <c r="AO37" s="78" t="s">
        <v>3144</v>
      </c>
      <c r="AP37" s="15">
        <v>22</v>
      </c>
      <c r="AU37" s="15" t="s">
        <v>3145</v>
      </c>
      <c r="AV37" s="15">
        <v>118</v>
      </c>
      <c r="BE37" s="15" t="s">
        <v>3146</v>
      </c>
      <c r="BF37" s="15">
        <v>134</v>
      </c>
      <c r="BK37" s="42" t="s">
        <v>3147</v>
      </c>
      <c r="BL37" s="42">
        <v>250</v>
      </c>
      <c r="BQ37" s="42" t="s">
        <v>3094</v>
      </c>
      <c r="BR37" s="42">
        <v>300</v>
      </c>
      <c r="CC37" s="42" t="s">
        <v>3148</v>
      </c>
      <c r="CD37" s="42">
        <v>180</v>
      </c>
      <c r="CI37" s="42" t="s">
        <v>3149</v>
      </c>
      <c r="CJ37" s="42">
        <v>58</v>
      </c>
      <c r="CO37" s="42" t="s">
        <v>3150</v>
      </c>
      <c r="CP37" s="42">
        <v>39</v>
      </c>
      <c r="CU37" s="42" t="s">
        <v>3151</v>
      </c>
      <c r="CV37" s="42">
        <v>10.001</v>
      </c>
      <c r="DA37" s="42" t="s">
        <v>3152</v>
      </c>
      <c r="DB37" s="61">
        <v>192.6</v>
      </c>
      <c r="DG37" s="118" t="s">
        <v>3153</v>
      </c>
      <c r="DH37" s="57">
        <v>127.12</v>
      </c>
      <c r="DI37" s="60"/>
      <c r="DJ37" s="132"/>
      <c r="DM37" s="134" t="s">
        <v>3154</v>
      </c>
      <c r="DN37" s="124"/>
      <c r="DO37" s="48" t="s">
        <v>197</v>
      </c>
      <c r="DP37" s="101"/>
      <c r="DS37" s="135">
        <v>300</v>
      </c>
      <c r="DT37" s="147">
        <f>DP13+DS37-DV12</f>
        <v>280.001</v>
      </c>
      <c r="DU37" s="48" t="s">
        <v>197</v>
      </c>
      <c r="DV37" s="101"/>
      <c r="DY37" s="15" t="s">
        <v>3155</v>
      </c>
      <c r="DZ37" s="15">
        <v>49.8</v>
      </c>
      <c r="EA37" s="15" t="s">
        <v>2841</v>
      </c>
      <c r="EE37" s="15" t="s">
        <v>3156</v>
      </c>
      <c r="EL37" s="22" t="s">
        <v>3157</v>
      </c>
      <c r="EM37" s="22"/>
      <c r="ER37" s="48" t="s">
        <v>3097</v>
      </c>
      <c r="ES37" s="48">
        <v>749</v>
      </c>
      <c r="ET37" s="15" t="s">
        <v>197</v>
      </c>
      <c r="EX37" s="61" t="s">
        <v>3158</v>
      </c>
      <c r="EY37" s="15">
        <v>7</v>
      </c>
      <c r="EZ37" s="15" t="s">
        <v>2823</v>
      </c>
      <c r="FD37" s="61" t="s">
        <v>3109</v>
      </c>
      <c r="FE37" s="48">
        <v>14.08</v>
      </c>
      <c r="FF37" s="69" t="s">
        <v>3159</v>
      </c>
      <c r="FG37" s="57">
        <v>211</v>
      </c>
      <c r="FJ37" s="176" t="s">
        <v>3160</v>
      </c>
      <c r="FK37" s="48">
        <v>26.29</v>
      </c>
      <c r="FL37" s="77" t="s">
        <v>2533</v>
      </c>
      <c r="FM37" s="97"/>
      <c r="FP37" s="178" t="s">
        <v>2596</v>
      </c>
      <c r="FQ37" s="178"/>
      <c r="FR37" s="15" t="s">
        <v>2823</v>
      </c>
      <c r="FV37" s="176" t="s">
        <v>3161</v>
      </c>
      <c r="FW37" s="61">
        <v>127.1</v>
      </c>
      <c r="FX37" s="15" t="s">
        <v>197</v>
      </c>
      <c r="GB37" s="154" t="s">
        <v>3162</v>
      </c>
      <c r="GC37" s="158"/>
      <c r="GH37" s="154" t="s">
        <v>2763</v>
      </c>
      <c r="GI37" s="158"/>
      <c r="GJ37" s="69"/>
      <c r="GK37" s="97"/>
      <c r="GN37" s="151" t="s">
        <v>2830</v>
      </c>
      <c r="GO37" s="15">
        <v>67.8</v>
      </c>
      <c r="GP37" s="69" t="s">
        <v>3163</v>
      </c>
      <c r="GQ37" s="97"/>
      <c r="GT37" s="182">
        <v>80</v>
      </c>
      <c r="GU37" s="154" t="s">
        <v>2667</v>
      </c>
      <c r="GV37" s="15" t="s">
        <v>2841</v>
      </c>
      <c r="GZ37" s="151" t="s">
        <v>3102</v>
      </c>
      <c r="HA37" s="15">
        <v>49.98</v>
      </c>
      <c r="HF37" s="188" t="s">
        <v>3164</v>
      </c>
      <c r="HG37" s="164">
        <v>3000</v>
      </c>
      <c r="HH37" s="15" t="s">
        <v>197</v>
      </c>
      <c r="HL37" s="188"/>
      <c r="HM37" s="166"/>
      <c r="HR37" s="204">
        <v>20</v>
      </c>
      <c r="HS37" s="154" t="s">
        <v>2896</v>
      </c>
      <c r="HT37" s="189"/>
      <c r="HU37" s="97"/>
      <c r="HX37" s="204">
        <v>40</v>
      </c>
      <c r="HY37" s="154" t="s">
        <v>2667</v>
      </c>
      <c r="HZ37" s="69" t="s">
        <v>2547</v>
      </c>
      <c r="IA37" s="97"/>
      <c r="IC37" s="234"/>
      <c r="ID37" s="42" t="s">
        <v>2486</v>
      </c>
      <c r="IE37" s="42">
        <v>453</v>
      </c>
      <c r="IH37" s="194"/>
      <c r="II37" s="212"/>
      <c r="IJ37" s="15" t="s">
        <v>2430</v>
      </c>
      <c r="IK37" s="61">
        <f>35+25+17.47+26.01</f>
        <v>103.48</v>
      </c>
      <c r="IN37" s="170" t="s">
        <v>2607</v>
      </c>
      <c r="IO37" s="43">
        <f>SUM(IQ13:IQ20)</f>
        <v>1316.31333333333</v>
      </c>
      <c r="IP37" s="204">
        <v>399</v>
      </c>
      <c r="IQ37" s="245" t="s">
        <v>3165</v>
      </c>
      <c r="IV37" s="69" t="s">
        <v>1982</v>
      </c>
      <c r="IW37" s="101">
        <v>104.35</v>
      </c>
      <c r="JB37" s="202">
        <v>23.85</v>
      </c>
      <c r="JC37" s="44"/>
      <c r="JF37" s="154" t="s">
        <v>3166</v>
      </c>
      <c r="JG37" s="171">
        <v>200</v>
      </c>
      <c r="JH37" s="204">
        <v>8</v>
      </c>
      <c r="JI37" s="245" t="s">
        <v>3167</v>
      </c>
      <c r="JN37" s="204">
        <v>192.7</v>
      </c>
      <c r="JO37" s="245" t="s">
        <v>3168</v>
      </c>
      <c r="JP37" s="15" t="s">
        <v>2841</v>
      </c>
      <c r="JS37" s="234"/>
      <c r="JT37" s="264" t="s">
        <v>3169</v>
      </c>
      <c r="JU37" s="276">
        <v>5.35</v>
      </c>
      <c r="JZ37" s="151" t="s">
        <v>3170</v>
      </c>
      <c r="KA37" s="41">
        <f>45.73</f>
        <v>45.73</v>
      </c>
      <c r="KF37" s="270" t="s">
        <v>3171</v>
      </c>
      <c r="KG37" s="15">
        <v>324</v>
      </c>
      <c r="KJ37" s="177" t="s">
        <v>2847</v>
      </c>
      <c r="KK37" s="91">
        <f>SUM(KM14:KM20)</f>
        <v>54065.84</v>
      </c>
      <c r="KL37" s="202">
        <v>40.25</v>
      </c>
      <c r="KM37" s="44"/>
      <c r="KN37" s="69" t="s">
        <v>2436</v>
      </c>
      <c r="KO37" s="41"/>
      <c r="KP37" s="177" t="s">
        <v>2847</v>
      </c>
      <c r="KQ37" s="91">
        <f>SUM(KS17:KS19)</f>
        <v>1533.58</v>
      </c>
      <c r="KR37" s="151" t="s">
        <v>3172</v>
      </c>
      <c r="KS37" s="101">
        <f>7.5+7.5</f>
        <v>15</v>
      </c>
      <c r="KT37" s="69" t="s">
        <v>1862</v>
      </c>
      <c r="KX37" s="151" t="s">
        <v>3173</v>
      </c>
      <c r="KY37" s="41">
        <f>20+22+11+15+9+9</f>
        <v>86</v>
      </c>
      <c r="KZ37" s="15" t="s">
        <v>372</v>
      </c>
      <c r="LB37" s="177" t="s">
        <v>2847</v>
      </c>
      <c r="LC37" s="91">
        <f>SUM(LE21:LE24)</f>
        <v>11790.86</v>
      </c>
      <c r="LD37" s="151" t="s">
        <v>3174</v>
      </c>
      <c r="LE37" s="101">
        <v>12</v>
      </c>
      <c r="LF37" s="15" t="s">
        <v>3086</v>
      </c>
      <c r="LH37" s="151" t="s">
        <v>2803</v>
      </c>
      <c r="LI37" s="263">
        <f>SUM(LK30:LK37)</f>
        <v>456.6</v>
      </c>
      <c r="LJ37" s="151" t="s">
        <v>3175</v>
      </c>
      <c r="LK37" s="101">
        <v>6.5</v>
      </c>
      <c r="LL37" s="69" t="s">
        <v>3022</v>
      </c>
      <c r="LN37" s="151" t="s">
        <v>2677</v>
      </c>
      <c r="LO37" s="41">
        <f>SUM(LQ29:LQ37)</f>
        <v>763.64</v>
      </c>
      <c r="LP37" s="151" t="s">
        <v>3176</v>
      </c>
      <c r="LQ37" s="101">
        <v>67.38</v>
      </c>
      <c r="LR37" s="69" t="s">
        <v>2855</v>
      </c>
      <c r="LT37" s="151" t="s">
        <v>2677</v>
      </c>
      <c r="LU37" s="41">
        <f>SUM(LW23:LW32)</f>
        <v>1291.03</v>
      </c>
      <c r="LV37" s="204">
        <v>10</v>
      </c>
      <c r="LW37" s="203" t="s">
        <v>2667</v>
      </c>
      <c r="LX37" s="69" t="s">
        <v>2855</v>
      </c>
      <c r="LZ37" s="293" t="s">
        <v>2965</v>
      </c>
      <c r="MA37" s="41">
        <f>SUM(MC27:MC31)</f>
        <v>1669.48</v>
      </c>
      <c r="MB37" s="330">
        <v>40.15</v>
      </c>
      <c r="MC37" s="44"/>
      <c r="MD37" s="15" t="s">
        <v>3030</v>
      </c>
      <c r="MF37" s="321"/>
      <c r="MG37" s="321"/>
      <c r="MH37" s="327" t="s">
        <v>3177</v>
      </c>
      <c r="MI37" s="41">
        <v>6.9</v>
      </c>
      <c r="MJ37" s="69" t="s">
        <v>2319</v>
      </c>
      <c r="ML37" s="42" t="s">
        <v>2569</v>
      </c>
      <c r="MM37" s="41">
        <f>SUM(MO9:MO9)</f>
        <v>1476</v>
      </c>
      <c r="MN37" s="115" t="s">
        <v>3178</v>
      </c>
      <c r="MO37" s="57">
        <v>550</v>
      </c>
      <c r="MP37" s="65"/>
      <c r="MQ37" s="41"/>
      <c r="MR37" s="293" t="s">
        <v>2965</v>
      </c>
      <c r="MS37" s="41">
        <f>SUM(MU34:MU37)</f>
        <v>1990.12</v>
      </c>
      <c r="MT37" s="67" t="s">
        <v>3179</v>
      </c>
      <c r="MU37" s="57">
        <v>588.6</v>
      </c>
      <c r="MV37" s="69" t="s">
        <v>2855</v>
      </c>
      <c r="MZ37" s="204">
        <v>50</v>
      </c>
      <c r="NA37" s="334" t="s">
        <v>3180</v>
      </c>
      <c r="NB37" s="15" t="s">
        <v>372</v>
      </c>
      <c r="NG37" s="61"/>
      <c r="NH37" s="15" t="s">
        <v>3181</v>
      </c>
      <c r="NN37" s="69" t="s">
        <v>3182</v>
      </c>
      <c r="NR37" s="330">
        <v>24.95</v>
      </c>
      <c r="NS37" s="44"/>
      <c r="NT37" s="15" t="s">
        <v>3086</v>
      </c>
      <c r="NV37" s="287"/>
      <c r="NW37" s="287"/>
      <c r="NX37" s="327" t="s">
        <v>3183</v>
      </c>
      <c r="NY37" s="57">
        <f>60.31+30.2</f>
        <v>90.51</v>
      </c>
      <c r="NZ37" s="15" t="s">
        <v>3181</v>
      </c>
      <c r="OB37" s="58" t="s">
        <v>2695</v>
      </c>
      <c r="OC37" s="41">
        <f>SUM(OE31:OE34)</f>
        <v>0</v>
      </c>
      <c r="OD37" s="42" t="s">
        <v>2623</v>
      </c>
      <c r="OE37" s="44"/>
    </row>
    <row r="38" ht="13.95" spans="17:396">
      <c r="Q38" s="624" t="s">
        <v>1465</v>
      </c>
      <c r="R38" s="15">
        <v>700</v>
      </c>
      <c r="AO38" s="78" t="s">
        <v>3184</v>
      </c>
      <c r="AP38" s="15">
        <v>111</v>
      </c>
      <c r="AU38" s="15" t="s">
        <v>3185</v>
      </c>
      <c r="AV38" s="15">
        <v>134</v>
      </c>
      <c r="BQ38" s="42" t="s">
        <v>3147</v>
      </c>
      <c r="BR38" s="42">
        <v>150</v>
      </c>
      <c r="CC38" s="42" t="s">
        <v>1284</v>
      </c>
      <c r="CD38" s="42">
        <f>6.8+82.4</f>
        <v>89.2</v>
      </c>
      <c r="CI38" s="42" t="s">
        <v>2988</v>
      </c>
      <c r="CJ38" s="42">
        <v>25</v>
      </c>
      <c r="CO38" s="42" t="s">
        <v>3186</v>
      </c>
      <c r="CP38" s="42">
        <v>74.8</v>
      </c>
      <c r="CU38" s="42" t="s">
        <v>3187</v>
      </c>
      <c r="CV38" s="42">
        <f>50+10</f>
        <v>60</v>
      </c>
      <c r="CW38" s="104"/>
      <c r="DA38" s="42" t="s">
        <v>3188</v>
      </c>
      <c r="DB38" s="42">
        <v>40.6</v>
      </c>
      <c r="DG38" s="118" t="s">
        <v>3189</v>
      </c>
      <c r="DH38" s="57">
        <v>28</v>
      </c>
      <c r="DI38" s="69" t="s">
        <v>1466</v>
      </c>
      <c r="DJ38" s="94">
        <v>-20000</v>
      </c>
      <c r="DM38" s="135">
        <v>200</v>
      </c>
      <c r="DN38" s="125"/>
      <c r="DO38" s="15" t="s">
        <v>2701</v>
      </c>
      <c r="DS38" s="148" t="s">
        <v>3190</v>
      </c>
      <c r="DT38" s="147"/>
      <c r="DU38" s="15" t="s">
        <v>2701</v>
      </c>
      <c r="DY38" s="15" t="s">
        <v>3191</v>
      </c>
      <c r="DZ38" s="15">
        <v>34</v>
      </c>
      <c r="EE38" s="15" t="s">
        <v>3192</v>
      </c>
      <c r="EF38" s="15">
        <v>40</v>
      </c>
      <c r="EH38" s="104"/>
      <c r="EL38" s="22" t="s">
        <v>3193</v>
      </c>
      <c r="EM38" s="22"/>
      <c r="ER38" s="61" t="s">
        <v>3194</v>
      </c>
      <c r="ES38" s="61">
        <f>710+22</f>
        <v>732</v>
      </c>
      <c r="ET38" s="15" t="s">
        <v>2701</v>
      </c>
      <c r="EX38" s="61" t="s">
        <v>3195</v>
      </c>
      <c r="EY38" s="48">
        <v>4.83</v>
      </c>
      <c r="EZ38" s="15" t="s">
        <v>2821</v>
      </c>
      <c r="FD38" s="61" t="s">
        <v>3196</v>
      </c>
      <c r="FE38" s="48">
        <v>78.69</v>
      </c>
      <c r="FF38" s="69" t="s">
        <v>3197</v>
      </c>
      <c r="FG38" s="57">
        <v>136</v>
      </c>
      <c r="FJ38" s="176" t="s">
        <v>1812</v>
      </c>
      <c r="FK38" s="61">
        <v>87.09</v>
      </c>
      <c r="FL38" s="69" t="s">
        <v>2997</v>
      </c>
      <c r="FM38" s="57">
        <v>30</v>
      </c>
      <c r="FP38" s="171">
        <v>210</v>
      </c>
      <c r="FQ38" s="172">
        <f>FM10+FP38-FS11</f>
        <v>144</v>
      </c>
      <c r="FR38" s="15" t="s">
        <v>197</v>
      </c>
      <c r="FV38" s="176" t="s">
        <v>3198</v>
      </c>
      <c r="FW38" s="61">
        <v>8.53</v>
      </c>
      <c r="FX38" s="15" t="s">
        <v>2701</v>
      </c>
      <c r="GB38" s="154" t="s">
        <v>3199</v>
      </c>
      <c r="GC38" s="158"/>
      <c r="GH38" s="176" t="s">
        <v>3200</v>
      </c>
      <c r="GI38" s="61">
        <v>100</v>
      </c>
      <c r="GJ38" s="69"/>
      <c r="GK38" s="97"/>
      <c r="GN38" s="151" t="s">
        <v>3201</v>
      </c>
      <c r="GO38" s="15">
        <v>12.84</v>
      </c>
      <c r="GP38" s="69" t="s">
        <v>3202</v>
      </c>
      <c r="GQ38" s="15">
        <f>GU16</f>
        <v>84250</v>
      </c>
      <c r="GT38" s="182">
        <v>5</v>
      </c>
      <c r="GU38" s="154" t="s">
        <v>3203</v>
      </c>
      <c r="GZ38" s="151" t="s">
        <v>3204</v>
      </c>
      <c r="HA38" s="15">
        <f>36.3+3.2+61.6</f>
        <v>101.1</v>
      </c>
      <c r="HB38" s="15" t="s">
        <v>372</v>
      </c>
      <c r="HF38" s="188" t="s">
        <v>3205</v>
      </c>
      <c r="HG38" s="164">
        <v>17367.45</v>
      </c>
      <c r="HH38" s="15" t="s">
        <v>2701</v>
      </c>
      <c r="HR38" s="188" t="s">
        <v>3206</v>
      </c>
      <c r="HS38" s="205">
        <v>9.9</v>
      </c>
      <c r="HT38" s="15" t="s">
        <v>372</v>
      </c>
      <c r="HX38" s="204">
        <v>40</v>
      </c>
      <c r="HY38" s="154" t="s">
        <v>3207</v>
      </c>
      <c r="HZ38" s="189" t="s">
        <v>2727</v>
      </c>
      <c r="IA38" s="235">
        <v>21.35</v>
      </c>
      <c r="IC38" s="236"/>
      <c r="ID38" s="202">
        <v>28.33</v>
      </c>
      <c r="IE38" s="42"/>
      <c r="IH38" s="199"/>
      <c r="IJ38" s="42" t="s">
        <v>2486</v>
      </c>
      <c r="IK38" s="42">
        <v>810</v>
      </c>
      <c r="IN38" s="151" t="s">
        <v>2677</v>
      </c>
      <c r="IO38" s="43">
        <f>SUM(IQ21:IQ32)</f>
        <v>464.31</v>
      </c>
      <c r="IP38" s="204">
        <v>35</v>
      </c>
      <c r="IQ38" s="245" t="s">
        <v>3208</v>
      </c>
      <c r="IV38" s="69" t="s">
        <v>1982</v>
      </c>
      <c r="IW38" s="101">
        <v>51.81</v>
      </c>
      <c r="IZ38" s="154" t="s">
        <v>3209</v>
      </c>
      <c r="JA38" s="171">
        <v>200</v>
      </c>
      <c r="JB38" s="178" t="s">
        <v>2732</v>
      </c>
      <c r="JC38" s="203">
        <f>IY20+JA38-JE21</f>
        <v>260</v>
      </c>
      <c r="JH38" s="204">
        <v>70</v>
      </c>
      <c r="JI38" s="245" t="s">
        <v>2667</v>
      </c>
      <c r="JN38" s="204">
        <v>18</v>
      </c>
      <c r="JO38" s="245" t="s">
        <v>3210</v>
      </c>
      <c r="JT38" s="265" t="s">
        <v>3211</v>
      </c>
      <c r="JU38" s="277">
        <v>2.2</v>
      </c>
      <c r="JZ38" s="151" t="s">
        <v>3212</v>
      </c>
      <c r="KA38" s="101">
        <v>33.03</v>
      </c>
      <c r="KF38" s="291" t="s">
        <v>3213</v>
      </c>
      <c r="KG38" s="15">
        <v>39.7</v>
      </c>
      <c r="KJ38" s="292" t="s">
        <v>2569</v>
      </c>
      <c r="KK38" s="43">
        <v>0</v>
      </c>
      <c r="KL38" s="178" t="s">
        <v>2732</v>
      </c>
      <c r="KM38" s="203">
        <f>KI27+KK45-KO28</f>
        <v>270</v>
      </c>
      <c r="KN38" s="69"/>
      <c r="KO38" s="41"/>
      <c r="KP38" s="161" t="s">
        <v>3214</v>
      </c>
      <c r="KQ38" s="43">
        <f>SUM(KS8:KS13)</f>
        <v>1643.11</v>
      </c>
      <c r="KR38" s="15" t="s">
        <v>3073</v>
      </c>
      <c r="KS38" s="57">
        <v>40</v>
      </c>
      <c r="KT38" s="69" t="s">
        <v>1972</v>
      </c>
      <c r="KW38" s="48"/>
      <c r="KX38" s="151" t="s">
        <v>3215</v>
      </c>
      <c r="KY38" s="41">
        <v>707.68</v>
      </c>
      <c r="KZ38" s="15" t="s">
        <v>3136</v>
      </c>
      <c r="LB38" s="292" t="s">
        <v>2569</v>
      </c>
      <c r="LC38" s="174">
        <f>SUM(LE10:LE13)</f>
        <v>3622.06</v>
      </c>
      <c r="LD38" s="151" t="s">
        <v>3216</v>
      </c>
      <c r="LE38" s="101">
        <f>34.12+23.77</f>
        <v>57.89</v>
      </c>
      <c r="LF38" s="15" t="s">
        <v>3217</v>
      </c>
      <c r="LJ38" s="42" t="s">
        <v>2623</v>
      </c>
      <c r="LK38" s="44">
        <f>97+232+92</f>
        <v>421</v>
      </c>
      <c r="LL38" s="15" t="s">
        <v>372</v>
      </c>
      <c r="LN38" s="151" t="s">
        <v>2803</v>
      </c>
      <c r="LO38" s="318">
        <f>SUM(LQ32:LQ37)</f>
        <v>275.81</v>
      </c>
      <c r="LP38" s="42" t="s">
        <v>2623</v>
      </c>
      <c r="LQ38" s="44">
        <f>356+144+134+20</f>
        <v>654</v>
      </c>
      <c r="LR38" s="69" t="s">
        <v>3218</v>
      </c>
      <c r="LT38" s="151" t="s">
        <v>2803</v>
      </c>
      <c r="LU38" s="318">
        <f>SUM(LW27:LW32)</f>
        <v>500.96</v>
      </c>
      <c r="LV38" s="204">
        <v>60</v>
      </c>
      <c r="LW38" s="283" t="s">
        <v>3219</v>
      </c>
      <c r="LX38" s="69" t="s">
        <v>3081</v>
      </c>
      <c r="LZ38" s="115" t="s">
        <v>3080</v>
      </c>
      <c r="MA38" s="38">
        <f>SUM(MC32:MC34)</f>
        <v>183.3</v>
      </c>
      <c r="MB38" s="178" t="s">
        <v>2732</v>
      </c>
      <c r="MC38" s="23">
        <f>LY25+MA42-ME25</f>
        <v>230</v>
      </c>
      <c r="MD38" s="15" t="s">
        <v>3220</v>
      </c>
      <c r="MF38" s="321"/>
      <c r="MG38" s="321"/>
      <c r="MH38" s="327" t="s">
        <v>3221</v>
      </c>
      <c r="MI38" s="41">
        <v>4.9</v>
      </c>
      <c r="MJ38" s="65"/>
      <c r="MK38" s="41"/>
      <c r="ML38" s="151" t="s">
        <v>2637</v>
      </c>
      <c r="MM38" s="41">
        <f>SUM(MO13:MO19)</f>
        <v>260.56</v>
      </c>
      <c r="MN38" s="115" t="s">
        <v>3222</v>
      </c>
      <c r="MO38" s="57">
        <v>46.48</v>
      </c>
      <c r="MP38" s="69"/>
      <c r="MR38" s="115" t="s">
        <v>3080</v>
      </c>
      <c r="MS38" s="38">
        <f>SUM(MU38:MU38)</f>
        <v>27.57</v>
      </c>
      <c r="MT38" s="115" t="s">
        <v>2206</v>
      </c>
      <c r="MU38" s="57">
        <v>27.57</v>
      </c>
      <c r="MV38" s="69" t="s">
        <v>3223</v>
      </c>
      <c r="MY38" s="56"/>
      <c r="MZ38" s="204">
        <v>10</v>
      </c>
      <c r="NA38" s="245" t="s">
        <v>3224</v>
      </c>
      <c r="NB38" s="15" t="s">
        <v>3030</v>
      </c>
      <c r="NH38" s="15" t="s">
        <v>3225</v>
      </c>
      <c r="NP38" s="158" t="s">
        <v>3226</v>
      </c>
      <c r="NQ38" s="171">
        <v>505</v>
      </c>
      <c r="NR38" s="178" t="s">
        <v>2732</v>
      </c>
      <c r="NS38" s="23">
        <f>NO27+NQ38-NU25</f>
        <v>15</v>
      </c>
      <c r="NV38" s="287"/>
      <c r="NW38" s="287"/>
      <c r="NX38" s="327" t="s">
        <v>3227</v>
      </c>
      <c r="NY38" s="57">
        <v>8.6</v>
      </c>
      <c r="NZ38" s="15" t="s">
        <v>3225</v>
      </c>
      <c r="OB38" s="327" t="s">
        <v>2677</v>
      </c>
      <c r="OC38" s="38">
        <f>SUM(OE19:OE30)</f>
        <v>807.17</v>
      </c>
      <c r="OD38" s="330">
        <v>101.51</v>
      </c>
      <c r="OE38" s="44"/>
      <c r="OF38" s="15" t="s">
        <v>3181</v>
      </c>
    </row>
    <row r="39" ht="13.95" spans="11:396">
      <c r="K39" s="15" t="s">
        <v>3228</v>
      </c>
      <c r="L39" s="15">
        <v>95</v>
      </c>
      <c r="Q39" s="614" t="s">
        <v>2920</v>
      </c>
      <c r="R39" s="15">
        <v>100</v>
      </c>
      <c r="W39" s="15" t="s">
        <v>3229</v>
      </c>
      <c r="X39" s="15">
        <f>110.35+107.59-8.62-14.01</f>
        <v>195.31</v>
      </c>
      <c r="AO39" s="78" t="s">
        <v>3230</v>
      </c>
      <c r="AP39" s="15">
        <v>99.81</v>
      </c>
      <c r="AU39" s="15" t="s">
        <v>3231</v>
      </c>
      <c r="AV39" s="15">
        <v>-134</v>
      </c>
      <c r="BE39" s="15" t="s">
        <v>3038</v>
      </c>
      <c r="BF39" s="15">
        <v>200</v>
      </c>
      <c r="BW39" s="42" t="s">
        <v>3232</v>
      </c>
      <c r="BX39" s="42">
        <v>100</v>
      </c>
      <c r="CC39" s="42" t="s">
        <v>3233</v>
      </c>
      <c r="CD39" s="42">
        <v>0</v>
      </c>
      <c r="CI39" s="42" t="s">
        <v>3234</v>
      </c>
      <c r="CJ39" s="42">
        <v>102</v>
      </c>
      <c r="CO39" s="42" t="s">
        <v>2937</v>
      </c>
      <c r="CP39" s="42">
        <v>60.08</v>
      </c>
      <c r="CU39" s="42" t="s">
        <v>3235</v>
      </c>
      <c r="CV39" s="42">
        <v>80</v>
      </c>
      <c r="DA39" s="42" t="s">
        <v>3236</v>
      </c>
      <c r="DB39" s="42">
        <v>106.3</v>
      </c>
      <c r="DC39" s="104"/>
      <c r="DG39" s="118" t="s">
        <v>3237</v>
      </c>
      <c r="DH39" s="57">
        <v>32.2</v>
      </c>
      <c r="DI39" s="133" t="s">
        <v>2816</v>
      </c>
      <c r="DJ39" s="133"/>
      <c r="DM39" s="123" t="s">
        <v>3044</v>
      </c>
      <c r="DN39" s="125"/>
      <c r="DO39" s="69" t="s">
        <v>2841</v>
      </c>
      <c r="DS39" s="123" t="s">
        <v>3238</v>
      </c>
      <c r="DT39" s="125"/>
      <c r="DU39" s="69" t="s">
        <v>2841</v>
      </c>
      <c r="DY39" s="15" t="s">
        <v>3236</v>
      </c>
      <c r="DZ39" s="15">
        <v>15</v>
      </c>
      <c r="EL39" s="22"/>
      <c r="EM39" s="22"/>
      <c r="EN39" s="104"/>
      <c r="ER39" s="61" t="s">
        <v>3239</v>
      </c>
      <c r="ES39" s="61">
        <v>69</v>
      </c>
      <c r="ET39" s="15" t="s">
        <v>2841</v>
      </c>
      <c r="EX39" s="61" t="s">
        <v>3240</v>
      </c>
      <c r="EY39" s="61">
        <v>37.87</v>
      </c>
      <c r="EZ39" s="15" t="s">
        <v>197</v>
      </c>
      <c r="FD39" s="61" t="s">
        <v>3053</v>
      </c>
      <c r="FE39" s="15" t="s">
        <v>3241</v>
      </c>
      <c r="FF39" s="61" t="s">
        <v>3242</v>
      </c>
      <c r="FG39" s="61">
        <v>250</v>
      </c>
      <c r="FJ39" s="176" t="s">
        <v>3243</v>
      </c>
      <c r="FK39" s="48">
        <v>11.25</v>
      </c>
      <c r="FL39" s="69" t="s">
        <v>3244</v>
      </c>
      <c r="FM39" s="97">
        <v>101</v>
      </c>
      <c r="FP39" s="158" t="s">
        <v>3245</v>
      </c>
      <c r="FQ39" s="158"/>
      <c r="FR39" s="15" t="s">
        <v>2701</v>
      </c>
      <c r="FV39" s="176" t="s">
        <v>3246</v>
      </c>
      <c r="FW39" s="61">
        <v>184</v>
      </c>
      <c r="FX39" s="15" t="s">
        <v>2841</v>
      </c>
      <c r="GB39" s="154" t="s">
        <v>3247</v>
      </c>
      <c r="GC39" s="158"/>
      <c r="GH39" s="176" t="s">
        <v>3248</v>
      </c>
      <c r="GI39" s="15">
        <v>70</v>
      </c>
      <c r="GJ39" s="15" t="s">
        <v>372</v>
      </c>
      <c r="GN39" s="151" t="s">
        <v>3249</v>
      </c>
      <c r="GO39" s="15">
        <v>26</v>
      </c>
      <c r="GP39" s="69" t="s">
        <v>3250</v>
      </c>
      <c r="GQ39" s="97">
        <v>45000</v>
      </c>
      <c r="GT39" s="182">
        <v>20</v>
      </c>
      <c r="GU39" s="154" t="s">
        <v>3251</v>
      </c>
      <c r="GZ39" s="151" t="s">
        <v>3252</v>
      </c>
      <c r="HA39" s="15">
        <v>84.3</v>
      </c>
      <c r="HB39" s="15" t="s">
        <v>2823</v>
      </c>
      <c r="HF39" s="188" t="s">
        <v>3253</v>
      </c>
      <c r="HG39" s="166">
        <v>88</v>
      </c>
      <c r="HH39" s="15" t="s">
        <v>2841</v>
      </c>
      <c r="HL39" s="188"/>
      <c r="HM39" s="166"/>
      <c r="HR39" s="188" t="s">
        <v>3254</v>
      </c>
      <c r="HS39" s="166">
        <v>10.57</v>
      </c>
      <c r="HT39" s="15" t="s">
        <v>197</v>
      </c>
      <c r="HX39" s="204">
        <v>40</v>
      </c>
      <c r="HY39" s="154" t="s">
        <v>3255</v>
      </c>
      <c r="HZ39" s="69" t="s">
        <v>2837</v>
      </c>
      <c r="IA39" s="97">
        <v>125.91</v>
      </c>
      <c r="ID39" s="178" t="s">
        <v>2732</v>
      </c>
      <c r="IE39" s="203">
        <f>IA28+IC42-IG23</f>
        <v>175</v>
      </c>
      <c r="IH39" s="199"/>
      <c r="IJ39" s="178" t="s">
        <v>2732</v>
      </c>
      <c r="IK39" s="203">
        <f>IG23+II50-IM23</f>
        <v>230</v>
      </c>
      <c r="IN39" s="151" t="s">
        <v>2771</v>
      </c>
      <c r="IO39" s="43">
        <f>SUM(IQ25:IQ32)</f>
        <v>303.81</v>
      </c>
      <c r="IP39" s="204">
        <v>7.9</v>
      </c>
      <c r="IQ39" s="245" t="s">
        <v>3256</v>
      </c>
      <c r="IV39" s="69" t="s">
        <v>1982</v>
      </c>
      <c r="IW39" s="101">
        <v>28.77</v>
      </c>
      <c r="IZ39" s="164"/>
      <c r="JA39" s="237"/>
      <c r="JB39" s="204">
        <v>130</v>
      </c>
      <c r="JC39" s="245" t="s">
        <v>3257</v>
      </c>
      <c r="JH39" s="204">
        <v>10</v>
      </c>
      <c r="JI39" s="245" t="s">
        <v>3258</v>
      </c>
      <c r="JM39" s="234"/>
      <c r="JN39" s="204">
        <v>10</v>
      </c>
      <c r="JO39" s="22" t="s">
        <v>3259</v>
      </c>
      <c r="JS39" s="266" t="s">
        <v>3260</v>
      </c>
      <c r="JT39" s="265" t="s">
        <v>3261</v>
      </c>
      <c r="JU39" s="277">
        <v>89.39</v>
      </c>
      <c r="JX39" s="45" t="s">
        <v>2395</v>
      </c>
      <c r="JY39" s="45"/>
      <c r="JZ39" s="151" t="s">
        <v>3262</v>
      </c>
      <c r="KA39" s="41">
        <f>48.9</f>
        <v>48.9</v>
      </c>
      <c r="KF39" s="271" t="s">
        <v>1982</v>
      </c>
      <c r="KG39" s="186">
        <v>110.1</v>
      </c>
      <c r="KH39" s="15" t="s">
        <v>372</v>
      </c>
      <c r="KJ39" s="161" t="s">
        <v>3214</v>
      </c>
      <c r="KK39" s="43">
        <f>SUM(KM7:KM9)</f>
        <v>1201.57</v>
      </c>
      <c r="KL39" s="204">
        <v>40</v>
      </c>
      <c r="KM39" s="283" t="s">
        <v>2896</v>
      </c>
      <c r="KN39" s="69"/>
      <c r="KO39" s="41"/>
      <c r="KP39" s="86" t="s">
        <v>3023</v>
      </c>
      <c r="KQ39" s="241">
        <f>SUM(KS14:KS16)</f>
        <v>325.95</v>
      </c>
      <c r="KR39" s="42" t="s">
        <v>2623</v>
      </c>
      <c r="KS39" s="44">
        <v>547</v>
      </c>
      <c r="KT39" s="15" t="s">
        <v>372</v>
      </c>
      <c r="KX39" s="151" t="s">
        <v>3263</v>
      </c>
      <c r="KY39" s="41">
        <f>1264.52+12.65</f>
        <v>1277.17</v>
      </c>
      <c r="KZ39" s="15" t="s">
        <v>3086</v>
      </c>
      <c r="LB39" s="161" t="s">
        <v>3214</v>
      </c>
      <c r="LC39" s="43">
        <f>SUM(LE14:LE18)</f>
        <v>825.89</v>
      </c>
      <c r="LD39" s="151" t="s">
        <v>3264</v>
      </c>
      <c r="LE39" s="101">
        <f>7.5*2+38.7</f>
        <v>53.7</v>
      </c>
      <c r="LF39" s="48" t="s">
        <v>3265</v>
      </c>
      <c r="LH39" s="158" t="s">
        <v>3266</v>
      </c>
      <c r="LI39" s="289">
        <v>300</v>
      </c>
      <c r="LJ39" s="202">
        <v>22.09</v>
      </c>
      <c r="LK39" s="44"/>
      <c r="LL39" s="15" t="s">
        <v>3136</v>
      </c>
      <c r="LP39" s="202">
        <v>20.13</v>
      </c>
      <c r="LQ39" s="44"/>
      <c r="LV39" s="204">
        <v>10</v>
      </c>
      <c r="LW39" s="283" t="s">
        <v>3267</v>
      </c>
      <c r="LZ39" s="327" t="s">
        <v>2677</v>
      </c>
      <c r="MA39" s="41">
        <f>SUM(MC17:MC26)</f>
        <v>407.62</v>
      </c>
      <c r="MB39" s="204">
        <v>6</v>
      </c>
      <c r="MC39" s="203" t="s">
        <v>3268</v>
      </c>
      <c r="MF39" s="61"/>
      <c r="MH39" s="327" t="s">
        <v>3269</v>
      </c>
      <c r="MI39" s="41">
        <v>6.3</v>
      </c>
      <c r="ML39" s="293" t="s">
        <v>2965</v>
      </c>
      <c r="MM39" s="41">
        <f>SUM(MO36:MO36)</f>
        <v>1545.08</v>
      </c>
      <c r="MN39" s="42" t="s">
        <v>2623</v>
      </c>
      <c r="MO39" s="44">
        <f>157+29+289+60+41+130</f>
        <v>706</v>
      </c>
      <c r="MP39" s="69" t="s">
        <v>2855</v>
      </c>
      <c r="MR39" s="327" t="s">
        <v>2677</v>
      </c>
      <c r="MS39" s="38">
        <f>SUM(MU21:MU33)</f>
        <v>710.96</v>
      </c>
      <c r="MT39" s="42" t="s">
        <v>2969</v>
      </c>
      <c r="MU39" s="57">
        <v>5.9</v>
      </c>
      <c r="MV39" s="15" t="s">
        <v>372</v>
      </c>
      <c r="MY39" s="56"/>
      <c r="MZ39" s="65" t="s">
        <v>3085</v>
      </c>
      <c r="NA39" s="57">
        <v>14.4</v>
      </c>
      <c r="NB39" s="15" t="s">
        <v>3086</v>
      </c>
      <c r="NR39" s="204">
        <v>20</v>
      </c>
      <c r="NS39" s="334" t="s">
        <v>2667</v>
      </c>
      <c r="NT39" s="15" t="s">
        <v>3181</v>
      </c>
      <c r="NV39" s="287"/>
      <c r="NW39" s="287"/>
      <c r="NX39" s="327" t="s">
        <v>3270</v>
      </c>
      <c r="NY39" s="57">
        <f>6.5+7.7</f>
        <v>14.2</v>
      </c>
      <c r="OB39" s="327" t="s">
        <v>2803</v>
      </c>
      <c r="OC39" s="318">
        <f>SUM(OE19:OE30)</f>
        <v>807.17</v>
      </c>
      <c r="OD39" s="178" t="s">
        <v>2732</v>
      </c>
      <c r="OE39" s="23">
        <f>OA23+OC41-OG22</f>
        <v>0</v>
      </c>
      <c r="OF39" s="15" t="s">
        <v>3225</v>
      </c>
    </row>
    <row r="40" spans="41:395">
      <c r="AO40" s="78"/>
      <c r="DC40" s="104"/>
      <c r="DG40" s="118"/>
      <c r="DH40" s="57"/>
      <c r="DI40" s="133"/>
      <c r="DJ40" s="133"/>
      <c r="DM40" s="123"/>
      <c r="DN40" s="125"/>
      <c r="DO40" s="69"/>
      <c r="DS40" s="123"/>
      <c r="DT40" s="125"/>
      <c r="DU40" s="69"/>
      <c r="EL40" s="48"/>
      <c r="EM40" s="48"/>
      <c r="EN40" s="104"/>
      <c r="ER40" s="61"/>
      <c r="ES40" s="61"/>
      <c r="EX40" s="61"/>
      <c r="EY40" s="61"/>
      <c r="FD40" s="61"/>
      <c r="FF40" s="61"/>
      <c r="FG40" s="61"/>
      <c r="FJ40" s="176"/>
      <c r="FK40" s="48"/>
      <c r="FL40" s="69"/>
      <c r="FM40" s="97"/>
      <c r="FP40" s="158"/>
      <c r="FQ40" s="158"/>
      <c r="FV40" s="176"/>
      <c r="FW40" s="61"/>
      <c r="GB40" s="154" t="s">
        <v>3271</v>
      </c>
      <c r="GC40" s="158"/>
      <c r="GH40" s="176" t="s">
        <v>3272</v>
      </c>
      <c r="GI40" s="61">
        <v>190</v>
      </c>
      <c r="GJ40" s="15" t="s">
        <v>2823</v>
      </c>
      <c r="GN40" s="151" t="s">
        <v>3273</v>
      </c>
      <c r="GO40" s="15">
        <v>12</v>
      </c>
      <c r="GP40" s="69" t="s">
        <v>1309</v>
      </c>
      <c r="GQ40" s="97">
        <v>1000</v>
      </c>
      <c r="GT40" s="182">
        <v>6</v>
      </c>
      <c r="GU40" s="154" t="s">
        <v>3274</v>
      </c>
      <c r="GV40" s="15" t="s">
        <v>2985</v>
      </c>
      <c r="GZ40" s="151"/>
      <c r="HB40" s="15" t="s">
        <v>197</v>
      </c>
      <c r="HF40" s="188" t="s">
        <v>3275</v>
      </c>
      <c r="HG40" s="166">
        <v>9.22</v>
      </c>
      <c r="HR40" s="188"/>
      <c r="HS40" s="166"/>
      <c r="HX40" s="204">
        <v>20</v>
      </c>
      <c r="HY40" s="154" t="s">
        <v>3276</v>
      </c>
      <c r="ID40" s="204">
        <v>70</v>
      </c>
      <c r="IE40" s="154" t="s">
        <v>2896</v>
      </c>
      <c r="IH40" s="45" t="s">
        <v>2313</v>
      </c>
      <c r="II40" s="45"/>
      <c r="IJ40" s="204">
        <v>20</v>
      </c>
      <c r="IK40" s="154" t="s">
        <v>3277</v>
      </c>
      <c r="IN40" s="154" t="s">
        <v>3278</v>
      </c>
      <c r="IO40" s="171">
        <f>100+400+100+100</f>
        <v>700</v>
      </c>
      <c r="IP40" s="204">
        <v>6</v>
      </c>
      <c r="IQ40" s="245" t="s">
        <v>2896</v>
      </c>
      <c r="IV40" s="189"/>
      <c r="IW40" s="101"/>
      <c r="JA40" s="234"/>
      <c r="JB40" s="204">
        <v>30</v>
      </c>
      <c r="JC40" s="245" t="s">
        <v>3279</v>
      </c>
      <c r="JH40" s="204">
        <v>12</v>
      </c>
      <c r="JI40" s="245" t="s">
        <v>3280</v>
      </c>
      <c r="JM40" s="234"/>
      <c r="JN40" s="204">
        <f>86*3+96</f>
        <v>354</v>
      </c>
      <c r="JO40" s="22" t="s">
        <v>3281</v>
      </c>
      <c r="JT40" s="267" t="s">
        <v>3282</v>
      </c>
      <c r="JU40" s="277">
        <f>69.93+136.83</f>
        <v>206.76</v>
      </c>
      <c r="JX40" s="255" t="s">
        <v>1220</v>
      </c>
      <c r="JY40" s="91">
        <f>SUM(KA7:KA10)</f>
        <v>7797.68</v>
      </c>
      <c r="JZ40" s="151" t="s">
        <v>3283</v>
      </c>
      <c r="KA40" s="101">
        <v>31</v>
      </c>
      <c r="KF40" s="291" t="s">
        <v>3284</v>
      </c>
      <c r="KG40" s="15">
        <v>81.84</v>
      </c>
      <c r="KH40" s="15" t="s">
        <v>197</v>
      </c>
      <c r="KJ40" s="86" t="s">
        <v>3023</v>
      </c>
      <c r="KK40" s="241">
        <f>SUM(KM10:KM13)</f>
        <v>451.44</v>
      </c>
      <c r="KL40" s="204">
        <v>6</v>
      </c>
      <c r="KM40" s="245" t="s">
        <v>3285</v>
      </c>
      <c r="KN40" s="15" t="s">
        <v>372</v>
      </c>
      <c r="KP40" s="293" t="s">
        <v>2637</v>
      </c>
      <c r="KQ40" s="43">
        <f>SUM(KS20:KS27)</f>
        <v>698.95</v>
      </c>
      <c r="KR40" s="202">
        <v>25.54</v>
      </c>
      <c r="KS40" s="44"/>
      <c r="KT40" s="15" t="s">
        <v>3136</v>
      </c>
      <c r="KX40" s="151" t="s">
        <v>3286</v>
      </c>
      <c r="KY40" s="101">
        <v>31.96</v>
      </c>
      <c r="KZ40" s="15" t="s">
        <v>3217</v>
      </c>
      <c r="LB40" s="86" t="s">
        <v>3023</v>
      </c>
      <c r="LC40" s="241">
        <f>SUM(LE19:LE20)</f>
        <v>135.16</v>
      </c>
      <c r="LD40" s="151" t="s">
        <v>3287</v>
      </c>
      <c r="LE40" s="101">
        <v>32.5</v>
      </c>
      <c r="LJ40" s="178" t="s">
        <v>2732</v>
      </c>
      <c r="LK40" s="203">
        <f>LG23+LI39-LM23</f>
        <v>250</v>
      </c>
      <c r="LL40" s="15" t="s">
        <v>3086</v>
      </c>
      <c r="LN40" s="158" t="s">
        <v>3288</v>
      </c>
      <c r="LO40" s="319">
        <v>600</v>
      </c>
      <c r="LP40" s="178" t="s">
        <v>2732</v>
      </c>
      <c r="LQ40" s="203">
        <f>LM23+LO40-LS24</f>
        <v>710</v>
      </c>
      <c r="LT40" s="158" t="s">
        <v>3289</v>
      </c>
      <c r="LU40" s="319">
        <v>290</v>
      </c>
      <c r="LV40" s="204">
        <v>20</v>
      </c>
      <c r="LW40" s="283" t="s">
        <v>3290</v>
      </c>
      <c r="LZ40" s="327" t="s">
        <v>2803</v>
      </c>
      <c r="MA40" s="318">
        <f>SUM(MC19:MC26)</f>
        <v>361.62</v>
      </c>
      <c r="MB40" s="204">
        <v>60</v>
      </c>
      <c r="MC40" s="283" t="s">
        <v>2667</v>
      </c>
      <c r="MH40" s="327" t="s">
        <v>2858</v>
      </c>
      <c r="MI40" s="41">
        <v>6.95</v>
      </c>
      <c r="MJ40" s="69" t="s">
        <v>2855</v>
      </c>
      <c r="ML40" s="115" t="s">
        <v>3080</v>
      </c>
      <c r="MM40" s="38">
        <f>SUM(MO37:MO38)</f>
        <v>596.48</v>
      </c>
      <c r="MN40" s="330">
        <v>38.13</v>
      </c>
      <c r="MO40" s="44"/>
      <c r="MP40" s="69" t="s">
        <v>3223</v>
      </c>
      <c r="MR40" s="327" t="s">
        <v>2803</v>
      </c>
      <c r="MS40" s="318">
        <f>SUM(MU23:MU33)</f>
        <v>639.46</v>
      </c>
      <c r="MT40" s="42" t="s">
        <v>2623</v>
      </c>
      <c r="MU40" s="44">
        <f>55+110+94+289</f>
        <v>548</v>
      </c>
      <c r="MV40" s="15" t="s">
        <v>3030</v>
      </c>
      <c r="MZ40" s="15" t="s">
        <v>3291</v>
      </c>
      <c r="NA40" s="246">
        <v>11.9</v>
      </c>
      <c r="NQ40" s="56"/>
      <c r="NR40" s="65" t="s">
        <v>3292</v>
      </c>
      <c r="NS40" s="57">
        <f>13.36+8.96</f>
        <v>22.32</v>
      </c>
      <c r="NT40" s="15" t="s">
        <v>3225</v>
      </c>
      <c r="NV40" s="321"/>
      <c r="NW40" s="328"/>
      <c r="NX40" s="327" t="s">
        <v>3293</v>
      </c>
      <c r="NY40" s="57">
        <v>14.7</v>
      </c>
      <c r="OD40" s="204"/>
      <c r="OE40" s="23"/>
    </row>
    <row r="41" spans="11:395">
      <c r="K41" s="624" t="s">
        <v>1465</v>
      </c>
      <c r="L41" s="15">
        <v>300.01</v>
      </c>
      <c r="W41" s="15" t="s">
        <v>3294</v>
      </c>
      <c r="X41" s="15">
        <v>159</v>
      </c>
      <c r="AO41" s="78" t="s">
        <v>3295</v>
      </c>
      <c r="AP41" s="15">
        <v>-99.81</v>
      </c>
      <c r="BE41" s="15" t="s">
        <v>3094</v>
      </c>
      <c r="BF41" s="15">
        <v>400</v>
      </c>
      <c r="BW41" s="42" t="s">
        <v>3094</v>
      </c>
      <c r="BX41" s="42">
        <v>400</v>
      </c>
      <c r="CC41" s="42" t="s">
        <v>3296</v>
      </c>
      <c r="CD41" s="42">
        <v>320</v>
      </c>
      <c r="CI41" s="42" t="s">
        <v>3297</v>
      </c>
      <c r="CJ41" s="42">
        <v>50</v>
      </c>
      <c r="CO41" s="42" t="s">
        <v>3298</v>
      </c>
      <c r="CP41" s="42">
        <v>200</v>
      </c>
      <c r="CU41" s="42" t="s">
        <v>3297</v>
      </c>
      <c r="CV41" s="42">
        <v>100</v>
      </c>
      <c r="DA41" s="42" t="s">
        <v>3299</v>
      </c>
      <c r="DB41" s="42">
        <v>296.14</v>
      </c>
      <c r="DG41" s="118" t="s">
        <v>3300</v>
      </c>
      <c r="DH41" s="57">
        <v>40</v>
      </c>
      <c r="DI41" s="111" t="s">
        <v>3301</v>
      </c>
      <c r="DJ41" s="111">
        <v>200</v>
      </c>
      <c r="DM41" s="123" t="s">
        <v>3302</v>
      </c>
      <c r="DN41" s="125"/>
      <c r="DS41" s="123" t="s">
        <v>3303</v>
      </c>
      <c r="DT41" s="125"/>
      <c r="EL41" s="15" t="s">
        <v>3304</v>
      </c>
      <c r="EM41" s="15">
        <v>59.7</v>
      </c>
      <c r="ER41" s="48" t="s">
        <v>3305</v>
      </c>
      <c r="ES41" s="48">
        <v>18</v>
      </c>
      <c r="EX41" s="61" t="s">
        <v>3306</v>
      </c>
      <c r="EY41" s="61">
        <v>761</v>
      </c>
      <c r="EZ41" s="15" t="s">
        <v>2701</v>
      </c>
      <c r="FD41" s="61"/>
      <c r="FE41" s="61"/>
      <c r="FF41" s="61"/>
      <c r="FG41" s="61"/>
      <c r="FJ41" s="61"/>
      <c r="FK41" s="61"/>
      <c r="FL41" s="69"/>
      <c r="FM41" s="97"/>
      <c r="FP41" s="154" t="s">
        <v>3307</v>
      </c>
      <c r="FQ41" s="158"/>
      <c r="FR41" s="15" t="s">
        <v>2841</v>
      </c>
      <c r="FV41" s="176" t="s">
        <v>3308</v>
      </c>
      <c r="FW41" s="61">
        <v>80</v>
      </c>
      <c r="GB41" s="164"/>
      <c r="GC41" s="166"/>
      <c r="GH41" s="176"/>
      <c r="GI41" s="61"/>
      <c r="GN41" s="151"/>
      <c r="GP41" s="69"/>
      <c r="GQ41" s="97"/>
      <c r="GT41" s="182"/>
      <c r="GU41" s="154"/>
      <c r="GZ41" s="178" t="s">
        <v>2596</v>
      </c>
      <c r="HA41" s="22"/>
      <c r="HF41" s="188"/>
      <c r="HG41" s="166"/>
      <c r="HR41" s="188" t="s">
        <v>3309</v>
      </c>
      <c r="HS41" s="166">
        <v>65.7</v>
      </c>
      <c r="HX41" s="204"/>
      <c r="HY41" s="154"/>
      <c r="ID41" s="204"/>
      <c r="IE41" s="154"/>
      <c r="IH41" s="45"/>
      <c r="II41" s="45"/>
      <c r="IJ41" s="204"/>
      <c r="IK41" s="154"/>
      <c r="IN41" s="164"/>
      <c r="IO41" s="237"/>
      <c r="IP41" s="204"/>
      <c r="IQ41" s="245"/>
      <c r="IV41" s="189"/>
      <c r="IW41" s="101"/>
      <c r="JA41" s="234"/>
      <c r="JB41" s="204"/>
      <c r="JC41" s="245"/>
      <c r="JH41" s="215"/>
      <c r="JI41" s="194"/>
      <c r="JM41" s="234"/>
      <c r="JN41" s="189" t="s">
        <v>3310</v>
      </c>
      <c r="JO41" s="101">
        <v>7.5</v>
      </c>
      <c r="JT41" s="265" t="s">
        <v>3311</v>
      </c>
      <c r="JU41" s="277">
        <v>18.8</v>
      </c>
      <c r="JX41" s="177" t="s">
        <v>2785</v>
      </c>
      <c r="JY41" s="91">
        <f>SUM(KA21:KA24)</f>
        <v>6114.74</v>
      </c>
      <c r="JZ41" s="151" t="s">
        <v>3312</v>
      </c>
      <c r="KA41" s="101">
        <v>13.15</v>
      </c>
      <c r="KE41" s="48"/>
      <c r="KF41" s="291" t="s">
        <v>3313</v>
      </c>
      <c r="KG41" s="15">
        <v>37.7</v>
      </c>
      <c r="KJ41" s="293" t="s">
        <v>2637</v>
      </c>
      <c r="KK41" s="43">
        <f>SUM(KM21:KM25)</f>
        <v>227.18</v>
      </c>
      <c r="KL41" s="204">
        <v>10</v>
      </c>
      <c r="KM41" s="245" t="s">
        <v>3314</v>
      </c>
      <c r="KN41" s="48" t="s">
        <v>3265</v>
      </c>
      <c r="KO41" s="48"/>
      <c r="KP41" s="151" t="s">
        <v>2677</v>
      </c>
      <c r="KQ41" s="43">
        <f>SUM(KS28:KS37)</f>
        <v>732.65</v>
      </c>
      <c r="KR41" s="178" t="s">
        <v>2732</v>
      </c>
      <c r="KS41" s="203">
        <f>KO28+KQ44-KU26</f>
        <v>110</v>
      </c>
      <c r="KT41" s="15" t="s">
        <v>3086</v>
      </c>
      <c r="KX41" s="151" t="s">
        <v>3315</v>
      </c>
      <c r="KY41" s="41">
        <f>21.3+22.3</f>
        <v>43.6</v>
      </c>
      <c r="KZ41" s="48" t="s">
        <v>3265</v>
      </c>
      <c r="LB41" s="293" t="s">
        <v>2637</v>
      </c>
      <c r="LC41" s="43">
        <f>SUM(LE25:LE32)</f>
        <v>761.3</v>
      </c>
      <c r="LD41" s="42" t="s">
        <v>2623</v>
      </c>
      <c r="LE41" s="44">
        <f>385+59</f>
        <v>444</v>
      </c>
      <c r="LF41" s="15" t="s">
        <v>3181</v>
      </c>
      <c r="LI41" s="48"/>
      <c r="LJ41" s="204">
        <v>40</v>
      </c>
      <c r="LK41" s="283" t="s">
        <v>3316</v>
      </c>
      <c r="LL41" s="15" t="s">
        <v>3217</v>
      </c>
      <c r="LP41" s="204">
        <v>600</v>
      </c>
      <c r="LQ41" s="203" t="s">
        <v>3317</v>
      </c>
      <c r="LV41" s="204">
        <v>7</v>
      </c>
      <c r="LW41" s="283" t="s">
        <v>3318</v>
      </c>
      <c r="MB41" s="204">
        <v>5</v>
      </c>
      <c r="MC41" s="283" t="s">
        <v>3319</v>
      </c>
      <c r="MF41" s="45" t="s">
        <v>2395</v>
      </c>
      <c r="MG41" s="315"/>
      <c r="MH41" s="67" t="s">
        <v>2512</v>
      </c>
      <c r="MI41" s="57">
        <f>749.38+250.7</f>
        <v>1000.08</v>
      </c>
      <c r="MJ41" s="69" t="s">
        <v>3223</v>
      </c>
      <c r="ML41" s="327" t="s">
        <v>2677</v>
      </c>
      <c r="MM41" s="38">
        <f>SUM(MO20:MO35)</f>
        <v>664.77</v>
      </c>
      <c r="MN41" s="178" t="s">
        <v>2732</v>
      </c>
      <c r="MO41" s="23">
        <f>MK28+MM44-MQ28</f>
        <v>90</v>
      </c>
      <c r="MP41" s="15" t="s">
        <v>372</v>
      </c>
      <c r="MT41" s="330">
        <v>33.92</v>
      </c>
      <c r="MU41" s="44"/>
      <c r="MV41" s="15" t="s">
        <v>3220</v>
      </c>
      <c r="NA41" s="61"/>
      <c r="NQ41" s="56"/>
      <c r="NR41" s="15" t="s">
        <v>3320</v>
      </c>
      <c r="NS41" s="61">
        <f>6.16+4.9</f>
        <v>11.06</v>
      </c>
      <c r="NX41" s="327" t="s">
        <v>3321</v>
      </c>
      <c r="NY41" s="57">
        <v>57.19</v>
      </c>
      <c r="OB41" s="158" t="s">
        <v>3322</v>
      </c>
      <c r="OC41" s="171">
        <v>200</v>
      </c>
      <c r="OD41" s="204"/>
      <c r="OE41" s="334"/>
    </row>
    <row r="42" spans="11:395">
      <c r="K42" s="70"/>
      <c r="AO42" s="78"/>
      <c r="DG42" s="118"/>
      <c r="DH42" s="57"/>
      <c r="DI42" s="111"/>
      <c r="DJ42" s="111"/>
      <c r="DM42" s="123"/>
      <c r="DN42" s="125"/>
      <c r="DS42" s="123"/>
      <c r="DT42" s="125"/>
      <c r="ER42" s="48"/>
      <c r="ES42" s="48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4"/>
      <c r="FQ42" s="158"/>
      <c r="FV42" s="176"/>
      <c r="FW42" s="61"/>
      <c r="GB42" s="61" t="s">
        <v>3323</v>
      </c>
      <c r="GC42" s="15">
        <v>80</v>
      </c>
      <c r="GH42" s="176" t="s">
        <v>3324</v>
      </c>
      <c r="GI42" s="61">
        <v>1100</v>
      </c>
      <c r="GJ42" s="15" t="s">
        <v>197</v>
      </c>
      <c r="GN42" s="151" t="s">
        <v>3325</v>
      </c>
      <c r="GO42" s="15">
        <f>76+25.2</f>
        <v>101.2</v>
      </c>
      <c r="GP42" s="69" t="s">
        <v>3326</v>
      </c>
      <c r="GQ42" s="97"/>
      <c r="GT42" s="182">
        <v>6</v>
      </c>
      <c r="GU42" s="154" t="s">
        <v>3327</v>
      </c>
      <c r="GV42" s="104"/>
      <c r="GZ42" s="178"/>
      <c r="HA42" s="22"/>
      <c r="HB42" s="15" t="s">
        <v>2701</v>
      </c>
      <c r="HF42" s="184" t="s">
        <v>3328</v>
      </c>
      <c r="HG42" s="184">
        <v>440</v>
      </c>
      <c r="HR42" s="188"/>
      <c r="HS42" s="166"/>
      <c r="HX42" s="204">
        <v>45</v>
      </c>
      <c r="HY42" s="154" t="s">
        <v>3329</v>
      </c>
      <c r="IB42" s="154" t="s">
        <v>3330</v>
      </c>
      <c r="IC42" s="171">
        <v>205</v>
      </c>
      <c r="ID42" s="204">
        <v>15</v>
      </c>
      <c r="IE42" s="154" t="s">
        <v>3331</v>
      </c>
      <c r="IH42" s="169" t="s">
        <v>1220</v>
      </c>
      <c r="II42" s="91">
        <f>SUM(IK7:IK9)</f>
        <v>1946.12</v>
      </c>
      <c r="IJ42" s="204">
        <v>40</v>
      </c>
      <c r="IK42" s="154" t="s">
        <v>3332</v>
      </c>
      <c r="IP42" s="204">
        <v>30</v>
      </c>
      <c r="IQ42" s="245" t="s">
        <v>3333</v>
      </c>
      <c r="IV42" s="189"/>
      <c r="IW42" s="101"/>
      <c r="JA42" s="236"/>
      <c r="JB42" s="204">
        <v>30</v>
      </c>
      <c r="JC42" s="245" t="s">
        <v>3334</v>
      </c>
      <c r="JG42" s="234"/>
      <c r="JH42" s="69" t="s">
        <v>3335</v>
      </c>
      <c r="JI42" s="101">
        <v>751</v>
      </c>
      <c r="JM42" s="236"/>
      <c r="JN42" s="189" t="s">
        <v>3236</v>
      </c>
      <c r="JO42" s="101">
        <v>15.79</v>
      </c>
      <c r="JT42" s="265" t="s">
        <v>3336</v>
      </c>
      <c r="JU42" s="277">
        <v>89.8</v>
      </c>
      <c r="JX42" s="160" t="s">
        <v>1268</v>
      </c>
      <c r="JY42" s="43">
        <f>KA11</f>
        <v>5.99</v>
      </c>
      <c r="JZ42" s="151" t="s">
        <v>3337</v>
      </c>
      <c r="KA42" s="101">
        <v>38.2</v>
      </c>
      <c r="KE42" s="48"/>
      <c r="KF42" s="291" t="s">
        <v>3338</v>
      </c>
      <c r="KG42" s="15">
        <v>35.25</v>
      </c>
      <c r="KJ42" s="151" t="s">
        <v>2677</v>
      </c>
      <c r="KK42" s="43">
        <f>SUM(KM26:KM34)</f>
        <v>587.27</v>
      </c>
      <c r="KL42" s="204">
        <v>6</v>
      </c>
      <c r="KM42" s="245" t="s">
        <v>3339</v>
      </c>
      <c r="KP42" s="151" t="s">
        <v>2803</v>
      </c>
      <c r="KQ42" s="263">
        <f>SUM(KS30:KS37)</f>
        <v>271.73</v>
      </c>
      <c r="KR42" s="204">
        <v>45</v>
      </c>
      <c r="KS42" s="283" t="s">
        <v>2896</v>
      </c>
      <c r="KT42" s="15" t="s">
        <v>3217</v>
      </c>
      <c r="KV42" s="45" t="s">
        <v>2395</v>
      </c>
      <c r="KW42" s="45"/>
      <c r="KX42" s="151" t="s">
        <v>3340</v>
      </c>
      <c r="KY42" s="41">
        <f>42.17+45.14</f>
        <v>87.31</v>
      </c>
      <c r="LB42" s="151" t="s">
        <v>2677</v>
      </c>
      <c r="LC42" s="43">
        <f>SUM(LE33:LE40)</f>
        <v>808.89</v>
      </c>
      <c r="LD42" s="202">
        <v>58.81</v>
      </c>
      <c r="LE42" s="44"/>
      <c r="LF42" s="15" t="s">
        <v>3225</v>
      </c>
      <c r="LI42" s="48"/>
      <c r="LJ42" s="204">
        <v>10</v>
      </c>
      <c r="LK42" s="245" t="s">
        <v>3341</v>
      </c>
      <c r="LL42" s="48" t="s">
        <v>3265</v>
      </c>
      <c r="LO42" s="56"/>
      <c r="LP42" s="204">
        <v>40</v>
      </c>
      <c r="LQ42" s="283" t="s">
        <v>3342</v>
      </c>
      <c r="LU42" s="56"/>
      <c r="LV42" s="204">
        <v>20</v>
      </c>
      <c r="LW42" s="283" t="s">
        <v>3343</v>
      </c>
      <c r="LZ42" s="158" t="s">
        <v>3344</v>
      </c>
      <c r="MA42" s="319">
        <v>200</v>
      </c>
      <c r="MB42" s="204">
        <v>20</v>
      </c>
      <c r="MC42" s="283" t="s">
        <v>3345</v>
      </c>
      <c r="MF42" s="329" t="s">
        <v>1220</v>
      </c>
      <c r="MG42" s="57">
        <f>SUM(MI6:MI10)</f>
        <v>7300.16</v>
      </c>
      <c r="MH42" s="67" t="s">
        <v>3346</v>
      </c>
      <c r="MI42" s="57">
        <v>14.9</v>
      </c>
      <c r="MJ42" s="15" t="s">
        <v>372</v>
      </c>
      <c r="ML42" s="327" t="s">
        <v>2803</v>
      </c>
      <c r="MM42" s="318">
        <f>SUM(MO24:MO35)</f>
        <v>409.43</v>
      </c>
      <c r="MN42" s="204">
        <v>40</v>
      </c>
      <c r="MO42" s="23" t="s">
        <v>3219</v>
      </c>
      <c r="MP42" s="15" t="s">
        <v>3030</v>
      </c>
      <c r="MR42" s="158" t="s">
        <v>3347</v>
      </c>
      <c r="MS42" s="204">
        <v>50</v>
      </c>
      <c r="MT42" s="178" t="s">
        <v>2732</v>
      </c>
      <c r="MU42" s="23">
        <f>MQ28+MS42-MW28</f>
        <v>60</v>
      </c>
      <c r="NR42" s="15" t="s">
        <v>3348</v>
      </c>
      <c r="NS42" s="61">
        <v>19.2</v>
      </c>
      <c r="NX42" s="327" t="s">
        <v>3349</v>
      </c>
      <c r="NY42" s="57">
        <v>35</v>
      </c>
      <c r="OB42" s="166"/>
      <c r="OC42" s="56"/>
      <c r="OD42" s="65" t="s">
        <v>3350</v>
      </c>
      <c r="OE42" s="57">
        <v>180</v>
      </c>
    </row>
    <row r="43" spans="11:395">
      <c r="K43" s="614" t="s">
        <v>2920</v>
      </c>
      <c r="L43" s="15">
        <v>100</v>
      </c>
      <c r="AO43" s="78" t="s">
        <v>3351</v>
      </c>
      <c r="AP43" s="15">
        <v>54</v>
      </c>
      <c r="AU43" s="15" t="s">
        <v>3352</v>
      </c>
      <c r="AV43" s="15">
        <v>180</v>
      </c>
      <c r="BE43" s="15" t="s">
        <v>3147</v>
      </c>
      <c r="BF43" s="15">
        <v>300</v>
      </c>
      <c r="BW43" s="42" t="s">
        <v>3147</v>
      </c>
      <c r="BX43" s="42">
        <v>150</v>
      </c>
      <c r="CC43" s="42" t="s">
        <v>3094</v>
      </c>
      <c r="CD43" s="42">
        <v>500</v>
      </c>
      <c r="CI43" s="42" t="s">
        <v>3353</v>
      </c>
      <c r="CJ43" s="42">
        <v>0</v>
      </c>
      <c r="CO43" s="42" t="s">
        <v>3094</v>
      </c>
      <c r="CP43" s="42">
        <v>500</v>
      </c>
      <c r="CU43" s="42" t="s">
        <v>3354</v>
      </c>
      <c r="CV43" s="42">
        <v>30</v>
      </c>
      <c r="DA43" s="42" t="s">
        <v>3355</v>
      </c>
      <c r="DB43" s="42">
        <v>127.5</v>
      </c>
      <c r="DG43" s="118" t="s">
        <v>3356</v>
      </c>
      <c r="DH43" s="57">
        <v>65.32</v>
      </c>
      <c r="DI43" s="111" t="s">
        <v>3357</v>
      </c>
      <c r="DJ43" s="633" t="s">
        <v>3358</v>
      </c>
      <c r="DM43" s="123" t="s">
        <v>3359</v>
      </c>
      <c r="DN43" s="125"/>
      <c r="DP43" s="15"/>
      <c r="DS43" s="123" t="s">
        <v>3360</v>
      </c>
      <c r="DT43" s="125"/>
      <c r="DY43" s="15" t="s">
        <v>3105</v>
      </c>
      <c r="DZ43" s="15">
        <v>734.46</v>
      </c>
      <c r="EL43" s="61" t="s">
        <v>2570</v>
      </c>
      <c r="EM43" s="48">
        <v>29.9</v>
      </c>
      <c r="ER43" s="61" t="s">
        <v>3361</v>
      </c>
      <c r="ES43" s="15">
        <f>11.88+1.49+3.62</f>
        <v>16.99</v>
      </c>
      <c r="EX43" s="61" t="s">
        <v>3362</v>
      </c>
      <c r="EY43" s="61">
        <f>560-555.22</f>
        <v>4.77999999999997</v>
      </c>
      <c r="EZ43" s="15" t="s">
        <v>2841</v>
      </c>
      <c r="FD43" s="15" t="s">
        <v>3105</v>
      </c>
      <c r="FE43" s="48">
        <v>790</v>
      </c>
      <c r="FF43" s="15" t="s">
        <v>372</v>
      </c>
      <c r="FJ43" s="15" t="s">
        <v>3105</v>
      </c>
      <c r="FK43" s="48">
        <v>990</v>
      </c>
      <c r="FL43" s="69"/>
      <c r="FM43" s="97"/>
      <c r="FP43" s="154" t="s">
        <v>2667</v>
      </c>
      <c r="FQ43" s="158"/>
      <c r="FV43" s="176" t="s">
        <v>3363</v>
      </c>
      <c r="FW43" s="61">
        <v>4.6</v>
      </c>
      <c r="GB43" s="61"/>
      <c r="GH43" s="176"/>
      <c r="GI43" s="61"/>
      <c r="GN43" s="151"/>
      <c r="GP43" s="69"/>
      <c r="GQ43" s="97"/>
      <c r="GT43" s="182"/>
      <c r="GU43" s="154"/>
      <c r="GV43" s="104"/>
      <c r="GZ43" s="171">
        <v>50</v>
      </c>
      <c r="HA43" s="178"/>
      <c r="HF43" s="184"/>
      <c r="HG43" s="184"/>
      <c r="HR43" s="188" t="s">
        <v>3364</v>
      </c>
      <c r="HS43" s="166">
        <v>2.54</v>
      </c>
      <c r="HX43" s="215"/>
      <c r="HY43" s="164"/>
      <c r="IB43" s="164"/>
      <c r="IC43" s="237"/>
      <c r="ID43" s="204"/>
      <c r="IE43" s="154"/>
      <c r="IH43" s="169"/>
      <c r="II43" s="91"/>
      <c r="IJ43" s="204"/>
      <c r="IK43" s="154"/>
      <c r="IP43" s="204"/>
      <c r="IQ43" s="245"/>
      <c r="IV43" s="189"/>
      <c r="IW43" s="101"/>
      <c r="JA43" s="236"/>
      <c r="JB43" s="204"/>
      <c r="JC43" s="245"/>
      <c r="JG43" s="234"/>
      <c r="JH43" s="69"/>
      <c r="JI43" s="101"/>
      <c r="JN43" s="189"/>
      <c r="JO43" s="101"/>
      <c r="JT43" s="265" t="s">
        <v>1623</v>
      </c>
      <c r="JU43" s="277">
        <v>19.9</v>
      </c>
      <c r="JX43" s="163" t="s">
        <v>2542</v>
      </c>
      <c r="JY43" s="174">
        <f>SUM(KA12:KA20)</f>
        <v>2906.73</v>
      </c>
      <c r="JZ43" s="151" t="s">
        <v>3365</v>
      </c>
      <c r="KA43" s="101">
        <v>10.5</v>
      </c>
      <c r="KE43" s="48" t="s">
        <v>3260</v>
      </c>
      <c r="KF43" s="294" t="s">
        <v>3366</v>
      </c>
      <c r="KG43" s="15">
        <v>98.58</v>
      </c>
      <c r="KJ43" s="151" t="s">
        <v>2803</v>
      </c>
      <c r="KK43" s="263">
        <f>SUM(KM28:KM34)</f>
        <v>362.27</v>
      </c>
      <c r="KL43" s="204">
        <v>100</v>
      </c>
      <c r="KM43" s="245" t="s">
        <v>3219</v>
      </c>
      <c r="KN43" s="15" t="s">
        <v>3181</v>
      </c>
      <c r="KR43" s="204">
        <v>12.4</v>
      </c>
      <c r="KS43" s="245" t="s">
        <v>3367</v>
      </c>
      <c r="KT43" s="48" t="s">
        <v>3265</v>
      </c>
      <c r="KV43" s="184" t="s">
        <v>1220</v>
      </c>
      <c r="KW43" s="91">
        <f>SUM(KY7:KY8)</f>
        <v>1950.12</v>
      </c>
      <c r="KX43" s="151" t="s">
        <v>3368</v>
      </c>
      <c r="KY43" s="41">
        <f>26.4+39.9</f>
        <v>66.3</v>
      </c>
      <c r="KZ43" s="15" t="s">
        <v>3181</v>
      </c>
      <c r="LB43" s="151" t="s">
        <v>2803</v>
      </c>
      <c r="LC43" s="263">
        <f>SUM(LE35:LE40)</f>
        <v>235.89</v>
      </c>
      <c r="LD43" s="178" t="s">
        <v>2732</v>
      </c>
      <c r="LE43" s="203">
        <f>LA25+LC45-LG23</f>
        <v>130</v>
      </c>
      <c r="LJ43" s="204">
        <v>30</v>
      </c>
      <c r="LK43" s="245" t="s">
        <v>3369</v>
      </c>
      <c r="LO43" s="56"/>
      <c r="LP43" s="204">
        <v>10</v>
      </c>
      <c r="LQ43" s="283" t="s">
        <v>3370</v>
      </c>
      <c r="LR43" s="48"/>
      <c r="LU43" s="56"/>
      <c r="LV43" s="204">
        <v>50</v>
      </c>
      <c r="LW43" s="283" t="s">
        <v>3371</v>
      </c>
      <c r="LX43" s="48"/>
      <c r="MB43" s="204">
        <v>10</v>
      </c>
      <c r="MC43" s="283" t="s">
        <v>3372</v>
      </c>
      <c r="MF43" s="161" t="s">
        <v>2515</v>
      </c>
      <c r="MG43" s="57">
        <f>SUM(MI12:MI13)</f>
        <v>329.54</v>
      </c>
      <c r="MH43" s="115" t="s">
        <v>3373</v>
      </c>
      <c r="MI43" s="57">
        <v>118.59</v>
      </c>
      <c r="MJ43" s="15" t="s">
        <v>3030</v>
      </c>
      <c r="MN43" s="204">
        <v>28.7</v>
      </c>
      <c r="MO43" s="283" t="s">
        <v>3374</v>
      </c>
      <c r="MP43" s="15" t="s">
        <v>3220</v>
      </c>
      <c r="MT43" s="204">
        <v>20</v>
      </c>
      <c r="MU43" s="283" t="s">
        <v>3375</v>
      </c>
      <c r="MV43" s="15" t="s">
        <v>3181</v>
      </c>
      <c r="NX43" s="327" t="s">
        <v>3376</v>
      </c>
      <c r="NY43" s="57">
        <f>16.9+8.6</f>
        <v>25.5</v>
      </c>
      <c r="OE43" s="61"/>
    </row>
    <row r="44" ht="13.95" spans="23:395">
      <c r="W44" s="624" t="s">
        <v>1465</v>
      </c>
      <c r="X44" s="15">
        <v>600</v>
      </c>
      <c r="AO44" s="78" t="s">
        <v>3377</v>
      </c>
      <c r="AP44" s="15">
        <v>95</v>
      </c>
      <c r="AU44" s="15" t="s">
        <v>3378</v>
      </c>
      <c r="AV44" s="15">
        <v>-180</v>
      </c>
      <c r="CC44" s="42" t="s">
        <v>3147</v>
      </c>
      <c r="CD44" s="42">
        <v>150</v>
      </c>
      <c r="CI44" s="42" t="s">
        <v>3379</v>
      </c>
      <c r="CJ44" s="42">
        <v>300</v>
      </c>
      <c r="CO44" s="42" t="s">
        <v>3147</v>
      </c>
      <c r="CP44" s="42">
        <v>400</v>
      </c>
      <c r="CU44" s="42" t="s">
        <v>3094</v>
      </c>
      <c r="CV44" s="42">
        <v>500</v>
      </c>
      <c r="DA44" s="42" t="s">
        <v>3380</v>
      </c>
      <c r="DB44" s="42">
        <v>114.55</v>
      </c>
      <c r="DG44" s="118" t="s">
        <v>3381</v>
      </c>
      <c r="DH44" s="57">
        <v>95</v>
      </c>
      <c r="DI44" s="111" t="s">
        <v>3382</v>
      </c>
      <c r="DJ44" s="633" t="s">
        <v>3358</v>
      </c>
      <c r="DL44" s="61"/>
      <c r="DM44" s="123" t="s">
        <v>3383</v>
      </c>
      <c r="DN44" s="125"/>
      <c r="DO44" s="48"/>
      <c r="DP44" s="136">
        <f>-DP10</f>
        <v>2524</v>
      </c>
      <c r="DR44" s="61"/>
      <c r="DS44" s="123" t="s">
        <v>3384</v>
      </c>
      <c r="DT44" s="125"/>
      <c r="DY44" s="15" t="s">
        <v>3385</v>
      </c>
      <c r="EA44" s="15" t="s">
        <v>3386</v>
      </c>
      <c r="EL44" s="61" t="s">
        <v>3387</v>
      </c>
      <c r="EM44" s="61">
        <v>35.8</v>
      </c>
      <c r="ER44" s="61" t="s">
        <v>3388</v>
      </c>
      <c r="ES44" s="15">
        <v>69.7</v>
      </c>
      <c r="EX44" s="61" t="s">
        <v>3389</v>
      </c>
      <c r="EY44" s="61">
        <v>8.64</v>
      </c>
      <c r="FD44" s="15" t="s">
        <v>3390</v>
      </c>
      <c r="FE44" s="61"/>
      <c r="FF44" s="15" t="s">
        <v>2823</v>
      </c>
      <c r="FJ44" s="15" t="s">
        <v>3391</v>
      </c>
      <c r="FK44" s="61"/>
      <c r="FL44" s="61"/>
      <c r="FP44" s="154" t="s">
        <v>3392</v>
      </c>
      <c r="FQ44" s="158"/>
      <c r="GB44" s="176" t="s">
        <v>3393</v>
      </c>
      <c r="GC44" s="61">
        <v>11</v>
      </c>
      <c r="GH44" s="176" t="s">
        <v>3394</v>
      </c>
      <c r="GI44" s="61">
        <v>43</v>
      </c>
      <c r="GJ44" s="15" t="s">
        <v>2701</v>
      </c>
      <c r="GN44" s="178" t="s">
        <v>2596</v>
      </c>
      <c r="GO44" s="22"/>
      <c r="GP44" s="15" t="s">
        <v>2823</v>
      </c>
      <c r="GT44" s="182">
        <v>30</v>
      </c>
      <c r="GU44" s="154" t="s">
        <v>3395</v>
      </c>
      <c r="GZ44" s="158" t="s">
        <v>3396</v>
      </c>
      <c r="HA44" s="172">
        <f>GW16+GZ43-HC17</f>
        <v>134</v>
      </c>
      <c r="HB44" s="15" t="s">
        <v>2841</v>
      </c>
      <c r="HE44" s="153"/>
      <c r="HF44" s="191">
        <v>29.54</v>
      </c>
      <c r="HX44" s="188" t="s">
        <v>3397</v>
      </c>
      <c r="HY44" s="166">
        <v>98.89</v>
      </c>
      <c r="HZ44" s="15" t="s">
        <v>372</v>
      </c>
      <c r="ID44" s="204">
        <v>10</v>
      </c>
      <c r="IE44" s="154" t="s">
        <v>3398</v>
      </c>
      <c r="IH44" s="72" t="s">
        <v>1277</v>
      </c>
      <c r="II44" s="91">
        <f>SUM(IK14:IK15)</f>
        <v>1933.74666666667</v>
      </c>
      <c r="IJ44" s="204">
        <v>10</v>
      </c>
      <c r="IK44" s="154" t="s">
        <v>3399</v>
      </c>
      <c r="IP44" s="204">
        <v>20</v>
      </c>
      <c r="IQ44" s="245" t="s">
        <v>3400</v>
      </c>
      <c r="IV44" s="189"/>
      <c r="IW44" s="101"/>
      <c r="JB44" s="204">
        <v>13</v>
      </c>
      <c r="JC44" s="245" t="s">
        <v>3401</v>
      </c>
      <c r="JG44" s="234"/>
      <c r="JH44" s="69" t="s">
        <v>1812</v>
      </c>
      <c r="JI44" s="101">
        <v>12.34</v>
      </c>
      <c r="JN44" s="69" t="s">
        <v>3402</v>
      </c>
      <c r="JO44" s="101">
        <v>13.3</v>
      </c>
      <c r="JT44" s="268" t="s">
        <v>1982</v>
      </c>
      <c r="JU44" s="278">
        <f>80.82+75.78</f>
        <v>156.6</v>
      </c>
      <c r="JX44" s="168" t="s">
        <v>2607</v>
      </c>
      <c r="JY44" s="43">
        <f>SUM(KA25:KA33)</f>
        <v>1008.43</v>
      </c>
      <c r="JZ44" s="151" t="s">
        <v>3403</v>
      </c>
      <c r="KA44" s="41">
        <f>47.8+1.2+2.5+3.2</f>
        <v>54.7</v>
      </c>
      <c r="KE44" s="48"/>
      <c r="KL44" s="204">
        <v>9</v>
      </c>
      <c r="KM44" s="245" t="s">
        <v>3404</v>
      </c>
      <c r="KN44" s="15" t="s">
        <v>3225</v>
      </c>
      <c r="KP44" s="158" t="s">
        <v>3405</v>
      </c>
      <c r="KQ44" s="289">
        <v>100</v>
      </c>
      <c r="KR44" s="204">
        <v>10</v>
      </c>
      <c r="KS44" s="245" t="s">
        <v>3406</v>
      </c>
      <c r="KV44" s="177" t="s">
        <v>2847</v>
      </c>
      <c r="KW44" s="91">
        <f>SUM(KY24:KY26)</f>
        <v>1515.09</v>
      </c>
      <c r="KX44" s="151" t="s">
        <v>3407</v>
      </c>
      <c r="KY44" s="41">
        <v>6</v>
      </c>
      <c r="KZ44" s="15" t="s">
        <v>3225</v>
      </c>
      <c r="LD44" s="204">
        <v>22.2</v>
      </c>
      <c r="LE44" s="283" t="s">
        <v>3408</v>
      </c>
      <c r="LJ44" s="204">
        <v>30</v>
      </c>
      <c r="LK44" s="245" t="s">
        <v>2667</v>
      </c>
      <c r="LL44" s="15" t="s">
        <v>3181</v>
      </c>
      <c r="LP44" s="204">
        <v>10</v>
      </c>
      <c r="LQ44" s="283" t="s">
        <v>1465</v>
      </c>
      <c r="LV44" s="204">
        <v>20</v>
      </c>
      <c r="LW44" s="283" t="s">
        <v>3409</v>
      </c>
      <c r="MA44" s="56"/>
      <c r="MB44" s="204">
        <v>10</v>
      </c>
      <c r="MC44" s="283" t="s">
        <v>3410</v>
      </c>
      <c r="MF44" s="42" t="s">
        <v>3411</v>
      </c>
      <c r="MG44" s="41">
        <f>SUM(MI11:MI11)</f>
        <v>1526</v>
      </c>
      <c r="MH44" s="115" t="s">
        <v>3373</v>
      </c>
      <c r="MI44" s="57">
        <v>34.2</v>
      </c>
      <c r="MJ44" s="15" t="s">
        <v>3220</v>
      </c>
      <c r="ML44" s="158" t="s">
        <v>3412</v>
      </c>
      <c r="MM44" s="319">
        <v>150</v>
      </c>
      <c r="MN44" s="204">
        <v>8</v>
      </c>
      <c r="MO44" s="283" t="s">
        <v>3413</v>
      </c>
      <c r="MS44" s="56"/>
      <c r="MT44" s="65" t="s">
        <v>3414</v>
      </c>
      <c r="MU44" s="249">
        <v>399</v>
      </c>
      <c r="MV44" s="15" t="s">
        <v>3225</v>
      </c>
      <c r="NX44" s="58" t="s">
        <v>3415</v>
      </c>
      <c r="NY44" s="41">
        <v>21.58</v>
      </c>
      <c r="OE44" s="61"/>
    </row>
    <row r="45" spans="23:389">
      <c r="W45" s="614" t="s">
        <v>2920</v>
      </c>
      <c r="X45" s="15">
        <v>100</v>
      </c>
      <c r="AU45" s="15" t="s">
        <v>3416</v>
      </c>
      <c r="AV45" s="15">
        <f>53+76.3</f>
        <v>129.3</v>
      </c>
      <c r="CI45" s="42" t="s">
        <v>3094</v>
      </c>
      <c r="CJ45" s="42">
        <v>400</v>
      </c>
      <c r="CO45" s="42" t="s">
        <v>3417</v>
      </c>
      <c r="CU45" s="42" t="s">
        <v>3147</v>
      </c>
      <c r="CV45" s="42">
        <v>200</v>
      </c>
      <c r="DA45" s="42" t="s">
        <v>3094</v>
      </c>
      <c r="DB45" s="42">
        <v>700</v>
      </c>
      <c r="DG45" s="121" t="s">
        <v>3103</v>
      </c>
      <c r="DH45" s="124">
        <v>350</v>
      </c>
      <c r="DJ45" s="56"/>
      <c r="DL45" s="61"/>
      <c r="DM45" s="61" t="s">
        <v>3418</v>
      </c>
      <c r="DN45" s="57">
        <v>22.9</v>
      </c>
      <c r="DO45" s="48"/>
      <c r="DP45" s="136">
        <v>34.8</v>
      </c>
      <c r="DR45" s="61"/>
      <c r="DS45" s="123" t="s">
        <v>3419</v>
      </c>
      <c r="DT45" s="125"/>
      <c r="DU45" s="104"/>
      <c r="DY45" s="15" t="s">
        <v>3192</v>
      </c>
      <c r="DZ45" s="15">
        <v>70</v>
      </c>
      <c r="EL45" s="15" t="s">
        <v>3420</v>
      </c>
      <c r="EM45" s="15">
        <v>19.9</v>
      </c>
      <c r="ET45" s="104"/>
      <c r="EX45" s="61" t="s">
        <v>3421</v>
      </c>
      <c r="EY45" s="61">
        <f>7.3+13+10.5+10.8</f>
        <v>41.6</v>
      </c>
      <c r="FD45" s="15" t="s">
        <v>3192</v>
      </c>
      <c r="FE45" s="15">
        <v>30</v>
      </c>
      <c r="FF45" s="15" t="s">
        <v>2821</v>
      </c>
      <c r="FJ45" s="15" t="s">
        <v>3192</v>
      </c>
      <c r="FK45" s="15">
        <v>80</v>
      </c>
      <c r="FL45" s="61"/>
      <c r="FP45" s="61" t="s">
        <v>3422</v>
      </c>
      <c r="FQ45" s="15">
        <v>24</v>
      </c>
      <c r="FV45" s="15" t="s">
        <v>3105</v>
      </c>
      <c r="FW45" s="48">
        <v>646</v>
      </c>
      <c r="FX45" s="104"/>
      <c r="GB45" s="176" t="s">
        <v>3423</v>
      </c>
      <c r="GC45" s="61">
        <v>20</v>
      </c>
      <c r="GD45" s="104"/>
      <c r="GH45" s="176" t="s">
        <v>2206</v>
      </c>
      <c r="GI45" s="61">
        <v>64.68</v>
      </c>
      <c r="GJ45" s="15" t="s">
        <v>2841</v>
      </c>
      <c r="GN45" s="171">
        <v>100</v>
      </c>
      <c r="GO45" s="178"/>
      <c r="GP45" s="15" t="s">
        <v>197</v>
      </c>
      <c r="GT45" s="176" t="s">
        <v>3424</v>
      </c>
      <c r="GU45" s="61">
        <v>70</v>
      </c>
      <c r="GZ45" s="181">
        <v>60</v>
      </c>
      <c r="HA45" s="154" t="s">
        <v>2667</v>
      </c>
      <c r="HF45" s="15" t="s">
        <v>3425</v>
      </c>
      <c r="HG45" s="61">
        <v>90</v>
      </c>
      <c r="HX45" s="216" t="s">
        <v>3426</v>
      </c>
      <c r="HY45" s="216"/>
      <c r="HZ45" s="15" t="s">
        <v>197</v>
      </c>
      <c r="ID45" s="204">
        <f>20+9</f>
        <v>29</v>
      </c>
      <c r="IE45" s="154" t="s">
        <v>3427</v>
      </c>
      <c r="IH45" s="175" t="s">
        <v>1268</v>
      </c>
      <c r="II45" s="43">
        <f>SUM(IK10:IK11)</f>
        <v>3467.75</v>
      </c>
      <c r="IJ45" s="204">
        <v>20</v>
      </c>
      <c r="IK45" s="154" t="s">
        <v>3428</v>
      </c>
      <c r="IO45" s="234"/>
      <c r="IP45" s="204">
        <v>12</v>
      </c>
      <c r="IQ45" s="245" t="s">
        <v>3429</v>
      </c>
      <c r="IV45" s="196"/>
      <c r="IW45" s="246"/>
      <c r="JB45" s="244" t="s">
        <v>3430</v>
      </c>
      <c r="JC45" s="249">
        <v>18</v>
      </c>
      <c r="JG45" s="236"/>
      <c r="JH45" s="189" t="s">
        <v>3431</v>
      </c>
      <c r="JI45" s="101">
        <v>65</v>
      </c>
      <c r="JN45" s="15" t="s">
        <v>3432</v>
      </c>
      <c r="JO45" s="101">
        <v>120.36</v>
      </c>
      <c r="JT45" s="269" t="s">
        <v>3433</v>
      </c>
      <c r="JU45" s="279">
        <v>27.83</v>
      </c>
      <c r="JX45" s="151" t="s">
        <v>2677</v>
      </c>
      <c r="JY45" s="43">
        <f>SUM(KA34:KA45)</f>
        <v>681.71</v>
      </c>
      <c r="JZ45" s="151" t="s">
        <v>3434</v>
      </c>
      <c r="KA45" s="101">
        <v>26.5</v>
      </c>
      <c r="KE45" s="48"/>
      <c r="KJ45" s="158" t="s">
        <v>3435</v>
      </c>
      <c r="KK45" s="289">
        <v>250</v>
      </c>
      <c r="KL45" s="204">
        <v>10</v>
      </c>
      <c r="KM45" s="245" t="s">
        <v>3436</v>
      </c>
      <c r="KR45" s="204">
        <f>10+10+5+5</f>
        <v>30</v>
      </c>
      <c r="KS45" s="245" t="s">
        <v>3437</v>
      </c>
      <c r="KT45" s="15" t="s">
        <v>3181</v>
      </c>
      <c r="KV45" s="292" t="s">
        <v>2569</v>
      </c>
      <c r="KW45" s="43">
        <v>0</v>
      </c>
      <c r="KX45" s="151" t="s">
        <v>3438</v>
      </c>
      <c r="KY45" s="41">
        <v>7.9</v>
      </c>
      <c r="LB45" s="158" t="s">
        <v>3439</v>
      </c>
      <c r="LC45" s="289">
        <v>200</v>
      </c>
      <c r="LD45" s="204">
        <v>30</v>
      </c>
      <c r="LE45" s="245" t="s">
        <v>2667</v>
      </c>
      <c r="LJ45" s="204">
        <v>13</v>
      </c>
      <c r="LK45" s="245" t="s">
        <v>3440</v>
      </c>
      <c r="LL45" s="15" t="s">
        <v>3225</v>
      </c>
      <c r="LP45" s="65" t="s">
        <v>3441</v>
      </c>
      <c r="LQ45" s="249">
        <f>212.55-160-14.41</f>
        <v>38.14</v>
      </c>
      <c r="LV45" s="204">
        <v>10</v>
      </c>
      <c r="LW45" s="283" t="s">
        <v>3442</v>
      </c>
      <c r="MA45" s="56"/>
      <c r="MB45" s="204">
        <v>10</v>
      </c>
      <c r="MC45" s="283" t="s">
        <v>3443</v>
      </c>
      <c r="MF45" s="151" t="s">
        <v>2637</v>
      </c>
      <c r="MG45" s="41">
        <f>SUM(MI14:MI18)</f>
        <v>569.7</v>
      </c>
      <c r="MH45" s="115" t="s">
        <v>2694</v>
      </c>
      <c r="MI45" s="57">
        <v>117.18</v>
      </c>
      <c r="MN45" s="204"/>
      <c r="MO45" s="283"/>
      <c r="MP45" s="15" t="s">
        <v>3181</v>
      </c>
      <c r="MS45" s="56"/>
      <c r="MT45" s="65" t="s">
        <v>3444</v>
      </c>
      <c r="MU45" s="61">
        <v>59</v>
      </c>
      <c r="NV45" s="45" t="s">
        <v>2395</v>
      </c>
      <c r="NW45" s="315"/>
      <c r="NX45" s="58" t="s">
        <v>2917</v>
      </c>
      <c r="NY45" s="41">
        <v>266.06</v>
      </c>
    </row>
    <row r="46" spans="41:389">
      <c r="AO46" s="15" t="s">
        <v>3445</v>
      </c>
      <c r="AP46" s="15">
        <f>129-18</f>
        <v>111</v>
      </c>
      <c r="AU46" s="15" t="s">
        <v>3446</v>
      </c>
      <c r="AV46" s="15">
        <v>25</v>
      </c>
      <c r="CI46" s="42" t="s">
        <v>3147</v>
      </c>
      <c r="CJ46" s="42">
        <v>150</v>
      </c>
      <c r="CU46" s="42" t="s">
        <v>3447</v>
      </c>
      <c r="DG46" s="123" t="s">
        <v>3448</v>
      </c>
      <c r="DH46" s="125"/>
      <c r="DI46" s="614" t="s">
        <v>372</v>
      </c>
      <c r="DL46" s="61"/>
      <c r="DM46" s="61" t="s">
        <v>3449</v>
      </c>
      <c r="DN46" s="57">
        <v>36.3</v>
      </c>
      <c r="DO46" s="48"/>
      <c r="DP46" s="136">
        <v>1.93</v>
      </c>
      <c r="DR46" s="61"/>
      <c r="DS46" s="123" t="s">
        <v>3450</v>
      </c>
      <c r="DT46" s="125"/>
      <c r="EL46" s="61" t="s">
        <v>3451</v>
      </c>
      <c r="EM46" s="61">
        <v>29</v>
      </c>
      <c r="ER46" s="15" t="s">
        <v>3105</v>
      </c>
      <c r="ES46" s="48">
        <v>840</v>
      </c>
      <c r="EX46" s="61" t="s">
        <v>3452</v>
      </c>
      <c r="EY46" s="61">
        <v>15.19</v>
      </c>
      <c r="FF46" s="15" t="s">
        <v>197</v>
      </c>
      <c r="FL46" s="15" t="s">
        <v>372</v>
      </c>
      <c r="FP46" s="48" t="s">
        <v>3235</v>
      </c>
      <c r="FQ46" s="48">
        <v>50</v>
      </c>
      <c r="FR46" s="104"/>
      <c r="FV46" s="15" t="s">
        <v>3453</v>
      </c>
      <c r="FW46" s="61"/>
      <c r="GB46" s="176" t="s">
        <v>3454</v>
      </c>
      <c r="GC46" s="61">
        <v>20</v>
      </c>
      <c r="GN46" s="158" t="s">
        <v>3455</v>
      </c>
      <c r="GO46" s="172">
        <f>GK17+GN45-GQ17</f>
        <v>104</v>
      </c>
      <c r="GP46" s="15" t="s">
        <v>2701</v>
      </c>
      <c r="GT46" s="176" t="s">
        <v>3456</v>
      </c>
      <c r="GU46" s="61">
        <v>29.6</v>
      </c>
      <c r="GZ46" s="182">
        <v>20</v>
      </c>
      <c r="HA46" s="154" t="s">
        <v>2772</v>
      </c>
      <c r="HX46" s="216"/>
      <c r="HY46" s="216"/>
      <c r="ID46" s="69" t="s">
        <v>3457</v>
      </c>
      <c r="IE46" s="166">
        <v>23</v>
      </c>
      <c r="IH46" s="163" t="s">
        <v>2542</v>
      </c>
      <c r="II46" s="174">
        <f>SUM(IK12:IK13)</f>
        <v>2138.05</v>
      </c>
      <c r="IJ46" s="204">
        <v>5</v>
      </c>
      <c r="IK46" s="154" t="s">
        <v>3458</v>
      </c>
      <c r="IO46" s="234"/>
      <c r="IP46" s="204">
        <v>20</v>
      </c>
      <c r="IQ46" s="245" t="s">
        <v>2896</v>
      </c>
      <c r="IV46" s="196"/>
      <c r="IW46" s="153"/>
      <c r="JB46" s="69" t="s">
        <v>3459</v>
      </c>
      <c r="JC46" s="15">
        <v>86.8</v>
      </c>
      <c r="JH46" s="69" t="s">
        <v>3460</v>
      </c>
      <c r="JI46" s="101">
        <v>13.3</v>
      </c>
      <c r="JN46" s="189" t="s">
        <v>3461</v>
      </c>
      <c r="JO46" s="101">
        <v>2.79</v>
      </c>
      <c r="JT46" s="269" t="s">
        <v>3462</v>
      </c>
      <c r="JU46" s="279">
        <v>8.61</v>
      </c>
      <c r="JX46" s="151" t="s">
        <v>2803</v>
      </c>
      <c r="JY46" s="43">
        <f>SUM(KA37:KA45)</f>
        <v>301.71</v>
      </c>
      <c r="JZ46" s="15" t="s">
        <v>2682</v>
      </c>
      <c r="KA46" s="57">
        <f>8+61+1</f>
        <v>70</v>
      </c>
      <c r="KE46" s="48"/>
      <c r="KL46" s="204">
        <v>20</v>
      </c>
      <c r="KM46" s="245" t="s">
        <v>3463</v>
      </c>
      <c r="KQ46" s="48"/>
      <c r="KR46" s="15" t="s">
        <v>3464</v>
      </c>
      <c r="KS46" s="15">
        <v>120</v>
      </c>
      <c r="KT46" s="15" t="s">
        <v>3225</v>
      </c>
      <c r="KV46" s="161" t="s">
        <v>3214</v>
      </c>
      <c r="KW46" s="43">
        <f>SUM(KY9:KY14)</f>
        <v>1272.93</v>
      </c>
      <c r="KX46" s="151" t="s">
        <v>3465</v>
      </c>
      <c r="KY46" s="101">
        <f>40.5+66.1</f>
        <v>106.6</v>
      </c>
      <c r="LD46" s="204">
        <v>20</v>
      </c>
      <c r="LE46" s="245" t="s">
        <v>3466</v>
      </c>
      <c r="LJ46" s="204">
        <v>7</v>
      </c>
      <c r="LK46" s="245" t="s">
        <v>3467</v>
      </c>
      <c r="LP46" s="65" t="s">
        <v>3468</v>
      </c>
      <c r="LQ46" s="15">
        <v>300</v>
      </c>
      <c r="LV46" s="65" t="s">
        <v>3469</v>
      </c>
      <c r="LW46" s="249">
        <v>3</v>
      </c>
      <c r="MB46" s="204">
        <v>10</v>
      </c>
      <c r="MC46" s="283" t="s">
        <v>3470</v>
      </c>
      <c r="MF46" s="293" t="s">
        <v>2965</v>
      </c>
      <c r="MG46" s="41">
        <f>SUM(MI41:MI42)</f>
        <v>1014.98</v>
      </c>
      <c r="MH46" s="115" t="s">
        <v>3471</v>
      </c>
      <c r="MI46" s="57">
        <f>208+49</f>
        <v>257</v>
      </c>
      <c r="MM46" s="56"/>
      <c r="MN46" s="65" t="s">
        <v>3472</v>
      </c>
      <c r="MO46" s="249">
        <v>425.1</v>
      </c>
      <c r="MP46" s="15" t="s">
        <v>3225</v>
      </c>
      <c r="MT46" s="65"/>
      <c r="MU46" s="249"/>
      <c r="NV46" s="338" t="s">
        <v>1220</v>
      </c>
      <c r="NW46" s="57">
        <f>SUM(NY6:NY11)</f>
        <v>3913.01</v>
      </c>
      <c r="NX46" s="58" t="s">
        <v>3473</v>
      </c>
      <c r="NY46" s="41">
        <v>1177.2</v>
      </c>
    </row>
    <row r="47" spans="41:389">
      <c r="AO47" s="15" t="s">
        <v>3474</v>
      </c>
      <c r="AP47" s="15">
        <v>25</v>
      </c>
      <c r="BX47" s="84"/>
      <c r="CD47" s="84"/>
      <c r="CJ47" s="84"/>
      <c r="DG47" s="123" t="s">
        <v>3475</v>
      </c>
      <c r="DH47" s="125"/>
      <c r="DI47" s="614" t="s">
        <v>2574</v>
      </c>
      <c r="DJ47" s="100"/>
      <c r="DL47" s="61"/>
      <c r="DM47" s="61" t="s">
        <v>3476</v>
      </c>
      <c r="DN47" s="57">
        <v>50</v>
      </c>
      <c r="DO47" s="48"/>
      <c r="DP47" s="136">
        <v>64</v>
      </c>
      <c r="DR47" s="61"/>
      <c r="DS47" s="123"/>
      <c r="DT47" s="125"/>
      <c r="ER47" s="15" t="s">
        <v>3477</v>
      </c>
      <c r="ES47" s="61"/>
      <c r="EX47" s="61"/>
      <c r="EY47" s="61"/>
      <c r="EZ47" s="104"/>
      <c r="FC47" s="18"/>
      <c r="FF47" s="15" t="s">
        <v>2701</v>
      </c>
      <c r="FL47" s="15" t="s">
        <v>2823</v>
      </c>
      <c r="FP47" s="176" t="s">
        <v>3478</v>
      </c>
      <c r="FQ47" s="48">
        <v>4.41</v>
      </c>
      <c r="FV47" s="15" t="s">
        <v>3479</v>
      </c>
      <c r="FW47" s="15">
        <v>52.15</v>
      </c>
      <c r="GB47" s="176" t="s">
        <v>3480</v>
      </c>
      <c r="GC47" s="61">
        <v>30.35</v>
      </c>
      <c r="GH47" s="15" t="s">
        <v>3105</v>
      </c>
      <c r="GI47" s="48">
        <v>638</v>
      </c>
      <c r="GN47" s="154" t="s">
        <v>3481</v>
      </c>
      <c r="GO47" s="158"/>
      <c r="GP47" s="15" t="s">
        <v>2841</v>
      </c>
      <c r="GT47" s="176" t="s">
        <v>3482</v>
      </c>
      <c r="GU47" s="61">
        <v>32.1</v>
      </c>
      <c r="GZ47" s="182">
        <v>30</v>
      </c>
      <c r="HA47" s="154" t="s">
        <v>3483</v>
      </c>
      <c r="HX47" s="214" t="s">
        <v>3484</v>
      </c>
      <c r="HY47" s="15">
        <f>40+150</f>
        <v>190</v>
      </c>
      <c r="ID47" s="189" t="s">
        <v>3485</v>
      </c>
      <c r="IE47" s="15">
        <v>54.8</v>
      </c>
      <c r="IH47" s="170" t="s">
        <v>2607</v>
      </c>
      <c r="II47" s="174">
        <f>SUM(IK16:IK23)</f>
        <v>1252.24333333333</v>
      </c>
      <c r="IJ47" s="204">
        <v>7</v>
      </c>
      <c r="IK47" s="154" t="s">
        <v>3180</v>
      </c>
      <c r="IO47" s="236"/>
      <c r="IP47" s="171">
        <v>10</v>
      </c>
      <c r="IQ47" s="245" t="s">
        <v>3486</v>
      </c>
      <c r="IV47" s="196"/>
      <c r="IW47" s="196"/>
      <c r="JB47" s="69" t="s">
        <v>3487</v>
      </c>
      <c r="JC47" s="101">
        <v>36.9</v>
      </c>
      <c r="JH47" s="196" t="s">
        <v>3488</v>
      </c>
      <c r="JI47" s="153">
        <v>3</v>
      </c>
      <c r="JN47" s="69" t="s">
        <v>3489</v>
      </c>
      <c r="JO47" s="101">
        <v>8.55</v>
      </c>
      <c r="JT47" s="269" t="s">
        <v>3490</v>
      </c>
      <c r="JU47" s="279">
        <v>19.46</v>
      </c>
      <c r="JZ47" s="15" t="s">
        <v>3491</v>
      </c>
      <c r="KA47" s="57">
        <v>300</v>
      </c>
      <c r="KE47" s="48"/>
      <c r="KK47" s="48"/>
      <c r="KL47" s="204">
        <v>24</v>
      </c>
      <c r="KM47" s="245" t="s">
        <v>3492</v>
      </c>
      <c r="KQ47" s="48"/>
      <c r="KR47" s="15" t="s">
        <v>3493</v>
      </c>
      <c r="KS47" s="15">
        <v>82.45</v>
      </c>
      <c r="KV47" s="86" t="s">
        <v>3023</v>
      </c>
      <c r="KW47" s="305">
        <f>SUM(KY15:KY23)</f>
        <v>1574</v>
      </c>
      <c r="KX47" s="151" t="s">
        <v>3494</v>
      </c>
      <c r="KY47" s="101">
        <v>5.8</v>
      </c>
      <c r="LB47" s="15" t="s">
        <v>3495</v>
      </c>
      <c r="LC47" s="48"/>
      <c r="LD47" s="204">
        <v>10</v>
      </c>
      <c r="LE47" s="245" t="s">
        <v>2896</v>
      </c>
      <c r="LJ47" s="204">
        <v>50</v>
      </c>
      <c r="LK47" s="22" t="s">
        <v>3463</v>
      </c>
      <c r="LP47" s="15" t="s">
        <v>3496</v>
      </c>
      <c r="LQ47" s="15">
        <v>27.5</v>
      </c>
      <c r="LV47" s="65"/>
      <c r="MB47" s="204">
        <v>10</v>
      </c>
      <c r="MC47" s="283" t="s">
        <v>3497</v>
      </c>
      <c r="MF47" s="115" t="s">
        <v>3080</v>
      </c>
      <c r="MG47" s="38">
        <f>SUM(MI43:MI46)</f>
        <v>526.97</v>
      </c>
      <c r="MH47" s="42" t="s">
        <v>2969</v>
      </c>
      <c r="MI47" s="101">
        <f>4+4+6</f>
        <v>14</v>
      </c>
      <c r="MM47" s="56"/>
      <c r="MN47" s="65" t="s">
        <v>3498</v>
      </c>
      <c r="MO47" s="61">
        <v>48</v>
      </c>
      <c r="MT47" s="65"/>
      <c r="MU47" s="57"/>
      <c r="NV47" s="161" t="s">
        <v>2515</v>
      </c>
      <c r="NW47" s="57">
        <f>SUM(NY12:NY13)</f>
        <v>10789.91</v>
      </c>
      <c r="NX47" s="58" t="s">
        <v>3499</v>
      </c>
      <c r="NY47" s="41">
        <v>53.1</v>
      </c>
    </row>
    <row r="48" spans="41:389">
      <c r="AO48" s="15" t="s">
        <v>3500</v>
      </c>
      <c r="AP48" s="15">
        <v>508</v>
      </c>
      <c r="AU48" s="15" t="s">
        <v>3038</v>
      </c>
      <c r="AV48" s="15">
        <v>200</v>
      </c>
      <c r="DG48" s="123" t="s">
        <v>3501</v>
      </c>
      <c r="DH48" s="125"/>
      <c r="DI48" s="48" t="s">
        <v>197</v>
      </c>
      <c r="DJ48" s="57"/>
      <c r="DM48" s="61" t="s">
        <v>3502</v>
      </c>
      <c r="DN48" s="57">
        <v>34</v>
      </c>
      <c r="DO48" s="48"/>
      <c r="DP48" s="136">
        <v>21.78</v>
      </c>
      <c r="DS48" s="61" t="s">
        <v>3503</v>
      </c>
      <c r="DT48" s="57">
        <v>34.8</v>
      </c>
      <c r="EL48" s="15" t="s">
        <v>3105</v>
      </c>
      <c r="EM48" s="15">
        <v>870</v>
      </c>
      <c r="EN48" s="15" t="s">
        <v>3386</v>
      </c>
      <c r="ER48" s="15" t="s">
        <v>3192</v>
      </c>
      <c r="ES48" s="15">
        <v>60</v>
      </c>
      <c r="EX48" s="15" t="s">
        <v>3105</v>
      </c>
      <c r="EY48" s="48">
        <v>940</v>
      </c>
      <c r="FF48" s="15" t="s">
        <v>2841</v>
      </c>
      <c r="FL48" s="15" t="s">
        <v>2821</v>
      </c>
      <c r="FP48" s="176" t="s">
        <v>3504</v>
      </c>
      <c r="FQ48" s="61">
        <v>70.3</v>
      </c>
      <c r="FV48" s="15" t="s">
        <v>3505</v>
      </c>
      <c r="GH48" s="15" t="s">
        <v>3506</v>
      </c>
      <c r="GI48" s="61"/>
      <c r="GJ48" s="15" t="s">
        <v>2985</v>
      </c>
      <c r="GN48" s="154" t="s">
        <v>3507</v>
      </c>
      <c r="GO48" s="158"/>
      <c r="GT48" s="176" t="s">
        <v>3418</v>
      </c>
      <c r="GU48" s="15">
        <v>2.66</v>
      </c>
      <c r="GZ48" s="176" t="s">
        <v>3508</v>
      </c>
      <c r="HA48" s="61">
        <v>6</v>
      </c>
      <c r="HB48" s="104"/>
      <c r="HX48" s="217" t="s">
        <v>3509</v>
      </c>
      <c r="HY48" s="166">
        <v>150</v>
      </c>
      <c r="ID48" s="189" t="s">
        <v>2570</v>
      </c>
      <c r="IE48" s="15">
        <v>54.6</v>
      </c>
      <c r="IH48" s="151" t="s">
        <v>2677</v>
      </c>
      <c r="II48" s="174">
        <f>SUM(IK24:IK36)</f>
        <v>602.14</v>
      </c>
      <c r="IJ48" s="171">
        <f>-IK7</f>
        <v>-15</v>
      </c>
      <c r="IK48" s="154" t="s">
        <v>3510</v>
      </c>
      <c r="IP48" s="171">
        <f>17+11+6</f>
        <v>34</v>
      </c>
      <c r="IQ48" s="245" t="s">
        <v>3511</v>
      </c>
      <c r="IV48" s="188"/>
      <c r="IW48" s="196"/>
      <c r="JB48" s="69" t="s">
        <v>3460</v>
      </c>
      <c r="JC48" s="101">
        <v>13.3</v>
      </c>
      <c r="JH48" s="196"/>
      <c r="JI48" s="196"/>
      <c r="JN48" s="69" t="s">
        <v>3512</v>
      </c>
      <c r="JO48" s="101">
        <v>10.35</v>
      </c>
      <c r="JS48" s="270" t="s">
        <v>3513</v>
      </c>
      <c r="JT48" s="269" t="s">
        <v>3514</v>
      </c>
      <c r="JU48" s="280">
        <f>5.42+0.41+0.58+2.33+0.29+0.28+0.26+1.45+0.29+4.73+1.54</f>
        <v>17.58</v>
      </c>
      <c r="JZ48" s="42" t="s">
        <v>2623</v>
      </c>
      <c r="KA48" s="44">
        <f>670+187</f>
        <v>857</v>
      </c>
      <c r="KG48" s="61"/>
      <c r="KK48" s="48"/>
      <c r="KL48" s="204">
        <v>8</v>
      </c>
      <c r="KM48" s="245" t="s">
        <v>3515</v>
      </c>
      <c r="KR48" s="290" t="s">
        <v>3516</v>
      </c>
      <c r="KS48" s="249">
        <v>50</v>
      </c>
      <c r="KV48" s="293" t="s">
        <v>2637</v>
      </c>
      <c r="KW48" s="43">
        <f>SUM(KY27:KY32)</f>
        <v>381.6</v>
      </c>
      <c r="KX48" s="15" t="s">
        <v>3073</v>
      </c>
      <c r="KY48" s="57">
        <f>400+110</f>
        <v>510</v>
      </c>
      <c r="LB48" s="15" t="s">
        <v>3517</v>
      </c>
      <c r="LC48" s="48"/>
      <c r="LD48" s="204">
        <v>7</v>
      </c>
      <c r="LE48" s="245" t="s">
        <v>3518</v>
      </c>
      <c r="LJ48" s="204">
        <v>40</v>
      </c>
      <c r="LK48" s="22" t="s">
        <v>3519</v>
      </c>
      <c r="LP48" s="65" t="s">
        <v>3520</v>
      </c>
      <c r="LQ48" s="61">
        <v>21.1</v>
      </c>
      <c r="MB48" s="65" t="s">
        <v>3521</v>
      </c>
      <c r="MC48" s="249">
        <v>10.9</v>
      </c>
      <c r="MF48" s="327" t="s">
        <v>2677</v>
      </c>
      <c r="MG48" s="318">
        <f>SUM(MI19:MI40)</f>
        <v>3772.05</v>
      </c>
      <c r="MH48" s="42" t="s">
        <v>2623</v>
      </c>
      <c r="MI48" s="44">
        <f>307+231+53+83</f>
        <v>674</v>
      </c>
      <c r="MN48" s="65"/>
      <c r="MO48" s="249"/>
      <c r="MU48" s="246"/>
      <c r="NV48" s="42" t="s">
        <v>2569</v>
      </c>
      <c r="NW48" s="41">
        <v>0</v>
      </c>
      <c r="NX48" s="42" t="s">
        <v>2969</v>
      </c>
      <c r="NY48" s="41">
        <f>4.34+1.25</f>
        <v>5.59</v>
      </c>
    </row>
    <row r="49" spans="41:389">
      <c r="AO49" s="15" t="s">
        <v>3522</v>
      </c>
      <c r="AP49" s="15">
        <f>20*3</f>
        <v>60</v>
      </c>
      <c r="AU49" s="15" t="s">
        <v>3094</v>
      </c>
      <c r="AV49" s="15">
        <v>300</v>
      </c>
      <c r="DF49" s="61"/>
      <c r="DG49" s="123" t="s">
        <v>3523</v>
      </c>
      <c r="DH49" s="125"/>
      <c r="DI49" s="15" t="s">
        <v>2701</v>
      </c>
      <c r="DJ49" s="101"/>
      <c r="DM49" s="61"/>
      <c r="DO49" s="48"/>
      <c r="DP49" s="136">
        <v>27.85</v>
      </c>
      <c r="DS49" s="61" t="s">
        <v>1623</v>
      </c>
      <c r="DT49" s="57">
        <v>39.9</v>
      </c>
      <c r="EL49" s="15" t="s">
        <v>3524</v>
      </c>
      <c r="EX49" s="15" t="s">
        <v>3525</v>
      </c>
      <c r="EY49" s="61"/>
      <c r="FL49" s="15" t="s">
        <v>197</v>
      </c>
      <c r="FP49" s="176" t="s">
        <v>3526</v>
      </c>
      <c r="FQ49" s="61">
        <v>206</v>
      </c>
      <c r="FV49" s="15" t="s">
        <v>3192</v>
      </c>
      <c r="FW49" s="15">
        <v>48</v>
      </c>
      <c r="GB49" s="15" t="s">
        <v>3105</v>
      </c>
      <c r="GC49" s="48">
        <v>1057</v>
      </c>
      <c r="GH49" s="15" t="s">
        <v>3192</v>
      </c>
      <c r="GI49" s="15">
        <v>72</v>
      </c>
      <c r="GJ49" s="104" t="s">
        <v>3527</v>
      </c>
      <c r="GN49" s="154" t="s">
        <v>3528</v>
      </c>
      <c r="GO49" s="158"/>
      <c r="GT49" s="176" t="s">
        <v>3529</v>
      </c>
      <c r="GU49" s="61">
        <v>60.6</v>
      </c>
      <c r="GV49" s="183" t="s">
        <v>3530</v>
      </c>
      <c r="GZ49" s="15" t="s">
        <v>3531</v>
      </c>
      <c r="HA49" s="184">
        <v>670.001</v>
      </c>
      <c r="HX49" s="218" t="s">
        <v>3532</v>
      </c>
      <c r="HY49" s="15">
        <f>389.7+107.1</f>
        <v>496.8</v>
      </c>
      <c r="ID49" s="189" t="s">
        <v>3533</v>
      </c>
      <c r="IE49" s="15">
        <v>195.81</v>
      </c>
      <c r="IH49" s="151" t="s">
        <v>2771</v>
      </c>
      <c r="II49" s="43">
        <f>SUM(IK27:IK36)</f>
        <v>428.44</v>
      </c>
      <c r="IJ49" s="171">
        <v>20</v>
      </c>
      <c r="IK49" s="154" t="s">
        <v>2667</v>
      </c>
      <c r="IP49" s="171">
        <v>20</v>
      </c>
      <c r="IQ49" s="245" t="s">
        <v>3534</v>
      </c>
      <c r="IV49" s="196"/>
      <c r="IW49" s="164"/>
      <c r="JB49" s="189"/>
      <c r="JC49" s="101"/>
      <c r="JH49" s="188"/>
      <c r="JI49" s="196"/>
      <c r="JN49" s="69" t="s">
        <v>3535</v>
      </c>
      <c r="JO49" s="101">
        <v>15.001</v>
      </c>
      <c r="JS49" s="271" t="s">
        <v>3536</v>
      </c>
      <c r="JT49" s="269" t="s">
        <v>3537</v>
      </c>
      <c r="JU49" s="281">
        <f>0.29*3</f>
        <v>0.87</v>
      </c>
      <c r="JZ49" s="202">
        <v>47.04</v>
      </c>
      <c r="KA49" s="44" t="s">
        <v>3538</v>
      </c>
      <c r="KL49" s="15" t="s">
        <v>3539</v>
      </c>
      <c r="KM49" s="15">
        <v>7.2</v>
      </c>
      <c r="KR49" s="15" t="s">
        <v>3540</v>
      </c>
      <c r="KS49" s="15">
        <v>19.65</v>
      </c>
      <c r="KV49" s="151" t="s">
        <v>2677</v>
      </c>
      <c r="KW49" s="43">
        <f>SUM(KY33:KY47)</f>
        <v>2538.32</v>
      </c>
      <c r="KX49" s="42" t="s">
        <v>2623</v>
      </c>
      <c r="KY49" s="44">
        <f>194+179+2</f>
        <v>375</v>
      </c>
      <c r="LD49" s="204">
        <v>30</v>
      </c>
      <c r="LE49" s="245" t="s">
        <v>3541</v>
      </c>
      <c r="LJ49" s="65" t="s">
        <v>3542</v>
      </c>
      <c r="LK49" s="41">
        <v>28.72</v>
      </c>
      <c r="LP49" s="65" t="s">
        <v>3543</v>
      </c>
      <c r="LQ49" s="57">
        <v>17.5</v>
      </c>
      <c r="LV49" s="65"/>
      <c r="LW49" s="61"/>
      <c r="MB49" s="65" t="s">
        <v>3544</v>
      </c>
      <c r="MC49" s="15">
        <v>14.4</v>
      </c>
      <c r="MF49" s="327" t="s">
        <v>2803</v>
      </c>
      <c r="MG49" s="318">
        <f>SUM(MI25:MI40)</f>
        <v>530.92</v>
      </c>
      <c r="MH49" s="330">
        <v>34.83</v>
      </c>
      <c r="MI49" s="44"/>
      <c r="MN49" s="65"/>
      <c r="MO49" s="57"/>
      <c r="MU49" s="61"/>
      <c r="NV49" s="151" t="s">
        <v>2637</v>
      </c>
      <c r="NW49" s="41">
        <f>SUM(NY14:NY21)</f>
        <v>969.81</v>
      </c>
      <c r="NX49" s="42" t="s">
        <v>2974</v>
      </c>
      <c r="NY49" s="41">
        <f>1+5.9+6.95</f>
        <v>13.85</v>
      </c>
    </row>
    <row r="50" spans="41:389">
      <c r="AO50" s="15" t="s">
        <v>3545</v>
      </c>
      <c r="AP50" s="15">
        <v>810</v>
      </c>
      <c r="AU50" s="15" t="s">
        <v>3147</v>
      </c>
      <c r="AV50" s="15">
        <v>100</v>
      </c>
      <c r="DG50" s="123" t="s">
        <v>3546</v>
      </c>
      <c r="DH50" s="125"/>
      <c r="DI50" s="77" t="s">
        <v>2748</v>
      </c>
      <c r="DK50" s="61"/>
      <c r="DM50" s="42" t="s">
        <v>3547</v>
      </c>
      <c r="DN50" s="44">
        <v>700</v>
      </c>
      <c r="DO50" s="48"/>
      <c r="DP50" s="136">
        <v>15.35</v>
      </c>
      <c r="DQ50" s="61"/>
      <c r="DS50" s="42" t="s">
        <v>3548</v>
      </c>
      <c r="DT50" s="119">
        <v>0</v>
      </c>
      <c r="DU50" s="48"/>
      <c r="EL50" s="15" t="s">
        <v>3192</v>
      </c>
      <c r="EM50" s="15">
        <v>100</v>
      </c>
      <c r="EV50" s="18"/>
      <c r="EX50" s="15" t="s">
        <v>3192</v>
      </c>
      <c r="EY50" s="15">
        <v>30</v>
      </c>
      <c r="FL50" s="15" t="s">
        <v>2701</v>
      </c>
      <c r="FP50" s="176" t="s">
        <v>3549</v>
      </c>
      <c r="FQ50" s="61">
        <v>45.6</v>
      </c>
      <c r="GB50" s="15" t="s">
        <v>3550</v>
      </c>
      <c r="GC50" s="61"/>
      <c r="GN50" s="154" t="s">
        <v>3551</v>
      </c>
      <c r="GO50" s="158"/>
      <c r="GP50" s="15" t="s">
        <v>2985</v>
      </c>
      <c r="GT50" s="176" t="s">
        <v>3552</v>
      </c>
      <c r="GU50" s="61">
        <v>14.9</v>
      </c>
      <c r="GV50" s="183"/>
      <c r="GZ50" s="184" t="s">
        <v>3553</v>
      </c>
      <c r="HX50" s="217" t="s">
        <v>3554</v>
      </c>
      <c r="HY50" s="205">
        <v>14.4</v>
      </c>
      <c r="ID50" s="189" t="s">
        <v>3555</v>
      </c>
      <c r="IE50" s="15">
        <v>50</v>
      </c>
      <c r="IH50" s="154" t="s">
        <v>3556</v>
      </c>
      <c r="II50" s="171">
        <v>300</v>
      </c>
      <c r="IJ50" s="171">
        <v>20</v>
      </c>
      <c r="IK50" s="154" t="s">
        <v>3557</v>
      </c>
      <c r="IP50" s="69" t="s">
        <v>3558</v>
      </c>
      <c r="IQ50" s="101">
        <f>757-3.8</f>
        <v>753.2</v>
      </c>
      <c r="IV50" s="189"/>
      <c r="IW50" s="247"/>
      <c r="JB50" s="189"/>
      <c r="JC50" s="101"/>
      <c r="JH50" s="196"/>
      <c r="JI50" s="164"/>
      <c r="JN50" s="196" t="s">
        <v>3559</v>
      </c>
      <c r="JO50" s="153">
        <v>7.67</v>
      </c>
      <c r="JS50" s="272"/>
      <c r="JT50" s="273" t="s">
        <v>3560</v>
      </c>
      <c r="JU50" s="280">
        <v>21.27</v>
      </c>
      <c r="JZ50" s="178" t="s">
        <v>2732</v>
      </c>
      <c r="KA50" s="203">
        <f>JW19+JY53+JY8-KC19</f>
        <v>280</v>
      </c>
      <c r="KL50" s="15" t="s">
        <v>3561</v>
      </c>
      <c r="KM50" s="15">
        <v>32.4</v>
      </c>
      <c r="KR50" s="42" t="s">
        <v>3562</v>
      </c>
      <c r="KS50" s="61">
        <v>25.8</v>
      </c>
      <c r="KV50" s="151" t="s">
        <v>2803</v>
      </c>
      <c r="KW50" s="263">
        <f>SUM(KY40:KY47)</f>
        <v>355.47</v>
      </c>
      <c r="KX50" s="202">
        <v>1.9</v>
      </c>
      <c r="KY50" s="44"/>
      <c r="LD50" s="290" t="s">
        <v>3563</v>
      </c>
      <c r="LE50" s="249">
        <f>7.77+2.71</f>
        <v>10.48</v>
      </c>
      <c r="LJ50" s="65" t="s">
        <v>3564</v>
      </c>
      <c r="LK50" s="41">
        <v>39.75</v>
      </c>
      <c r="LP50" s="65" t="s">
        <v>3565</v>
      </c>
      <c r="LQ50" s="249">
        <v>5.5</v>
      </c>
      <c r="LV50" s="65"/>
      <c r="LW50" s="57"/>
      <c r="MB50" s="65" t="s">
        <v>3566</v>
      </c>
      <c r="MC50" s="57">
        <v>4.48</v>
      </c>
      <c r="MH50" s="178" t="s">
        <v>2732</v>
      </c>
      <c r="MI50" s="23">
        <f>ME25+MG51-MK28</f>
        <v>140</v>
      </c>
      <c r="MO50" s="246"/>
      <c r="NV50" s="58" t="s">
        <v>2695</v>
      </c>
      <c r="NW50" s="41">
        <f>SUM(NY44:NY47)</f>
        <v>1517.94</v>
      </c>
      <c r="NX50" s="42" t="s">
        <v>2623</v>
      </c>
      <c r="NY50" s="44">
        <f>283+77+45+465+225+101</f>
        <v>1196</v>
      </c>
    </row>
    <row r="51" spans="41:389">
      <c r="AO51" s="15" t="s">
        <v>3567</v>
      </c>
      <c r="AP51" s="15">
        <f>15+25</f>
        <v>40</v>
      </c>
      <c r="DG51" s="123"/>
      <c r="DH51" s="125"/>
      <c r="DI51" s="61" t="s">
        <v>363</v>
      </c>
      <c r="DK51" s="61"/>
      <c r="DM51" s="42" t="s">
        <v>3568</v>
      </c>
      <c r="DO51" s="48"/>
      <c r="DP51" s="136">
        <v>12.7</v>
      </c>
      <c r="DQ51" s="61"/>
      <c r="DS51" s="42" t="s">
        <v>3105</v>
      </c>
      <c r="DT51" s="44">
        <v>590</v>
      </c>
      <c r="FL51" s="15" t="s">
        <v>2841</v>
      </c>
      <c r="FP51" s="69" t="s">
        <v>3569</v>
      </c>
      <c r="FQ51" s="69"/>
      <c r="GB51" s="15" t="s">
        <v>3192</v>
      </c>
      <c r="GC51" s="15">
        <v>100</v>
      </c>
      <c r="GN51" s="176" t="s">
        <v>3570</v>
      </c>
      <c r="GO51" s="61">
        <f>360+18</f>
        <v>378</v>
      </c>
      <c r="GP51" s="104" t="s">
        <v>3527</v>
      </c>
      <c r="GT51" s="176" t="s">
        <v>3571</v>
      </c>
      <c r="GU51" s="61">
        <v>55.29</v>
      </c>
      <c r="GV51" s="183"/>
      <c r="GZ51" s="15" t="s">
        <v>3425</v>
      </c>
      <c r="HA51" s="61">
        <v>50.001</v>
      </c>
      <c r="HX51" s="218" t="s">
        <v>3572</v>
      </c>
      <c r="HY51" s="15">
        <v>17.88</v>
      </c>
      <c r="ID51" s="189" t="s">
        <v>3573</v>
      </c>
      <c r="IE51" s="15">
        <v>26.8</v>
      </c>
      <c r="IJ51" s="204">
        <v>10</v>
      </c>
      <c r="IK51" s="22" t="s">
        <v>2675</v>
      </c>
      <c r="IP51" s="69" t="s">
        <v>3459</v>
      </c>
      <c r="IQ51" s="101">
        <v>92.8</v>
      </c>
      <c r="IV51" s="189"/>
      <c r="IW51" s="196"/>
      <c r="JB51" s="189"/>
      <c r="JC51" s="101"/>
      <c r="JH51" s="189"/>
      <c r="JI51" s="247"/>
      <c r="JN51" s="189" t="s">
        <v>3574</v>
      </c>
      <c r="JO51" s="153">
        <v>3</v>
      </c>
      <c r="JT51" s="274" t="s">
        <v>3575</v>
      </c>
      <c r="JU51" s="282"/>
      <c r="JZ51" s="204">
        <v>34</v>
      </c>
      <c r="KA51" s="283" t="s">
        <v>3576</v>
      </c>
      <c r="KL51" s="290" t="s">
        <v>3577</v>
      </c>
      <c r="KM51" s="302">
        <v>1746</v>
      </c>
      <c r="KR51" s="290" t="s">
        <v>3578</v>
      </c>
      <c r="KS51" s="249">
        <v>19.07</v>
      </c>
      <c r="KX51" s="178" t="s">
        <v>2732</v>
      </c>
      <c r="KY51" s="203">
        <f>KU26+KW52-LA25</f>
        <v>210</v>
      </c>
      <c r="LD51" s="15" t="s">
        <v>3579</v>
      </c>
      <c r="LE51" s="15">
        <v>6.3</v>
      </c>
      <c r="LJ51" s="290" t="s">
        <v>3580</v>
      </c>
      <c r="LK51" s="249">
        <v>810</v>
      </c>
      <c r="LV51" s="65"/>
      <c r="LW51" s="249"/>
      <c r="MB51" s="15" t="s">
        <v>3581</v>
      </c>
      <c r="MC51" s="186">
        <v>523.2</v>
      </c>
      <c r="MF51" s="158" t="s">
        <v>3582</v>
      </c>
      <c r="MG51" s="319">
        <v>100</v>
      </c>
      <c r="MH51" s="204">
        <v>20</v>
      </c>
      <c r="MI51" s="23" t="s">
        <v>2667</v>
      </c>
      <c r="MO51" s="61"/>
      <c r="NV51" s="327" t="s">
        <v>2677</v>
      </c>
      <c r="NW51" s="38">
        <f>SUM(NY22:NY43)</f>
        <v>862.72</v>
      </c>
      <c r="NX51" s="330">
        <v>101.51</v>
      </c>
      <c r="NY51" s="44"/>
    </row>
    <row r="52" spans="41:389">
      <c r="AO52" s="15" t="s">
        <v>3583</v>
      </c>
      <c r="AP52" s="15">
        <v>12.9</v>
      </c>
      <c r="DG52" s="61" t="s">
        <v>3584</v>
      </c>
      <c r="DH52" s="57">
        <v>120</v>
      </c>
      <c r="DI52" s="69" t="s">
        <v>2841</v>
      </c>
      <c r="DK52" s="61"/>
      <c r="DM52" s="42" t="s">
        <v>3192</v>
      </c>
      <c r="DN52" s="44">
        <v>50</v>
      </c>
      <c r="DO52" s="48"/>
      <c r="DP52" s="136">
        <v>11.6</v>
      </c>
      <c r="DQ52" s="61"/>
      <c r="DS52" s="42" t="s">
        <v>3585</v>
      </c>
      <c r="FF52" s="104"/>
      <c r="FP52" s="176" t="s">
        <v>3586</v>
      </c>
      <c r="FQ52" s="61">
        <v>29.95</v>
      </c>
      <c r="GN52" s="176" t="s">
        <v>3587</v>
      </c>
      <c r="GO52" s="15">
        <v>38.9</v>
      </c>
      <c r="GU52" s="61"/>
      <c r="GV52" s="183"/>
      <c r="HF52" s="48"/>
      <c r="HX52" s="218" t="s">
        <v>3588</v>
      </c>
      <c r="HY52" s="15">
        <v>23.86</v>
      </c>
      <c r="IJ52" s="69" t="s">
        <v>3589</v>
      </c>
      <c r="IK52" s="97">
        <f>161+14</f>
        <v>175</v>
      </c>
      <c r="IP52" s="69" t="s">
        <v>3590</v>
      </c>
      <c r="IQ52" s="101">
        <f>220.8+7.27*2</f>
        <v>235.34</v>
      </c>
      <c r="IV52" s="189"/>
      <c r="IW52" s="196"/>
      <c r="JB52" s="196"/>
      <c r="JC52" s="246"/>
      <c r="JH52" s="189"/>
      <c r="JI52" s="196"/>
      <c r="JN52" s="189"/>
      <c r="JZ52" s="204">
        <v>25</v>
      </c>
      <c r="KA52" s="245" t="s">
        <v>2786</v>
      </c>
      <c r="KV52" s="158" t="s">
        <v>3591</v>
      </c>
      <c r="KW52" s="289">
        <v>200</v>
      </c>
      <c r="KX52" s="204">
        <v>20</v>
      </c>
      <c r="KY52" s="283" t="s">
        <v>3592</v>
      </c>
      <c r="LD52" s="290" t="s">
        <v>3593</v>
      </c>
      <c r="LE52" s="249">
        <v>6.8</v>
      </c>
      <c r="LJ52" s="15" t="s">
        <v>3594</v>
      </c>
      <c r="LK52" s="41">
        <v>680</v>
      </c>
      <c r="LQ52" s="246"/>
      <c r="MB52" s="65" t="s">
        <v>3595</v>
      </c>
      <c r="MC52" s="57">
        <f>3.5+2.2</f>
        <v>5.7</v>
      </c>
      <c r="MH52" s="204">
        <v>10</v>
      </c>
      <c r="MI52" s="283" t="s">
        <v>2976</v>
      </c>
      <c r="NV52" s="327" t="s">
        <v>2803</v>
      </c>
      <c r="NW52" s="318">
        <f>SUM(NY31:NY43)</f>
        <v>525.49</v>
      </c>
      <c r="NX52" s="178" t="s">
        <v>2732</v>
      </c>
      <c r="NY52" s="23">
        <f>NU25+NW54-OA23</f>
        <v>70</v>
      </c>
    </row>
    <row r="53" spans="105:389">
      <c r="DA53" s="61"/>
      <c r="DB53" s="61"/>
      <c r="DC53" s="48"/>
      <c r="DD53" s="56"/>
      <c r="DG53" s="61" t="s">
        <v>3596</v>
      </c>
      <c r="DH53" s="57">
        <v>143.96</v>
      </c>
      <c r="DK53" s="61"/>
      <c r="DO53" s="48"/>
      <c r="DP53" s="136">
        <v>2</v>
      </c>
      <c r="DQ53" s="61"/>
      <c r="DS53" s="42" t="s">
        <v>3192</v>
      </c>
      <c r="DT53" s="44">
        <v>80</v>
      </c>
      <c r="FP53" s="176" t="s">
        <v>3597</v>
      </c>
      <c r="FQ53" s="61">
        <v>120</v>
      </c>
      <c r="GN53" s="176" t="s">
        <v>3598</v>
      </c>
      <c r="GO53" s="61">
        <v>33</v>
      </c>
      <c r="GT53" s="15" t="s">
        <v>3531</v>
      </c>
      <c r="GU53" s="185">
        <v>900</v>
      </c>
      <c r="HB53" s="48"/>
      <c r="HC53" s="48"/>
      <c r="HD53" s="48"/>
      <c r="HE53" s="48"/>
      <c r="HF53" s="48"/>
      <c r="HX53" s="218" t="s">
        <v>3599</v>
      </c>
      <c r="HY53" s="15">
        <v>19.89</v>
      </c>
      <c r="ID53" s="216" t="s">
        <v>3426</v>
      </c>
      <c r="IE53" s="216"/>
      <c r="II53" s="234"/>
      <c r="IJ53" s="69" t="s">
        <v>3600</v>
      </c>
      <c r="IK53" s="97">
        <v>87.8</v>
      </c>
      <c r="IP53" s="188" t="s">
        <v>3601</v>
      </c>
      <c r="IQ53" s="101">
        <v>84.9</v>
      </c>
      <c r="IV53" s="189"/>
      <c r="JB53" s="196"/>
      <c r="JC53" s="153"/>
      <c r="JH53" s="189"/>
      <c r="JI53" s="196"/>
      <c r="JX53" s="158" t="s">
        <v>3602</v>
      </c>
      <c r="JY53" s="171">
        <v>200</v>
      </c>
      <c r="JZ53" s="204">
        <v>7</v>
      </c>
      <c r="KA53" s="245" t="s">
        <v>3149</v>
      </c>
      <c r="KL53" s="290"/>
      <c r="KM53" s="249"/>
      <c r="KX53" s="204">
        <v>10</v>
      </c>
      <c r="KY53" s="245" t="s">
        <v>3603</v>
      </c>
      <c r="LD53" s="15" t="s">
        <v>3604</v>
      </c>
      <c r="LE53" s="15">
        <f>53.6+6.5</f>
        <v>60.1</v>
      </c>
      <c r="LJ53" s="15" t="s">
        <v>3605</v>
      </c>
      <c r="LK53" s="249">
        <v>262</v>
      </c>
      <c r="LQ53" s="61"/>
      <c r="LW53" s="246"/>
      <c r="MB53" s="65" t="s">
        <v>3606</v>
      </c>
      <c r="MC53" s="249">
        <v>15.5</v>
      </c>
      <c r="MG53" s="56"/>
      <c r="MH53" s="204">
        <v>20</v>
      </c>
      <c r="MI53" s="283" t="s">
        <v>3607</v>
      </c>
      <c r="NX53" s="204">
        <v>20</v>
      </c>
      <c r="NY53" s="23" t="s">
        <v>2976</v>
      </c>
    </row>
    <row r="54" spans="105:389">
      <c r="DA54" s="61"/>
      <c r="DB54" s="61"/>
      <c r="DC54" s="48"/>
      <c r="DD54" s="56"/>
      <c r="DG54" s="42" t="s">
        <v>3608</v>
      </c>
      <c r="DH54" s="44">
        <v>51</v>
      </c>
      <c r="DK54" s="61"/>
      <c r="DO54" s="48"/>
      <c r="DP54" s="136">
        <v>28.8</v>
      </c>
      <c r="DQ54" s="61"/>
      <c r="FP54" s="176" t="s">
        <v>3609</v>
      </c>
      <c r="FQ54" s="61">
        <v>108.12</v>
      </c>
      <c r="GO54" s="61"/>
      <c r="GT54" s="185" t="s">
        <v>3610</v>
      </c>
      <c r="HB54" s="48"/>
      <c r="HC54" s="48"/>
      <c r="HD54" s="192"/>
      <c r="HE54" s="48"/>
      <c r="HF54" s="48"/>
      <c r="HX54" s="218" t="s">
        <v>3611</v>
      </c>
      <c r="HY54" s="15">
        <f>30.9+469.82+100.14+34.91</f>
        <v>635.77</v>
      </c>
      <c r="ID54" s="214" t="s">
        <v>3612</v>
      </c>
      <c r="IE54" s="15">
        <f>30+139.5</f>
        <v>169.5</v>
      </c>
      <c r="II54" s="234"/>
      <c r="IJ54" s="69" t="s">
        <v>3613</v>
      </c>
      <c r="IK54" s="97">
        <f>40.6+11.5</f>
        <v>52.1</v>
      </c>
      <c r="IP54" s="189" t="s">
        <v>3614</v>
      </c>
      <c r="IQ54" s="101">
        <v>105.8</v>
      </c>
      <c r="IV54" s="189"/>
      <c r="JB54" s="196"/>
      <c r="JC54" s="196"/>
      <c r="JH54" s="189"/>
      <c r="JZ54" s="284">
        <v>20</v>
      </c>
      <c r="KA54" s="285" t="s">
        <v>3615</v>
      </c>
      <c r="KS54" s="61"/>
      <c r="KW54" s="48"/>
      <c r="KX54" s="204">
        <v>10</v>
      </c>
      <c r="KY54" s="245" t="s">
        <v>2667</v>
      </c>
      <c r="LD54" s="15" t="s">
        <v>3616</v>
      </c>
      <c r="LE54" s="15">
        <v>70</v>
      </c>
      <c r="LJ54" s="15" t="s">
        <v>3617</v>
      </c>
      <c r="LK54" s="15">
        <v>7.9</v>
      </c>
      <c r="LW54" s="61"/>
      <c r="MB54" s="65" t="s">
        <v>3618</v>
      </c>
      <c r="MC54" s="61">
        <v>42.9</v>
      </c>
      <c r="MG54" s="56"/>
      <c r="MH54" s="204">
        <v>90</v>
      </c>
      <c r="MI54" s="283" t="s">
        <v>3619</v>
      </c>
      <c r="NV54" s="158" t="s">
        <v>3620</v>
      </c>
      <c r="NW54" s="171">
        <v>-500</v>
      </c>
      <c r="NX54" s="204">
        <v>20</v>
      </c>
      <c r="NY54" s="334" t="s">
        <v>2667</v>
      </c>
    </row>
    <row r="55" spans="41:391">
      <c r="AO55" s="15" t="s">
        <v>3621</v>
      </c>
      <c r="AP55" s="15">
        <v>600</v>
      </c>
      <c r="DA55" s="61"/>
      <c r="DB55" s="61"/>
      <c r="DC55" s="48"/>
      <c r="DD55" s="56"/>
      <c r="DE55" s="61"/>
      <c r="DG55" s="61" t="s">
        <v>3622</v>
      </c>
      <c r="DH55" s="44">
        <f>500+356</f>
        <v>856</v>
      </c>
      <c r="DI55" s="104" t="s">
        <v>3527</v>
      </c>
      <c r="DK55" s="61"/>
      <c r="DO55" s="48"/>
      <c r="DP55" s="136">
        <v>25.5</v>
      </c>
      <c r="DQ55" s="61"/>
      <c r="FL55" s="104"/>
      <c r="GN55" s="15" t="s">
        <v>3105</v>
      </c>
      <c r="GO55" s="15">
        <v>800</v>
      </c>
      <c r="GT55" s="15" t="s">
        <v>3425</v>
      </c>
      <c r="GU55" s="61">
        <v>44</v>
      </c>
      <c r="HB55" s="48"/>
      <c r="HC55" s="48"/>
      <c r="HD55" s="192"/>
      <c r="HE55" s="48"/>
      <c r="HF55" s="48"/>
      <c r="HX55" s="15" t="s">
        <v>3623</v>
      </c>
      <c r="HY55" s="15">
        <v>7329.5</v>
      </c>
      <c r="ID55" s="214" t="s">
        <v>3624</v>
      </c>
      <c r="IE55" s="15">
        <v>15.32</v>
      </c>
      <c r="II55" s="236"/>
      <c r="IJ55" s="69" t="s">
        <v>3625</v>
      </c>
      <c r="IK55" s="97">
        <v>10.49</v>
      </c>
      <c r="IP55" s="189" t="s">
        <v>3626</v>
      </c>
      <c r="IQ55" s="101"/>
      <c r="IV55" s="189"/>
      <c r="JB55" s="188"/>
      <c r="JC55" s="196"/>
      <c r="JH55" s="189"/>
      <c r="JZ55" s="204">
        <v>20</v>
      </c>
      <c r="KA55" s="245" t="s">
        <v>3627</v>
      </c>
      <c r="KW55" s="48"/>
      <c r="KX55" s="204">
        <v>40</v>
      </c>
      <c r="KY55" s="245" t="s">
        <v>3628</v>
      </c>
      <c r="LE55" s="61"/>
      <c r="LJ55" s="15" t="s">
        <v>3629</v>
      </c>
      <c r="LK55" s="61">
        <v>49</v>
      </c>
      <c r="MC55" s="246"/>
      <c r="MH55" s="65" t="s">
        <v>3630</v>
      </c>
      <c r="MI55" s="249">
        <v>7.8</v>
      </c>
      <c r="NI55" s="21"/>
      <c r="NV55" s="166" t="s">
        <v>3631</v>
      </c>
      <c r="NW55" s="56"/>
      <c r="NX55" s="65" t="s">
        <v>3606</v>
      </c>
      <c r="NY55" s="57">
        <v>47.9</v>
      </c>
      <c r="OA55" s="21"/>
    </row>
    <row r="56" spans="41:397">
      <c r="AO56" s="15" t="s">
        <v>3632</v>
      </c>
      <c r="AP56" s="15">
        <v>300</v>
      </c>
      <c r="DA56" s="61"/>
      <c r="DB56" s="61"/>
      <c r="DC56" s="126"/>
      <c r="DD56" s="127"/>
      <c r="DE56" s="61"/>
      <c r="DG56" s="61" t="s">
        <v>3633</v>
      </c>
      <c r="DH56" s="44">
        <v>30</v>
      </c>
      <c r="DK56" s="61"/>
      <c r="DO56" s="48" t="s">
        <v>3634</v>
      </c>
      <c r="DP56" s="136">
        <v>-1122.52</v>
      </c>
      <c r="DQ56" s="61"/>
      <c r="FP56" s="15" t="s">
        <v>3105</v>
      </c>
      <c r="FQ56" s="48">
        <v>753.05</v>
      </c>
      <c r="GN56" s="15" t="s">
        <v>3635</v>
      </c>
      <c r="GO56" s="48"/>
      <c r="HB56" s="48"/>
      <c r="HC56" s="48"/>
      <c r="HD56" s="192"/>
      <c r="HE56" s="48"/>
      <c r="HF56" s="48"/>
      <c r="HX56" s="189"/>
      <c r="ID56" s="217" t="s">
        <v>3636</v>
      </c>
      <c r="IE56" s="166">
        <v>67.61</v>
      </c>
      <c r="IJ56" s="69" t="s">
        <v>3611</v>
      </c>
      <c r="IK56" s="97">
        <v>135.09</v>
      </c>
      <c r="IP56" s="189" t="s">
        <v>1346</v>
      </c>
      <c r="IQ56" s="101">
        <v>47.05</v>
      </c>
      <c r="JB56" s="196"/>
      <c r="JC56" s="164"/>
      <c r="JH56" s="189"/>
      <c r="JZ56" s="204">
        <v>80</v>
      </c>
      <c r="KA56" s="245" t="s">
        <v>3637</v>
      </c>
      <c r="KM56" s="61"/>
      <c r="KX56" s="204">
        <v>20</v>
      </c>
      <c r="KY56" s="245" t="s">
        <v>3638</v>
      </c>
      <c r="MC56" s="61"/>
      <c r="MH56" s="65" t="s">
        <v>3639</v>
      </c>
      <c r="MI56" s="15">
        <f>327+98.1</f>
        <v>425.1</v>
      </c>
      <c r="NX56" s="15" t="s">
        <v>3178</v>
      </c>
      <c r="NY56" s="61">
        <v>300</v>
      </c>
      <c r="OG56" s="21"/>
    </row>
    <row r="57" spans="105:389">
      <c r="DA57" s="61"/>
      <c r="DB57" s="61"/>
      <c r="DC57" s="48"/>
      <c r="DD57" s="56"/>
      <c r="DE57" s="61"/>
      <c r="DG57" s="42" t="s">
        <v>3640</v>
      </c>
      <c r="DH57" s="44">
        <v>30</v>
      </c>
      <c r="DK57" s="61"/>
      <c r="DO57" s="48" t="s">
        <v>3641</v>
      </c>
      <c r="DP57" s="136">
        <f>SUM(DP44:DP56)</f>
        <v>1647.79</v>
      </c>
      <c r="DQ57" s="61"/>
      <c r="FP57" s="15" t="s">
        <v>3642</v>
      </c>
      <c r="FQ57" s="61"/>
      <c r="GN57" s="15" t="s">
        <v>3192</v>
      </c>
      <c r="GO57" s="61">
        <v>25</v>
      </c>
      <c r="HB57" s="48"/>
      <c r="HC57" s="48"/>
      <c r="HD57" s="192"/>
      <c r="HE57" s="48"/>
      <c r="HF57" s="48"/>
      <c r="HX57" s="189"/>
      <c r="ID57" s="214" t="s">
        <v>3643</v>
      </c>
      <c r="IE57" s="219">
        <v>-25.98</v>
      </c>
      <c r="IJ57" s="216" t="s">
        <v>3644</v>
      </c>
      <c r="IK57" s="216"/>
      <c r="IP57" s="189" t="s">
        <v>3645</v>
      </c>
      <c r="IQ57" s="246">
        <v>22.2</v>
      </c>
      <c r="JB57" s="189"/>
      <c r="JC57" s="247"/>
      <c r="JZ57" s="204">
        <v>6</v>
      </c>
      <c r="KA57" s="245" t="s">
        <v>3646</v>
      </c>
      <c r="KX57" s="204">
        <v>10</v>
      </c>
      <c r="KY57" s="245" t="s">
        <v>3647</v>
      </c>
      <c r="MH57" s="65" t="s">
        <v>3648</v>
      </c>
      <c r="MI57" s="61">
        <v>87.04</v>
      </c>
      <c r="NU57" s="21"/>
      <c r="NX57" s="15" t="s">
        <v>3649</v>
      </c>
      <c r="NY57" s="61">
        <v>1.63</v>
      </c>
    </row>
    <row r="58" spans="105:347">
      <c r="DA58" s="61"/>
      <c r="DB58" s="61"/>
      <c r="DC58" s="48"/>
      <c r="DD58" s="56"/>
      <c r="DE58" s="61"/>
      <c r="DG58" s="42" t="s">
        <v>3650</v>
      </c>
      <c r="DH58" s="44">
        <v>58.2</v>
      </c>
      <c r="DK58" s="61"/>
      <c r="DQ58" s="61"/>
      <c r="FP58" s="15" t="s">
        <v>3192</v>
      </c>
      <c r="FQ58" s="15">
        <v>20</v>
      </c>
      <c r="GV58" s="183"/>
      <c r="HB58" s="48"/>
      <c r="HC58" s="48"/>
      <c r="HD58" s="192"/>
      <c r="HE58" s="48"/>
      <c r="HF58" s="48"/>
      <c r="HX58" s="189"/>
      <c r="ID58" s="218" t="s">
        <v>3651</v>
      </c>
      <c r="IE58" s="15">
        <v>8.8</v>
      </c>
      <c r="IJ58" s="189" t="s">
        <v>3652</v>
      </c>
      <c r="IK58" s="15">
        <v>150</v>
      </c>
      <c r="IP58" s="196" t="s">
        <v>3653</v>
      </c>
      <c r="IQ58" s="153">
        <v>22.6</v>
      </c>
      <c r="JB58" s="189"/>
      <c r="JC58" s="196"/>
      <c r="JZ58" s="204">
        <v>50</v>
      </c>
      <c r="KA58" s="245" t="s">
        <v>2667</v>
      </c>
      <c r="KX58" s="204">
        <v>10</v>
      </c>
      <c r="KY58" s="245" t="s">
        <v>3134</v>
      </c>
      <c r="ME58" s="21"/>
      <c r="MH58" s="65" t="s">
        <v>3654</v>
      </c>
      <c r="MI58" s="249">
        <v>40</v>
      </c>
    </row>
    <row r="59" spans="105:367">
      <c r="DA59" s="61"/>
      <c r="DB59" s="61"/>
      <c r="DC59" s="48"/>
      <c r="DD59" s="127"/>
      <c r="DE59" s="61"/>
      <c r="DG59" s="42" t="s">
        <v>3655</v>
      </c>
      <c r="DH59" s="44">
        <f>21.5+57.6</f>
        <v>79.1</v>
      </c>
      <c r="HB59" s="48"/>
      <c r="HC59" s="48"/>
      <c r="HD59" s="192"/>
      <c r="HE59" s="48"/>
      <c r="HF59" s="48"/>
      <c r="ID59" s="15" t="s">
        <v>3656</v>
      </c>
      <c r="IE59" s="15">
        <f>2000+1311.79</f>
        <v>3311.79</v>
      </c>
      <c r="IJ59" s="189" t="s">
        <v>3651</v>
      </c>
      <c r="IK59" s="15">
        <v>5.4</v>
      </c>
      <c r="IP59" s="196"/>
      <c r="IQ59" s="196"/>
      <c r="JB59" s="189"/>
      <c r="JC59" s="196"/>
      <c r="JW59" s="21"/>
      <c r="JZ59" s="15" t="s">
        <v>3657</v>
      </c>
      <c r="KA59" s="15">
        <v>31.001</v>
      </c>
      <c r="KC59" s="21"/>
      <c r="KX59" s="204">
        <v>8</v>
      </c>
      <c r="KY59" s="245" t="s">
        <v>3410</v>
      </c>
      <c r="LG59" s="21"/>
      <c r="MH59" s="65" t="s">
        <v>3658</v>
      </c>
      <c r="MI59" s="57">
        <v>14.4</v>
      </c>
      <c r="NC59" s="21"/>
    </row>
    <row r="60" spans="105:379">
      <c r="DA60" s="61"/>
      <c r="DB60" s="61"/>
      <c r="DC60" s="48"/>
      <c r="DD60" s="56"/>
      <c r="DE60" s="61"/>
      <c r="DG60" s="42" t="s">
        <v>3659</v>
      </c>
      <c r="DH60" s="44">
        <v>193.38</v>
      </c>
      <c r="HB60" s="48"/>
      <c r="HC60" s="48"/>
      <c r="HD60" s="192"/>
      <c r="HE60" s="48"/>
      <c r="HF60" s="48"/>
      <c r="ID60" s="189"/>
      <c r="IJ60" s="189"/>
      <c r="IP60" s="196"/>
      <c r="IQ60" s="196"/>
      <c r="JB60" s="189"/>
      <c r="JZ60" s="15" t="s">
        <v>3660</v>
      </c>
      <c r="KA60" s="186">
        <f>30/5.217</f>
        <v>5.75043128234618</v>
      </c>
      <c r="KX60" s="204">
        <v>10</v>
      </c>
      <c r="KY60" s="245" t="s">
        <v>3661</v>
      </c>
      <c r="MI60" s="246"/>
      <c r="NO60" s="21"/>
    </row>
    <row r="61" spans="105:361">
      <c r="DA61" s="61"/>
      <c r="DB61" s="61"/>
      <c r="DC61" s="48"/>
      <c r="DD61" s="56"/>
      <c r="DE61" s="61"/>
      <c r="DG61" s="42" t="s">
        <v>3662</v>
      </c>
      <c r="DH61" s="44">
        <v>159</v>
      </c>
      <c r="HB61" s="48"/>
      <c r="HC61" s="48"/>
      <c r="HD61" s="192"/>
      <c r="HE61" s="48"/>
      <c r="HF61" s="48"/>
      <c r="ID61" s="189"/>
      <c r="IJ61" s="189"/>
      <c r="IP61" s="188"/>
      <c r="IQ61" s="164"/>
      <c r="JB61" s="189"/>
      <c r="JZ61" s="15" t="s">
        <v>3663</v>
      </c>
      <c r="KA61" s="15">
        <v>21.81</v>
      </c>
      <c r="KX61" s="204">
        <v>40</v>
      </c>
      <c r="KY61" s="245" t="s">
        <v>3664</v>
      </c>
      <c r="LA61" s="21"/>
      <c r="MI61" s="61"/>
      <c r="MW61" s="21"/>
    </row>
    <row r="62" spans="109:325">
      <c r="DE62" s="61"/>
      <c r="DG62" s="42" t="s">
        <v>3665</v>
      </c>
      <c r="DH62" s="44">
        <v>88</v>
      </c>
      <c r="DI62" s="48"/>
      <c r="HB62" s="48"/>
      <c r="HC62" s="48"/>
      <c r="HD62" s="48"/>
      <c r="HE62" s="48"/>
      <c r="HF62" s="48"/>
      <c r="ID62" s="189"/>
      <c r="IJ62" s="216"/>
      <c r="IK62" s="216"/>
      <c r="IP62" s="196"/>
      <c r="IQ62" s="247"/>
      <c r="JB62" s="189"/>
      <c r="JZ62" s="15" t="s">
        <v>3666</v>
      </c>
      <c r="KA62" s="15">
        <v>11.25</v>
      </c>
      <c r="KU62" s="21"/>
      <c r="KX62" s="290" t="s">
        <v>3544</v>
      </c>
      <c r="KY62" s="249">
        <v>14.4</v>
      </c>
      <c r="LM62" s="21"/>
    </row>
    <row r="63" spans="109:355">
      <c r="DE63" s="61"/>
      <c r="DG63" s="42" t="s">
        <v>3667</v>
      </c>
      <c r="DH63" s="44">
        <v>51.9</v>
      </c>
      <c r="HB63" s="48"/>
      <c r="HC63" s="48"/>
      <c r="HD63" s="48"/>
      <c r="HE63" s="48"/>
      <c r="ID63" s="189"/>
      <c r="IP63" s="189"/>
      <c r="IQ63" s="196"/>
      <c r="JZ63" s="15" t="s">
        <v>3262</v>
      </c>
      <c r="KA63" s="15">
        <v>117.5</v>
      </c>
      <c r="LS63" s="21"/>
      <c r="LY63" s="21"/>
      <c r="MQ63" s="21"/>
    </row>
    <row r="64" spans="111:349">
      <c r="DG64" s="42" t="s">
        <v>3094</v>
      </c>
      <c r="DH64" s="44">
        <v>1500</v>
      </c>
      <c r="ID64" s="189"/>
      <c r="IP64" s="189"/>
      <c r="IQ64" s="196"/>
      <c r="IY64" s="21"/>
      <c r="JE64" s="21"/>
      <c r="JZ64" s="15" t="s">
        <v>3668</v>
      </c>
      <c r="KA64" s="15">
        <v>36.2</v>
      </c>
      <c r="KX64" s="290"/>
      <c r="KY64" s="249"/>
      <c r="MK64" s="21"/>
    </row>
    <row r="65" spans="250:287">
      <c r="IP65" s="189"/>
      <c r="JK65" s="21"/>
      <c r="JQ65" s="21"/>
      <c r="JZ65" s="48" t="s">
        <v>3669</v>
      </c>
      <c r="KA65" s="15">
        <v>9.8</v>
      </c>
    </row>
    <row r="66" spans="244:287">
      <c r="IJ66" s="188"/>
      <c r="IK66" s="166"/>
      <c r="IP66" s="189"/>
      <c r="JZ66" s="15" t="s">
        <v>3670</v>
      </c>
      <c r="KA66" s="15">
        <v>9.77</v>
      </c>
    </row>
    <row r="67" spans="245:311">
      <c r="IK67" s="219"/>
      <c r="IM67" s="21"/>
      <c r="IP67" s="189"/>
      <c r="IS67" s="21"/>
      <c r="JZ67" s="15" t="s">
        <v>3671</v>
      </c>
      <c r="KA67" s="15">
        <v>11.9</v>
      </c>
      <c r="KI67" s="21"/>
      <c r="KO67" s="21"/>
      <c r="KY67" s="61"/>
    </row>
    <row r="68" spans="244:287">
      <c r="IJ68" s="189"/>
      <c r="IP68" s="189"/>
      <c r="JY68" s="15" t="s">
        <v>3260</v>
      </c>
      <c r="JZ68" s="15" t="s">
        <v>3672</v>
      </c>
      <c r="KA68" s="15">
        <v>6.62</v>
      </c>
    </row>
    <row r="69" spans="223:287">
      <c r="HO69" s="21"/>
      <c r="IG69" s="21"/>
      <c r="IJ69" s="189"/>
      <c r="JZ69" s="258" t="s">
        <v>3673</v>
      </c>
      <c r="KA69" s="15">
        <v>69</v>
      </c>
    </row>
    <row r="70" spans="244:287">
      <c r="IJ70" s="189"/>
      <c r="JZ70" s="258" t="s">
        <v>3674</v>
      </c>
      <c r="KA70" s="15">
        <v>8</v>
      </c>
    </row>
    <row r="71" spans="244:287">
      <c r="IJ71" s="189"/>
      <c r="JZ71" s="349" t="s">
        <v>3675</v>
      </c>
      <c r="KA71" s="61">
        <v>29.7</v>
      </c>
    </row>
    <row r="72" spans="244:287">
      <c r="IJ72" s="189"/>
      <c r="JZ72" s="258" t="s">
        <v>3676</v>
      </c>
      <c r="KA72" s="15">
        <v>8.2</v>
      </c>
    </row>
    <row r="73" spans="244:244">
      <c r="IJ73" s="189"/>
    </row>
    <row r="74" spans="217:217">
      <c r="HI74" s="21"/>
    </row>
    <row r="76" spans="205:205">
      <c r="GW76" s="21"/>
    </row>
    <row r="77" spans="229:229">
      <c r="HU77" s="21"/>
    </row>
    <row r="78" spans="211:211">
      <c r="HC78" s="21"/>
    </row>
    <row r="79" spans="235:235">
      <c r="IA79" s="21"/>
    </row>
  </sheetData>
  <mergeCells count="276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NT1:NU1"/>
    <mergeCell ref="NZ1:OA1"/>
    <mergeCell ref="OF1:OG1"/>
    <mergeCell ref="LJ6:LK6"/>
    <mergeCell ref="LV6:LW6"/>
    <mergeCell ref="LP7:LQ7"/>
    <mergeCell ref="DO14:DP14"/>
    <mergeCell ref="HJ14:HK14"/>
    <mergeCell ref="KD15:KE15"/>
    <mergeCell ref="DI18:DJ18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KN41:KO41"/>
    <mergeCell ref="EW23:EW25"/>
    <mergeCell ref="FC21:FC23"/>
    <mergeCell ref="GV49:GV52"/>
    <mergeCell ref="ND21:NE22"/>
    <mergeCell ref="A3:B4"/>
    <mergeCell ref="G3:H4"/>
  </mergeCells>
  <pageMargins left="0.25" right="0.25" top="0.75" bottom="0.75" header="0.3" footer="0.3"/>
  <pageSetup paperSize="9" scale="10" orientation="landscape"/>
  <headerFooter/>
  <ignoredErrors>
    <ignoredError sqref="JY41 LY3 DB8 GC12 HQ33 KK43 KQ41 KQ36 KQ38 MW3 NQ30:NQ3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V47"/>
  <sheetViews>
    <sheetView workbookViewId="0">
      <selection activeCell="AT2" sqref="AT2"/>
    </sheetView>
  </sheetViews>
  <sheetFormatPr defaultColWidth="9" defaultRowHeight="13.2"/>
  <cols>
    <col min="1" max="1" width="0.851851851851852" customWidth="1"/>
    <col min="2" max="2" width="0.851851851851852" style="30" customWidth="1"/>
    <col min="3" max="5" width="0.851851851851852" customWidth="1"/>
    <col min="6" max="6" width="0.851851851851852" style="30" customWidth="1"/>
    <col min="7" max="9" width="0.851851851851852" customWidth="1"/>
    <col min="10" max="10" width="0.851851851851852" style="30" customWidth="1"/>
    <col min="11" max="13" width="0.851851851851852" customWidth="1"/>
    <col min="14" max="14" width="0.851851851851852" style="30" customWidth="1"/>
    <col min="15" max="16" width="0.851851851851852" customWidth="1"/>
    <col min="17" max="21" width="0.425925925925926" customWidth="1"/>
    <col min="22" max="22" width="0.425925925925926" style="30" customWidth="1"/>
    <col min="23" max="23" width="0.425925925925926" customWidth="1"/>
    <col min="24" max="24" width="0.425925925925926" style="31" customWidth="1"/>
    <col min="25" max="36" width="0.425925925925926" customWidth="1"/>
    <col min="37" max="37" width="2.28703703703704" customWidth="1"/>
    <col min="38" max="38" width="11.4259259259259" customWidth="1"/>
    <col min="39" max="39" width="4" customWidth="1"/>
    <col min="40" max="40" width="7.57407407407407" customWidth="1"/>
    <col min="41" max="41" width="2.13888888888889" customWidth="1"/>
    <col min="42" max="42" width="11.4259259259259" customWidth="1"/>
    <col min="43" max="43" width="4" customWidth="1"/>
    <col min="44" max="44" width="7.57407407407407" customWidth="1"/>
    <col min="45" max="45" width="3.13888888888889" customWidth="1"/>
    <col min="46" max="46" width="11.4259259259259" customWidth="1"/>
    <col min="47" max="47" width="4" customWidth="1"/>
    <col min="48" max="48" width="7.57407407407407" customWidth="1"/>
  </cols>
  <sheetData>
    <row r="1" ht="5.45" customHeight="1"/>
    <row r="2" ht="12" customHeight="1" spans="38:46">
      <c r="AL2" s="39">
        <v>0.036</v>
      </c>
      <c r="AM2" t="s">
        <v>3677</v>
      </c>
      <c r="AP2" s="39">
        <v>0.0355</v>
      </c>
      <c r="AT2" s="39">
        <v>0.033</v>
      </c>
    </row>
    <row r="3" spans="4:48">
      <c r="D3" t="s">
        <v>3678</v>
      </c>
      <c r="G3" t="s">
        <v>532</v>
      </c>
      <c r="H3" t="s">
        <v>3678</v>
      </c>
      <c r="K3" t="s">
        <v>532</v>
      </c>
      <c r="L3" t="s">
        <v>3678</v>
      </c>
      <c r="O3" t="s">
        <v>532</v>
      </c>
      <c r="R3" s="30" t="s">
        <v>148</v>
      </c>
      <c r="S3" t="s">
        <v>532</v>
      </c>
      <c r="T3" t="s">
        <v>3678</v>
      </c>
      <c r="V3" s="30" t="s">
        <v>148</v>
      </c>
      <c r="W3" t="s">
        <v>532</v>
      </c>
      <c r="X3" s="31" t="s">
        <v>3678</v>
      </c>
      <c r="Z3" s="30" t="s">
        <v>148</v>
      </c>
      <c r="AA3" t="s">
        <v>532</v>
      </c>
      <c r="AB3" t="s">
        <v>3678</v>
      </c>
      <c r="AD3" s="30" t="s">
        <v>1451</v>
      </c>
      <c r="AE3" t="s">
        <v>532</v>
      </c>
      <c r="AF3" t="s">
        <v>3678</v>
      </c>
      <c r="AH3" s="30" t="s">
        <v>1451</v>
      </c>
      <c r="AI3" t="s">
        <v>532</v>
      </c>
      <c r="AJ3" t="s">
        <v>3678</v>
      </c>
      <c r="AL3" s="30" t="s">
        <v>1451</v>
      </c>
      <c r="AM3" t="s">
        <v>532</v>
      </c>
      <c r="AN3" t="s">
        <v>3678</v>
      </c>
      <c r="AP3" s="30" t="s">
        <v>1451</v>
      </c>
      <c r="AQ3" t="s">
        <v>532</v>
      </c>
      <c r="AR3" t="s">
        <v>3678</v>
      </c>
      <c r="AT3" s="30" t="s">
        <v>1324</v>
      </c>
      <c r="AU3" t="s">
        <v>532</v>
      </c>
      <c r="AV3" t="s">
        <v>3678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0.801369863013699</v>
      </c>
      <c r="J4" s="30">
        <v>45108</v>
      </c>
      <c r="K4">
        <v>595</v>
      </c>
      <c r="L4" s="32">
        <f t="shared" ref="L4:L24" si="2">K4*1000*0.05%/365</f>
        <v>0.815068493150685</v>
      </c>
      <c r="N4" s="30">
        <v>45139</v>
      </c>
      <c r="O4">
        <v>740</v>
      </c>
      <c r="P4" s="32">
        <f t="shared" ref="P4:P7" si="3">O4*1000*0.05%/365</f>
        <v>1.01369863013699</v>
      </c>
      <c r="R4" s="30">
        <v>45322</v>
      </c>
      <c r="S4">
        <v>119</v>
      </c>
      <c r="T4" s="32">
        <f t="shared" ref="T4:T34" si="4">S4*1000*3.7%/365</f>
        <v>12.0630136986301</v>
      </c>
      <c r="U4" s="32"/>
      <c r="Z4" s="30">
        <v>45382</v>
      </c>
      <c r="AA4">
        <v>241.7</v>
      </c>
      <c r="AB4" s="32">
        <f t="shared" ref="AB4:AB34" si="5">AA4*1000*3.7%/365</f>
        <v>24.501095890411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</v>
      </c>
      <c r="AL4" s="30">
        <v>45535</v>
      </c>
      <c r="AM4">
        <v>308</v>
      </c>
      <c r="AN4" s="32">
        <f t="shared" ref="AN4:AN34" si="7">AM4*1000*$AL$2/365</f>
        <v>30.3780821917808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</v>
      </c>
    </row>
    <row r="5" spans="2:48">
      <c r="B5" s="30">
        <v>45048</v>
      </c>
      <c r="C5">
        <v>325</v>
      </c>
      <c r="D5" s="32">
        <f t="shared" si="0"/>
        <v>0.445205479452055</v>
      </c>
      <c r="F5" s="30">
        <v>45079</v>
      </c>
      <c r="G5">
        <v>585</v>
      </c>
      <c r="H5" s="32">
        <f t="shared" si="1"/>
        <v>0.801369863013699</v>
      </c>
      <c r="J5" s="30">
        <v>45109</v>
      </c>
      <c r="K5">
        <v>595</v>
      </c>
      <c r="L5" s="32">
        <f t="shared" si="2"/>
        <v>0.815068493150685</v>
      </c>
      <c r="N5" s="30">
        <v>45140</v>
      </c>
      <c r="O5">
        <v>740</v>
      </c>
      <c r="P5" s="32">
        <f t="shared" si="3"/>
        <v>1.01369863013699</v>
      </c>
      <c r="R5" s="30">
        <v>45321</v>
      </c>
      <c r="S5">
        <v>132</v>
      </c>
      <c r="T5" s="32">
        <f t="shared" si="4"/>
        <v>13.3808219178082</v>
      </c>
      <c r="U5" s="32"/>
      <c r="Z5" s="30">
        <v>45381</v>
      </c>
      <c r="AA5">
        <v>241.7</v>
      </c>
      <c r="AB5" s="32">
        <f t="shared" si="5"/>
        <v>24.501095890411</v>
      </c>
      <c r="AD5" s="30">
        <v>45412</v>
      </c>
      <c r="AE5">
        <v>43</v>
      </c>
      <c r="AF5" s="32">
        <f>AE5*1000*3.4%/365</f>
        <v>4.00547945205479</v>
      </c>
      <c r="AH5" s="30">
        <v>45442</v>
      </c>
      <c r="AI5">
        <v>56</v>
      </c>
      <c r="AJ5" s="32">
        <f t="shared" si="6"/>
        <v>5.29315068493151</v>
      </c>
      <c r="AL5" s="30">
        <v>45534</v>
      </c>
      <c r="AM5">
        <v>208</v>
      </c>
      <c r="AN5" s="32">
        <f t="shared" si="7"/>
        <v>20.5150684931507</v>
      </c>
      <c r="AO5" s="32"/>
      <c r="AP5" s="30">
        <v>45565</v>
      </c>
      <c r="AQ5">
        <v>204</v>
      </c>
      <c r="AR5" s="32">
        <f>AQ5*1000*$AP$2/365</f>
        <v>19.841095890411</v>
      </c>
      <c r="AT5" s="30">
        <v>45595</v>
      </c>
      <c r="AU5">
        <v>293</v>
      </c>
      <c r="AV5" s="32">
        <f t="shared" ref="AV5:AV34" si="8">AU5*1000*$AT$2/365</f>
        <v>26.4904109589041</v>
      </c>
    </row>
    <row r="6" spans="2:48">
      <c r="B6" s="30">
        <v>45049</v>
      </c>
      <c r="C6">
        <v>500</v>
      </c>
      <c r="D6" s="32">
        <f t="shared" si="0"/>
        <v>0.684931506849315</v>
      </c>
      <c r="F6" s="30">
        <v>45080</v>
      </c>
      <c r="G6">
        <v>585</v>
      </c>
      <c r="H6" s="32">
        <f t="shared" si="1"/>
        <v>0.801369863013699</v>
      </c>
      <c r="J6" s="30">
        <v>45110</v>
      </c>
      <c r="K6">
        <v>595</v>
      </c>
      <c r="L6" s="32">
        <f t="shared" si="2"/>
        <v>0.815068493150685</v>
      </c>
      <c r="N6" s="30">
        <v>45141</v>
      </c>
      <c r="O6">
        <v>740</v>
      </c>
      <c r="P6" s="32">
        <f t="shared" si="3"/>
        <v>1.01369863013699</v>
      </c>
      <c r="R6" s="30">
        <v>45320</v>
      </c>
      <c r="S6">
        <v>93</v>
      </c>
      <c r="T6" s="32">
        <f t="shared" si="4"/>
        <v>9.42739726027397</v>
      </c>
      <c r="U6" s="32"/>
      <c r="V6" s="30">
        <v>45351</v>
      </c>
      <c r="W6">
        <v>284</v>
      </c>
      <c r="X6" s="31">
        <f t="shared" ref="X6:X14" si="9">W6*1000*3.7%/365</f>
        <v>28.7890410958904</v>
      </c>
      <c r="Z6" s="30">
        <v>45380</v>
      </c>
      <c r="AA6">
        <v>241</v>
      </c>
      <c r="AB6" s="32">
        <f t="shared" si="5"/>
        <v>24.4301369863014</v>
      </c>
      <c r="AD6" s="30">
        <v>45411</v>
      </c>
      <c r="AE6">
        <v>28</v>
      </c>
      <c r="AF6" s="32">
        <f t="shared" ref="AF6:AF34" si="10">AE6*1000*3.45%/365</f>
        <v>2.64657534246575</v>
      </c>
      <c r="AH6" s="30">
        <v>45441</v>
      </c>
      <c r="AI6">
        <v>54</v>
      </c>
      <c r="AJ6" s="32">
        <f t="shared" si="6"/>
        <v>5.1041095890411</v>
      </c>
      <c r="AL6" s="30">
        <v>45533</v>
      </c>
      <c r="AM6">
        <v>208</v>
      </c>
      <c r="AN6" s="32">
        <f t="shared" si="7"/>
        <v>20.5150684931507</v>
      </c>
      <c r="AO6" s="32"/>
      <c r="AP6" s="30">
        <v>45564</v>
      </c>
      <c r="AQ6">
        <v>304</v>
      </c>
      <c r="AR6" s="32">
        <f t="shared" ref="AR6:AR34" si="11">AQ6*1000*$AP$2/365</f>
        <v>29.5671232876712</v>
      </c>
      <c r="AT6" s="30">
        <v>45594</v>
      </c>
      <c r="AU6">
        <v>293</v>
      </c>
      <c r="AV6" s="32">
        <f t="shared" si="8"/>
        <v>26.4904109589041</v>
      </c>
    </row>
    <row r="7" spans="2:48">
      <c r="B7" s="30">
        <v>45050</v>
      </c>
      <c r="C7">
        <v>500</v>
      </c>
      <c r="D7" s="32">
        <f t="shared" si="0"/>
        <v>0.684931506849315</v>
      </c>
      <c r="F7" s="30">
        <v>45081</v>
      </c>
      <c r="G7">
        <v>585</v>
      </c>
      <c r="H7" s="32">
        <f t="shared" si="1"/>
        <v>0.801369863013699</v>
      </c>
      <c r="J7" s="30">
        <v>45111</v>
      </c>
      <c r="K7">
        <v>595</v>
      </c>
      <c r="L7" s="32">
        <f t="shared" si="2"/>
        <v>0.815068493150685</v>
      </c>
      <c r="N7" s="30">
        <v>45142</v>
      </c>
      <c r="O7">
        <v>740</v>
      </c>
      <c r="P7" s="32">
        <f t="shared" si="3"/>
        <v>1.01369863013699</v>
      </c>
      <c r="R7" s="30">
        <v>45319</v>
      </c>
      <c r="S7">
        <v>93</v>
      </c>
      <c r="T7" s="32">
        <f t="shared" si="4"/>
        <v>9.42739726027397</v>
      </c>
      <c r="U7" s="32"/>
      <c r="V7" s="30">
        <v>45350</v>
      </c>
      <c r="W7">
        <v>279</v>
      </c>
      <c r="X7" s="31">
        <f t="shared" si="9"/>
        <v>28.2821917808219</v>
      </c>
      <c r="Z7" s="30">
        <v>45379</v>
      </c>
      <c r="AA7">
        <v>241</v>
      </c>
      <c r="AB7" s="32">
        <f t="shared" si="5"/>
        <v>24.4301369863014</v>
      </c>
      <c r="AD7" s="30">
        <v>45410</v>
      </c>
      <c r="AE7">
        <v>9</v>
      </c>
      <c r="AF7" s="32">
        <f t="shared" si="10"/>
        <v>0.850684931506849</v>
      </c>
      <c r="AH7" s="30">
        <v>45440</v>
      </c>
      <c r="AI7">
        <v>54</v>
      </c>
      <c r="AJ7" s="32">
        <f t="shared" si="6"/>
        <v>5.1041095890411</v>
      </c>
      <c r="AL7" s="30">
        <v>45532</v>
      </c>
      <c r="AM7">
        <v>192</v>
      </c>
      <c r="AN7" s="32">
        <f t="shared" si="7"/>
        <v>18.9369863013699</v>
      </c>
      <c r="AO7" s="32"/>
      <c r="AP7" s="30">
        <v>45563</v>
      </c>
      <c r="AQ7">
        <v>304</v>
      </c>
      <c r="AR7" s="32">
        <f t="shared" si="11"/>
        <v>29.5671232876712</v>
      </c>
      <c r="AT7" s="30">
        <v>45593</v>
      </c>
      <c r="AU7">
        <v>276</v>
      </c>
      <c r="AV7" s="32">
        <f t="shared" si="8"/>
        <v>24.9534246575342</v>
      </c>
    </row>
    <row r="8" spans="2:48">
      <c r="B8" s="30">
        <v>45051</v>
      </c>
      <c r="C8">
        <v>500</v>
      </c>
      <c r="D8" s="32">
        <f t="shared" si="0"/>
        <v>0.684931506849315</v>
      </c>
      <c r="F8" s="30">
        <v>45082</v>
      </c>
      <c r="G8">
        <v>585</v>
      </c>
      <c r="H8" s="32">
        <f t="shared" si="1"/>
        <v>0.801369863013699</v>
      </c>
      <c r="J8" s="30">
        <v>45112</v>
      </c>
      <c r="K8">
        <v>595</v>
      </c>
      <c r="L8" s="32">
        <f t="shared" si="2"/>
        <v>0.815068493150685</v>
      </c>
      <c r="N8" s="30">
        <v>45143</v>
      </c>
      <c r="O8">
        <v>740</v>
      </c>
      <c r="P8" s="32">
        <f t="shared" ref="P8:P34" si="12">O8*1000*0.05%/365</f>
        <v>1.01369863013699</v>
      </c>
      <c r="R8" s="30">
        <v>45318</v>
      </c>
      <c r="S8">
        <v>93</v>
      </c>
      <c r="T8" s="32">
        <f t="shared" si="4"/>
        <v>9.42739726027397</v>
      </c>
      <c r="U8" s="32"/>
      <c r="V8" s="30">
        <v>45349</v>
      </c>
      <c r="W8">
        <v>270</v>
      </c>
      <c r="X8" s="31">
        <f t="shared" si="9"/>
        <v>27.3698630136986</v>
      </c>
      <c r="Z8" s="30">
        <v>45378</v>
      </c>
      <c r="AA8">
        <v>241</v>
      </c>
      <c r="AB8" s="32">
        <f t="shared" si="5"/>
        <v>24.4301369863014</v>
      </c>
      <c r="AD8" s="30">
        <v>45409</v>
      </c>
      <c r="AE8">
        <v>9</v>
      </c>
      <c r="AF8" s="32">
        <f t="shared" si="10"/>
        <v>0.850684931506849</v>
      </c>
      <c r="AH8" s="30">
        <v>45439</v>
      </c>
      <c r="AI8">
        <v>44</v>
      </c>
      <c r="AJ8" s="32">
        <f t="shared" si="6"/>
        <v>4.15890410958904</v>
      </c>
      <c r="AL8" s="30">
        <v>45531</v>
      </c>
      <c r="AM8">
        <v>192</v>
      </c>
      <c r="AN8" s="32">
        <f t="shared" si="7"/>
        <v>18.9369863013699</v>
      </c>
      <c r="AO8" s="32"/>
      <c r="AP8" s="30">
        <v>45562</v>
      </c>
      <c r="AQ8">
        <v>204</v>
      </c>
      <c r="AR8" s="32">
        <f t="shared" si="11"/>
        <v>19.841095890411</v>
      </c>
      <c r="AT8" s="30">
        <v>45592</v>
      </c>
      <c r="AU8">
        <v>276</v>
      </c>
      <c r="AV8" s="32">
        <f t="shared" si="8"/>
        <v>24.9534246575342</v>
      </c>
    </row>
    <row r="9" spans="2:48">
      <c r="B9" s="30">
        <v>45052</v>
      </c>
      <c r="C9">
        <v>500</v>
      </c>
      <c r="D9" s="32">
        <f t="shared" si="0"/>
        <v>0.684931506849315</v>
      </c>
      <c r="F9" s="30">
        <v>45083</v>
      </c>
      <c r="G9">
        <v>585</v>
      </c>
      <c r="H9" s="32">
        <f t="shared" si="1"/>
        <v>0.801369863013699</v>
      </c>
      <c r="J9" s="30">
        <v>45113</v>
      </c>
      <c r="K9">
        <v>600</v>
      </c>
      <c r="L9" s="32">
        <f t="shared" si="2"/>
        <v>0.821917808219178</v>
      </c>
      <c r="N9" s="30">
        <v>45144</v>
      </c>
      <c r="O9">
        <v>740</v>
      </c>
      <c r="P9" s="32">
        <f t="shared" si="12"/>
        <v>1.01369863013699</v>
      </c>
      <c r="R9" s="30">
        <v>45317</v>
      </c>
      <c r="S9">
        <v>90</v>
      </c>
      <c r="T9" s="32">
        <f t="shared" si="4"/>
        <v>9.12328767123288</v>
      </c>
      <c r="U9" s="32"/>
      <c r="V9" s="30">
        <v>45348</v>
      </c>
      <c r="W9">
        <v>272</v>
      </c>
      <c r="X9" s="31">
        <f t="shared" si="9"/>
        <v>27.572602739726</v>
      </c>
      <c r="Z9" s="30">
        <v>45377</v>
      </c>
      <c r="AA9">
        <v>231</v>
      </c>
      <c r="AB9" s="32">
        <f t="shared" si="5"/>
        <v>23.4164383561644</v>
      </c>
      <c r="AD9" s="30">
        <v>45408</v>
      </c>
      <c r="AE9">
        <v>9</v>
      </c>
      <c r="AF9" s="32">
        <f t="shared" si="10"/>
        <v>0.850684931506849</v>
      </c>
      <c r="AH9" s="30">
        <v>45438</v>
      </c>
      <c r="AI9">
        <v>42</v>
      </c>
      <c r="AJ9" s="32">
        <f t="shared" si="6"/>
        <v>3.96986301369863</v>
      </c>
      <c r="AL9" s="30">
        <v>45530</v>
      </c>
      <c r="AM9">
        <v>192</v>
      </c>
      <c r="AN9" s="32">
        <f t="shared" si="7"/>
        <v>18.9369863013699</v>
      </c>
      <c r="AO9" s="32"/>
      <c r="AP9" s="30">
        <v>45561</v>
      </c>
      <c r="AQ9">
        <v>287</v>
      </c>
      <c r="AR9" s="32">
        <f t="shared" si="11"/>
        <v>27.913698630137</v>
      </c>
      <c r="AT9" s="30">
        <v>45591</v>
      </c>
      <c r="AU9">
        <v>276</v>
      </c>
      <c r="AV9" s="32">
        <f t="shared" si="8"/>
        <v>24.9534246575342</v>
      </c>
    </row>
    <row r="10" spans="2:48">
      <c r="B10" s="30">
        <v>45053</v>
      </c>
      <c r="C10">
        <v>500</v>
      </c>
      <c r="D10" s="32">
        <f t="shared" si="0"/>
        <v>0.684931506849315</v>
      </c>
      <c r="F10" s="30">
        <v>45084</v>
      </c>
      <c r="G10">
        <v>585</v>
      </c>
      <c r="H10" s="32">
        <f t="shared" si="1"/>
        <v>0.801369863013699</v>
      </c>
      <c r="J10" s="30">
        <v>45114</v>
      </c>
      <c r="K10">
        <v>610</v>
      </c>
      <c r="L10" s="32">
        <f t="shared" si="2"/>
        <v>0.835616438356164</v>
      </c>
      <c r="N10" s="30">
        <v>45145</v>
      </c>
      <c r="O10">
        <v>685</v>
      </c>
      <c r="P10" s="32">
        <f t="shared" si="12"/>
        <v>0.938356164383562</v>
      </c>
      <c r="R10" s="30">
        <v>45316</v>
      </c>
      <c r="S10">
        <v>84</v>
      </c>
      <c r="T10" s="32">
        <f t="shared" si="4"/>
        <v>8.51506849315069</v>
      </c>
      <c r="U10" s="32"/>
      <c r="V10" s="30">
        <v>45347</v>
      </c>
      <c r="W10">
        <v>277</v>
      </c>
      <c r="X10" s="31">
        <f t="shared" si="9"/>
        <v>28.0794520547945</v>
      </c>
      <c r="Z10" s="30">
        <v>45376</v>
      </c>
      <c r="AA10">
        <v>269</v>
      </c>
      <c r="AB10" s="32">
        <f t="shared" si="5"/>
        <v>27.2684931506849</v>
      </c>
      <c r="AD10" s="30">
        <v>45407</v>
      </c>
      <c r="AE10">
        <v>5</v>
      </c>
      <c r="AF10" s="32">
        <f t="shared" si="10"/>
        <v>0.472602739726027</v>
      </c>
      <c r="AH10" s="30">
        <v>45437</v>
      </c>
      <c r="AI10">
        <v>42</v>
      </c>
      <c r="AJ10" s="32">
        <f t="shared" si="6"/>
        <v>3.96986301369863</v>
      </c>
      <c r="AL10" s="30">
        <v>45529</v>
      </c>
      <c r="AM10">
        <v>192</v>
      </c>
      <c r="AN10" s="32">
        <f t="shared" si="7"/>
        <v>18.9369863013699</v>
      </c>
      <c r="AO10" s="32"/>
      <c r="AP10" s="30">
        <v>45560</v>
      </c>
      <c r="AQ10">
        <v>184</v>
      </c>
      <c r="AR10" s="32">
        <f t="shared" si="11"/>
        <v>17.8958904109589</v>
      </c>
      <c r="AT10" s="30">
        <v>45590</v>
      </c>
      <c r="AU10">
        <v>276</v>
      </c>
      <c r="AV10" s="32">
        <f t="shared" si="8"/>
        <v>24.9534246575342</v>
      </c>
    </row>
    <row r="11" spans="2:48">
      <c r="B11" s="30">
        <v>45054</v>
      </c>
      <c r="C11">
        <v>500</v>
      </c>
      <c r="D11" s="32">
        <f t="shared" si="0"/>
        <v>0.684931506849315</v>
      </c>
      <c r="F11" s="30">
        <v>45085</v>
      </c>
      <c r="G11">
        <v>585</v>
      </c>
      <c r="H11" s="32">
        <f t="shared" si="1"/>
        <v>0.801369863013699</v>
      </c>
      <c r="J11" s="30">
        <v>45115</v>
      </c>
      <c r="K11">
        <v>610</v>
      </c>
      <c r="L11" s="32">
        <f t="shared" si="2"/>
        <v>0.835616438356164</v>
      </c>
      <c r="N11" s="30">
        <v>45146</v>
      </c>
      <c r="O11">
        <v>685</v>
      </c>
      <c r="P11" s="32">
        <f t="shared" si="12"/>
        <v>0.938356164383562</v>
      </c>
      <c r="R11" s="30">
        <v>45315</v>
      </c>
      <c r="S11">
        <v>84</v>
      </c>
      <c r="T11" s="32">
        <f t="shared" si="4"/>
        <v>8.51506849315069</v>
      </c>
      <c r="U11" s="32"/>
      <c r="V11" s="30">
        <v>45346</v>
      </c>
      <c r="W11">
        <v>277</v>
      </c>
      <c r="X11" s="31">
        <f t="shared" si="9"/>
        <v>28.0794520547945</v>
      </c>
      <c r="Z11" s="30">
        <v>45375</v>
      </c>
      <c r="AA11">
        <v>373</v>
      </c>
      <c r="AB11" s="32">
        <f t="shared" si="5"/>
        <v>37.8109589041096</v>
      </c>
      <c r="AD11" s="30">
        <v>45406</v>
      </c>
      <c r="AE11">
        <v>9</v>
      </c>
      <c r="AF11" s="32">
        <f t="shared" si="10"/>
        <v>0.850684931506849</v>
      </c>
      <c r="AH11" s="30">
        <v>45436</v>
      </c>
      <c r="AI11">
        <v>42</v>
      </c>
      <c r="AJ11" s="32">
        <f t="shared" si="6"/>
        <v>3.96986301369863</v>
      </c>
      <c r="AL11" s="30">
        <v>45528</v>
      </c>
      <c r="AM11">
        <v>192</v>
      </c>
      <c r="AN11" s="32">
        <f t="shared" si="7"/>
        <v>18.9369863013699</v>
      </c>
      <c r="AO11" s="32"/>
      <c r="AP11" s="30">
        <v>45559</v>
      </c>
      <c r="AQ11">
        <v>184</v>
      </c>
      <c r="AR11" s="32">
        <f t="shared" si="11"/>
        <v>17.8958904109589</v>
      </c>
      <c r="AT11" s="30">
        <v>45589</v>
      </c>
      <c r="AU11">
        <v>274</v>
      </c>
      <c r="AV11" s="32">
        <f t="shared" si="8"/>
        <v>24.772602739726</v>
      </c>
    </row>
    <row r="12" spans="2:48">
      <c r="B12" s="30">
        <v>45055</v>
      </c>
      <c r="C12">
        <v>500</v>
      </c>
      <c r="D12" s="32">
        <f t="shared" si="0"/>
        <v>0.684931506849315</v>
      </c>
      <c r="F12" s="30">
        <v>45086</v>
      </c>
      <c r="G12">
        <v>585</v>
      </c>
      <c r="H12" s="32">
        <f t="shared" si="1"/>
        <v>0.801369863013699</v>
      </c>
      <c r="J12" s="30">
        <v>45116</v>
      </c>
      <c r="K12">
        <v>610</v>
      </c>
      <c r="L12" s="32">
        <f t="shared" si="2"/>
        <v>0.835616438356164</v>
      </c>
      <c r="N12" s="30">
        <v>45147</v>
      </c>
      <c r="O12">
        <v>685</v>
      </c>
      <c r="P12" s="32">
        <f t="shared" si="12"/>
        <v>0.938356164383562</v>
      </c>
      <c r="R12" s="30">
        <v>45314</v>
      </c>
      <c r="S12">
        <v>84</v>
      </c>
      <c r="T12" s="32">
        <f t="shared" si="4"/>
        <v>8.51506849315069</v>
      </c>
      <c r="U12" s="32"/>
      <c r="V12" s="30">
        <v>45345</v>
      </c>
      <c r="W12">
        <v>281</v>
      </c>
      <c r="X12" s="31">
        <f t="shared" si="9"/>
        <v>28.4849315068493</v>
      </c>
      <c r="Z12" s="30">
        <v>45374</v>
      </c>
      <c r="AA12">
        <v>386</v>
      </c>
      <c r="AB12" s="32">
        <f t="shared" si="5"/>
        <v>39.1287671232877</v>
      </c>
      <c r="AD12" s="30">
        <v>45405</v>
      </c>
      <c r="AE12">
        <v>9</v>
      </c>
      <c r="AF12" s="32">
        <f t="shared" si="10"/>
        <v>0.850684931506849</v>
      </c>
      <c r="AH12" s="30">
        <v>45435</v>
      </c>
      <c r="AI12">
        <v>44</v>
      </c>
      <c r="AJ12" s="32">
        <f t="shared" si="6"/>
        <v>4.15890410958904</v>
      </c>
      <c r="AL12" s="30">
        <v>45527</v>
      </c>
      <c r="AM12">
        <v>192</v>
      </c>
      <c r="AN12" s="32">
        <f t="shared" si="7"/>
        <v>18.9369863013699</v>
      </c>
      <c r="AO12" s="32"/>
      <c r="AP12" s="30">
        <v>45558</v>
      </c>
      <c r="AQ12">
        <v>184</v>
      </c>
      <c r="AR12" s="32">
        <f t="shared" si="11"/>
        <v>17.8958904109589</v>
      </c>
      <c r="AT12" s="30">
        <v>45588</v>
      </c>
      <c r="AU12">
        <v>274</v>
      </c>
      <c r="AV12" s="32">
        <f t="shared" si="8"/>
        <v>24.772602739726</v>
      </c>
    </row>
    <row r="13" spans="2:48">
      <c r="B13" s="30">
        <v>45056</v>
      </c>
      <c r="C13">
        <v>500</v>
      </c>
      <c r="D13" s="32">
        <f t="shared" si="0"/>
        <v>0.684931506849315</v>
      </c>
      <c r="F13" s="30">
        <v>45087</v>
      </c>
      <c r="G13">
        <v>585</v>
      </c>
      <c r="H13" s="32">
        <f t="shared" si="1"/>
        <v>0.801369863013699</v>
      </c>
      <c r="J13" s="30">
        <v>45117</v>
      </c>
      <c r="K13">
        <v>695</v>
      </c>
      <c r="L13" s="32">
        <f t="shared" si="2"/>
        <v>0.952054794520548</v>
      </c>
      <c r="N13" s="30">
        <v>45148</v>
      </c>
      <c r="O13">
        <v>747</v>
      </c>
      <c r="P13" s="32">
        <f t="shared" si="12"/>
        <v>1.02328767123288</v>
      </c>
      <c r="R13" s="30">
        <v>45313</v>
      </c>
      <c r="S13">
        <v>84</v>
      </c>
      <c r="T13" s="32">
        <f t="shared" si="4"/>
        <v>8.51506849315069</v>
      </c>
      <c r="U13" s="32"/>
      <c r="V13" s="30">
        <v>45344</v>
      </c>
      <c r="W13">
        <v>274</v>
      </c>
      <c r="X13" s="31">
        <f t="shared" si="9"/>
        <v>27.7753424657534</v>
      </c>
      <c r="Z13" s="30">
        <v>45373</v>
      </c>
      <c r="AA13">
        <v>386</v>
      </c>
      <c r="AB13" s="32">
        <f t="shared" si="5"/>
        <v>39.1287671232877</v>
      </c>
      <c r="AD13" s="30">
        <v>45404</v>
      </c>
      <c r="AE13">
        <v>17</v>
      </c>
      <c r="AF13" s="32">
        <f t="shared" si="10"/>
        <v>1.60684931506849</v>
      </c>
      <c r="AH13" s="30">
        <v>45434</v>
      </c>
      <c r="AI13" s="36">
        <v>35</v>
      </c>
      <c r="AJ13" s="32">
        <f t="shared" si="6"/>
        <v>3.30821917808219</v>
      </c>
      <c r="AL13" s="30">
        <v>45526</v>
      </c>
      <c r="AM13" s="36">
        <v>192</v>
      </c>
      <c r="AN13" s="32">
        <f t="shared" si="7"/>
        <v>18.9369863013699</v>
      </c>
      <c r="AO13" s="32"/>
      <c r="AP13" s="30">
        <v>45557</v>
      </c>
      <c r="AQ13" s="36">
        <v>284</v>
      </c>
      <c r="AR13" s="32">
        <f t="shared" si="11"/>
        <v>27.6219178082192</v>
      </c>
      <c r="AT13" s="30">
        <v>45587</v>
      </c>
      <c r="AU13">
        <v>274</v>
      </c>
      <c r="AV13" s="32">
        <f t="shared" si="8"/>
        <v>24.772602739726</v>
      </c>
    </row>
    <row r="14" spans="2:48">
      <c r="B14" s="30">
        <v>45057</v>
      </c>
      <c r="C14">
        <v>515</v>
      </c>
      <c r="D14" s="32">
        <f t="shared" si="0"/>
        <v>0.705479452054795</v>
      </c>
      <c r="F14" s="30">
        <v>45088</v>
      </c>
      <c r="G14">
        <v>585</v>
      </c>
      <c r="H14" s="32">
        <f t="shared" si="1"/>
        <v>0.801369863013699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1.02054794520548</v>
      </c>
      <c r="R14" s="30">
        <v>45312</v>
      </c>
      <c r="S14">
        <v>85</v>
      </c>
      <c r="T14" s="32">
        <f t="shared" si="4"/>
        <v>8.61643835616439</v>
      </c>
      <c r="U14" s="32"/>
      <c r="V14" s="30">
        <v>45343</v>
      </c>
      <c r="W14">
        <v>274</v>
      </c>
      <c r="X14" s="31">
        <f t="shared" si="9"/>
        <v>27.7753424657534</v>
      </c>
      <c r="Z14" s="30">
        <v>45372</v>
      </c>
      <c r="AA14">
        <v>386</v>
      </c>
      <c r="AB14" s="32">
        <f t="shared" si="5"/>
        <v>39.1287671232877</v>
      </c>
      <c r="AD14" s="30">
        <v>45403</v>
      </c>
      <c r="AE14" s="36">
        <v>84</v>
      </c>
      <c r="AF14" s="32">
        <f t="shared" si="10"/>
        <v>7.93972602739726</v>
      </c>
      <c r="AH14" s="30">
        <v>45433</v>
      </c>
      <c r="AI14" s="36">
        <v>35</v>
      </c>
      <c r="AJ14" s="32">
        <f t="shared" si="6"/>
        <v>3.30821917808219</v>
      </c>
      <c r="AL14" s="30">
        <v>45525</v>
      </c>
      <c r="AM14" s="36">
        <v>41</v>
      </c>
      <c r="AN14" s="32">
        <f t="shared" si="7"/>
        <v>4.04383561643836</v>
      </c>
      <c r="AO14" s="32"/>
      <c r="AP14" s="30">
        <v>45556</v>
      </c>
      <c r="AQ14" s="36">
        <v>284</v>
      </c>
      <c r="AR14" s="32">
        <f t="shared" si="11"/>
        <v>27.6219178082192</v>
      </c>
      <c r="AT14" s="30">
        <v>45586</v>
      </c>
      <c r="AU14">
        <v>277</v>
      </c>
      <c r="AV14" s="32">
        <f t="shared" si="8"/>
        <v>25.0438356164384</v>
      </c>
    </row>
    <row r="15" spans="2:48">
      <c r="B15" s="30">
        <v>45058</v>
      </c>
      <c r="C15">
        <v>515</v>
      </c>
      <c r="D15" s="32">
        <f t="shared" si="0"/>
        <v>0.705479452054795</v>
      </c>
      <c r="F15" s="30">
        <v>45089</v>
      </c>
      <c r="G15">
        <v>585</v>
      </c>
      <c r="H15" s="32">
        <f t="shared" si="1"/>
        <v>0.801369863013699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1.02054794520548</v>
      </c>
      <c r="R15" s="30">
        <v>45311</v>
      </c>
      <c r="S15">
        <v>85</v>
      </c>
      <c r="T15" s="32">
        <f t="shared" si="4"/>
        <v>8.61643835616439</v>
      </c>
      <c r="U15" s="32"/>
      <c r="V15" s="30">
        <v>45342</v>
      </c>
      <c r="W15">
        <v>277</v>
      </c>
      <c r="X15" s="31">
        <f t="shared" ref="X15:X34" si="13">W15*1000*3.7%/365</f>
        <v>28.0794520547945</v>
      </c>
      <c r="Z15" s="30">
        <v>45371</v>
      </c>
      <c r="AA15">
        <v>386</v>
      </c>
      <c r="AB15" s="32">
        <f t="shared" si="5"/>
        <v>39.1287671232877</v>
      </c>
      <c r="AD15" s="30">
        <v>45402</v>
      </c>
      <c r="AE15" s="36">
        <v>84</v>
      </c>
      <c r="AF15" s="32">
        <f t="shared" si="10"/>
        <v>7.93972602739726</v>
      </c>
      <c r="AH15" s="30">
        <v>45432</v>
      </c>
      <c r="AI15" s="36">
        <v>35</v>
      </c>
      <c r="AJ15" s="32">
        <f t="shared" si="6"/>
        <v>3.30821917808219</v>
      </c>
      <c r="AL15" s="30">
        <v>45524</v>
      </c>
      <c r="AM15" s="36">
        <v>41</v>
      </c>
      <c r="AN15" s="32">
        <f t="shared" si="7"/>
        <v>4.04383561643836</v>
      </c>
      <c r="AO15" s="32"/>
      <c r="AP15" s="30">
        <v>45555</v>
      </c>
      <c r="AQ15" s="36">
        <v>152</v>
      </c>
      <c r="AR15" s="32">
        <f t="shared" si="11"/>
        <v>14.7835616438356</v>
      </c>
      <c r="AT15" s="30">
        <v>45585</v>
      </c>
      <c r="AU15">
        <v>277</v>
      </c>
      <c r="AV15" s="32">
        <f t="shared" si="8"/>
        <v>25.0438356164384</v>
      </c>
    </row>
    <row r="16" spans="2:48">
      <c r="B16" s="30">
        <v>45059</v>
      </c>
      <c r="C16">
        <v>515</v>
      </c>
      <c r="D16" s="32">
        <f t="shared" si="0"/>
        <v>0.705479452054795</v>
      </c>
      <c r="F16" s="30">
        <v>45090</v>
      </c>
      <c r="G16">
        <v>585</v>
      </c>
      <c r="H16" s="32">
        <f t="shared" si="1"/>
        <v>0.801369863013699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1.02054794520548</v>
      </c>
      <c r="R16" s="30">
        <v>45310</v>
      </c>
      <c r="S16" s="36">
        <v>76</v>
      </c>
      <c r="T16" s="32">
        <f t="shared" si="4"/>
        <v>7.7041095890411</v>
      </c>
      <c r="U16" s="32"/>
      <c r="V16" s="30">
        <v>45341</v>
      </c>
      <c r="W16" s="36">
        <v>273</v>
      </c>
      <c r="X16" s="31">
        <f t="shared" si="13"/>
        <v>27.6739726027397</v>
      </c>
      <c r="Z16" s="30">
        <v>45370</v>
      </c>
      <c r="AA16" s="36">
        <v>386</v>
      </c>
      <c r="AB16" s="32">
        <f t="shared" si="5"/>
        <v>39.1287671232877</v>
      </c>
      <c r="AD16" s="30">
        <v>45401</v>
      </c>
      <c r="AE16" s="36">
        <v>84</v>
      </c>
      <c r="AF16" s="32">
        <f t="shared" si="10"/>
        <v>7.93972602739726</v>
      </c>
      <c r="AH16" s="30">
        <v>45431</v>
      </c>
      <c r="AI16" s="36">
        <v>35</v>
      </c>
      <c r="AJ16" s="32">
        <f t="shared" si="6"/>
        <v>3.30821917808219</v>
      </c>
      <c r="AL16" s="30">
        <v>45523</v>
      </c>
      <c r="AM16" s="36">
        <v>16</v>
      </c>
      <c r="AN16" s="32">
        <f t="shared" si="7"/>
        <v>1.57808219178082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25.0438356164384</v>
      </c>
    </row>
    <row r="17" spans="2:48">
      <c r="B17" s="30">
        <v>45060</v>
      </c>
      <c r="C17">
        <v>515</v>
      </c>
      <c r="D17" s="32">
        <f t="shared" si="0"/>
        <v>0.705479452054795</v>
      </c>
      <c r="F17" s="30">
        <v>45091</v>
      </c>
      <c r="G17">
        <v>585</v>
      </c>
      <c r="H17" s="32">
        <f t="shared" si="1"/>
        <v>0.801369863013699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1.02054794520548</v>
      </c>
      <c r="R17" s="30">
        <v>45309</v>
      </c>
      <c r="S17" s="36">
        <v>76</v>
      </c>
      <c r="T17" s="32">
        <f t="shared" si="4"/>
        <v>7.7041095890411</v>
      </c>
      <c r="U17" s="32"/>
      <c r="V17" s="30">
        <v>45340</v>
      </c>
      <c r="W17" s="36">
        <v>273</v>
      </c>
      <c r="X17" s="31">
        <f t="shared" si="13"/>
        <v>27.6739726027397</v>
      </c>
      <c r="Z17" s="30">
        <v>45369</v>
      </c>
      <c r="AA17" s="36">
        <v>372.3</v>
      </c>
      <c r="AB17" s="32">
        <f t="shared" si="5"/>
        <v>37.74</v>
      </c>
      <c r="AD17" s="30">
        <v>45400</v>
      </c>
      <c r="AE17" s="36">
        <v>84</v>
      </c>
      <c r="AF17" s="32">
        <f t="shared" si="10"/>
        <v>7.93972602739726</v>
      </c>
      <c r="AH17" s="30">
        <v>45430</v>
      </c>
      <c r="AI17" s="36">
        <v>35</v>
      </c>
      <c r="AJ17" s="32">
        <f t="shared" si="6"/>
        <v>3.30821917808219</v>
      </c>
      <c r="AL17" s="30">
        <v>45522</v>
      </c>
      <c r="AM17" s="36">
        <v>16</v>
      </c>
      <c r="AN17" s="32">
        <f t="shared" si="7"/>
        <v>1.57808219178082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25.0438356164384</v>
      </c>
    </row>
    <row r="18" spans="2:48">
      <c r="B18" s="30">
        <v>45061</v>
      </c>
      <c r="C18">
        <v>515</v>
      </c>
      <c r="D18" s="32">
        <f t="shared" si="0"/>
        <v>0.705479452054795</v>
      </c>
      <c r="F18" s="30">
        <v>45092</v>
      </c>
      <c r="G18">
        <v>585</v>
      </c>
      <c r="H18" s="32">
        <f t="shared" si="1"/>
        <v>0.801369863013699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1.02054794520548</v>
      </c>
      <c r="R18" s="30">
        <v>45308</v>
      </c>
      <c r="S18" s="36">
        <v>76</v>
      </c>
      <c r="T18" s="32">
        <f t="shared" si="4"/>
        <v>7.7041095890411</v>
      </c>
      <c r="U18" s="32"/>
      <c r="V18" s="30">
        <v>45339</v>
      </c>
      <c r="W18" s="36">
        <v>273</v>
      </c>
      <c r="X18" s="31">
        <f t="shared" si="13"/>
        <v>27.6739726027397</v>
      </c>
      <c r="Z18" s="30">
        <v>45368</v>
      </c>
      <c r="AA18" s="36">
        <v>372.3</v>
      </c>
      <c r="AB18" s="32">
        <f t="shared" si="5"/>
        <v>37.74</v>
      </c>
      <c r="AD18" s="30">
        <v>45399</v>
      </c>
      <c r="AE18" s="36">
        <v>84</v>
      </c>
      <c r="AF18" s="32">
        <f t="shared" si="10"/>
        <v>7.93972602739726</v>
      </c>
      <c r="AH18" s="30">
        <v>45429</v>
      </c>
      <c r="AI18" s="36">
        <v>35</v>
      </c>
      <c r="AJ18" s="32">
        <f t="shared" si="6"/>
        <v>3.30821917808219</v>
      </c>
      <c r="AL18" s="30">
        <v>45521</v>
      </c>
      <c r="AM18" s="36">
        <v>6</v>
      </c>
      <c r="AN18" s="32">
        <f t="shared" si="7"/>
        <v>0.591780821917808</v>
      </c>
      <c r="AO18" s="32"/>
      <c r="AP18" s="30">
        <v>45552</v>
      </c>
      <c r="AQ18" s="36">
        <v>12</v>
      </c>
      <c r="AR18" s="32">
        <f t="shared" si="11"/>
        <v>1.16712328767123</v>
      </c>
      <c r="AT18" s="30">
        <v>45582</v>
      </c>
      <c r="AU18">
        <v>276</v>
      </c>
      <c r="AV18" s="32">
        <f t="shared" si="8"/>
        <v>24.9534246575342</v>
      </c>
    </row>
    <row r="19" spans="2:48">
      <c r="B19" s="30">
        <v>45062</v>
      </c>
      <c r="C19">
        <v>540</v>
      </c>
      <c r="D19" s="32">
        <f t="shared" si="0"/>
        <v>0.73972602739726</v>
      </c>
      <c r="F19" s="30">
        <v>45093</v>
      </c>
      <c r="G19">
        <v>585</v>
      </c>
      <c r="H19" s="32">
        <f t="shared" si="1"/>
        <v>0.801369863013699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0.815068493150685</v>
      </c>
      <c r="R19" s="30">
        <v>45307</v>
      </c>
      <c r="S19" s="36">
        <v>72.7</v>
      </c>
      <c r="T19" s="32">
        <f t="shared" si="4"/>
        <v>7.36958904109589</v>
      </c>
      <c r="U19" s="32"/>
      <c r="V19" s="30">
        <v>45338</v>
      </c>
      <c r="W19" s="36">
        <v>273</v>
      </c>
      <c r="X19" s="31">
        <f t="shared" si="13"/>
        <v>27.6739726027397</v>
      </c>
      <c r="Z19" s="30">
        <v>45367</v>
      </c>
      <c r="AA19" s="36">
        <v>372.3</v>
      </c>
      <c r="AB19" s="32">
        <f t="shared" si="5"/>
        <v>37.74</v>
      </c>
      <c r="AD19" s="30">
        <v>45398</v>
      </c>
      <c r="AE19" s="36">
        <v>55</v>
      </c>
      <c r="AF19" s="32">
        <f t="shared" si="10"/>
        <v>5.1986301369863</v>
      </c>
      <c r="AH19" s="30">
        <v>45428</v>
      </c>
      <c r="AI19" s="36">
        <v>35</v>
      </c>
      <c r="AJ19" s="32">
        <f t="shared" si="6"/>
        <v>3.30821917808219</v>
      </c>
      <c r="AL19" s="30">
        <v>45520</v>
      </c>
      <c r="AM19" s="36">
        <v>6</v>
      </c>
      <c r="AN19" s="32">
        <f t="shared" si="7"/>
        <v>0.591780821917808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</v>
      </c>
    </row>
    <row r="20" spans="2:48">
      <c r="B20" s="30">
        <v>45063</v>
      </c>
      <c r="C20">
        <v>545</v>
      </c>
      <c r="D20" s="32">
        <f t="shared" si="0"/>
        <v>0.746575342465753</v>
      </c>
      <c r="F20" s="30">
        <v>45094</v>
      </c>
      <c r="G20">
        <v>585</v>
      </c>
      <c r="H20" s="32">
        <f t="shared" si="1"/>
        <v>0.801369863013699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</v>
      </c>
      <c r="R20" s="30">
        <v>45306</v>
      </c>
      <c r="S20" s="36">
        <v>72.7</v>
      </c>
      <c r="T20" s="32">
        <f t="shared" si="4"/>
        <v>7.36958904109589</v>
      </c>
      <c r="U20" s="32"/>
      <c r="V20" s="30">
        <v>45337</v>
      </c>
      <c r="W20" s="36">
        <v>268</v>
      </c>
      <c r="X20" s="31">
        <f t="shared" si="13"/>
        <v>27.1671232876712</v>
      </c>
      <c r="Z20" s="30">
        <v>45366</v>
      </c>
      <c r="AA20" s="36">
        <v>372.3</v>
      </c>
      <c r="AB20" s="32">
        <f t="shared" si="5"/>
        <v>37.74</v>
      </c>
      <c r="AD20" s="30">
        <v>45397</v>
      </c>
      <c r="AE20" s="36">
        <v>55</v>
      </c>
      <c r="AF20" s="32">
        <f t="shared" si="10"/>
        <v>5.1986301369863</v>
      </c>
      <c r="AH20" s="30">
        <v>45427</v>
      </c>
      <c r="AI20" s="36">
        <v>38</v>
      </c>
      <c r="AJ20" s="32">
        <f t="shared" si="6"/>
        <v>3.59178082191781</v>
      </c>
      <c r="AL20" s="30">
        <v>45519</v>
      </c>
      <c r="AM20" s="36">
        <v>86</v>
      </c>
      <c r="AN20" s="32">
        <f t="shared" si="7"/>
        <v>8.48219178082192</v>
      </c>
      <c r="AO20" s="32"/>
      <c r="AP20" s="30">
        <v>45550</v>
      </c>
      <c r="AQ20" s="36">
        <v>64</v>
      </c>
      <c r="AR20" s="32">
        <f t="shared" si="11"/>
        <v>6.22465753424658</v>
      </c>
      <c r="AT20" s="30">
        <v>45580</v>
      </c>
      <c r="AU20">
        <v>268</v>
      </c>
      <c r="AV20" s="32">
        <f t="shared" si="8"/>
        <v>24.2301369863014</v>
      </c>
    </row>
    <row r="21" spans="2:48">
      <c r="B21" s="30">
        <v>45064</v>
      </c>
      <c r="C21">
        <v>545</v>
      </c>
      <c r="D21" s="32">
        <f t="shared" si="0"/>
        <v>0.746575342465753</v>
      </c>
      <c r="F21" s="30">
        <v>45095</v>
      </c>
      <c r="G21">
        <v>585</v>
      </c>
      <c r="H21" s="32">
        <f t="shared" si="1"/>
        <v>0.801369863013699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</v>
      </c>
      <c r="R21" s="30">
        <v>45305</v>
      </c>
      <c r="S21" s="36">
        <v>72.7</v>
      </c>
      <c r="T21" s="32">
        <f t="shared" si="4"/>
        <v>7.36958904109589</v>
      </c>
      <c r="U21" s="32"/>
      <c r="V21" s="30">
        <v>45336</v>
      </c>
      <c r="W21" s="36">
        <v>268</v>
      </c>
      <c r="X21" s="31">
        <f t="shared" si="13"/>
        <v>27.1671232876712</v>
      </c>
      <c r="Z21" s="30">
        <v>45365</v>
      </c>
      <c r="AA21" s="36">
        <v>372.3</v>
      </c>
      <c r="AB21" s="32">
        <f t="shared" si="5"/>
        <v>37.74</v>
      </c>
      <c r="AD21" s="30">
        <v>45396</v>
      </c>
      <c r="AE21" s="36">
        <v>55</v>
      </c>
      <c r="AF21" s="32">
        <f t="shared" si="10"/>
        <v>5.1986301369863</v>
      </c>
      <c r="AH21" s="30">
        <v>45426</v>
      </c>
      <c r="AI21" s="36">
        <v>38</v>
      </c>
      <c r="AJ21" s="32">
        <f t="shared" si="6"/>
        <v>3.59178082191781</v>
      </c>
      <c r="AL21" s="30">
        <v>45518</v>
      </c>
      <c r="AM21" s="36">
        <v>86</v>
      </c>
      <c r="AN21" s="32">
        <f t="shared" si="7"/>
        <v>8.48219178082192</v>
      </c>
      <c r="AO21" s="32"/>
      <c r="AP21" s="30">
        <v>45549</v>
      </c>
      <c r="AQ21" s="36">
        <v>64</v>
      </c>
      <c r="AR21" s="32">
        <f t="shared" si="11"/>
        <v>6.22465753424658</v>
      </c>
      <c r="AT21" s="30">
        <v>45579</v>
      </c>
      <c r="AU21">
        <v>268</v>
      </c>
      <c r="AV21" s="32">
        <f t="shared" si="8"/>
        <v>24.2301369863014</v>
      </c>
    </row>
    <row r="22" spans="2:48">
      <c r="B22" s="30">
        <v>45065</v>
      </c>
      <c r="C22">
        <v>545.8</v>
      </c>
      <c r="D22" s="32">
        <f t="shared" si="0"/>
        <v>0.747671232876712</v>
      </c>
      <c r="F22" s="30">
        <v>45096</v>
      </c>
      <c r="G22">
        <v>585</v>
      </c>
      <c r="H22" s="32">
        <f t="shared" si="1"/>
        <v>0.801369863013699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</v>
      </c>
      <c r="R22" s="30">
        <v>45304</v>
      </c>
      <c r="S22" s="36">
        <v>72.7</v>
      </c>
      <c r="T22" s="32">
        <f t="shared" si="4"/>
        <v>7.36958904109589</v>
      </c>
      <c r="U22" s="32"/>
      <c r="V22" s="30">
        <v>45335</v>
      </c>
      <c r="W22" s="36">
        <v>268</v>
      </c>
      <c r="X22" s="31">
        <f t="shared" si="13"/>
        <v>27.1671232876712</v>
      </c>
      <c r="Z22" s="30">
        <v>45364</v>
      </c>
      <c r="AA22" s="36">
        <v>361</v>
      </c>
      <c r="AB22" s="32">
        <f t="shared" si="5"/>
        <v>36.5945205479452</v>
      </c>
      <c r="AD22" s="30">
        <v>45395</v>
      </c>
      <c r="AE22" s="36">
        <v>55</v>
      </c>
      <c r="AF22" s="32">
        <f t="shared" si="10"/>
        <v>5.1986301369863</v>
      </c>
      <c r="AH22" s="30">
        <v>45425</v>
      </c>
      <c r="AI22" s="36">
        <v>38</v>
      </c>
      <c r="AJ22" s="32">
        <f t="shared" si="6"/>
        <v>3.59178082191781</v>
      </c>
      <c r="AL22" s="30">
        <v>45517</v>
      </c>
      <c r="AM22" s="36">
        <v>86</v>
      </c>
      <c r="AN22" s="32">
        <f t="shared" si="7"/>
        <v>8.48219178082192</v>
      </c>
      <c r="AO22" s="32"/>
      <c r="AP22" s="30">
        <v>45548</v>
      </c>
      <c r="AQ22" s="36">
        <v>64</v>
      </c>
      <c r="AR22" s="32">
        <f t="shared" si="11"/>
        <v>6.22465753424658</v>
      </c>
      <c r="AT22" s="30">
        <v>45578</v>
      </c>
      <c r="AU22">
        <v>268</v>
      </c>
      <c r="AV22" s="32">
        <f t="shared" si="8"/>
        <v>24.2301369863014</v>
      </c>
    </row>
    <row r="23" spans="2:48">
      <c r="B23" s="30">
        <v>45066</v>
      </c>
      <c r="C23">
        <v>545</v>
      </c>
      <c r="D23" s="32">
        <f t="shared" si="0"/>
        <v>0.746575342465753</v>
      </c>
      <c r="F23" s="30">
        <v>45097</v>
      </c>
      <c r="G23">
        <v>585</v>
      </c>
      <c r="H23" s="32">
        <f t="shared" si="1"/>
        <v>0.801369863013699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</v>
      </c>
      <c r="R23" s="30">
        <v>45303</v>
      </c>
      <c r="S23" s="36">
        <v>72.7</v>
      </c>
      <c r="T23" s="32">
        <f t="shared" si="4"/>
        <v>7.36958904109589</v>
      </c>
      <c r="U23" s="32"/>
      <c r="V23" s="30">
        <v>45334</v>
      </c>
      <c r="W23" s="36">
        <v>274</v>
      </c>
      <c r="X23" s="31">
        <f t="shared" si="13"/>
        <v>27.7753424657534</v>
      </c>
      <c r="Z23" s="30">
        <v>45363</v>
      </c>
      <c r="AA23" s="36">
        <v>361</v>
      </c>
      <c r="AB23" s="32">
        <f t="shared" si="5"/>
        <v>36.5945205479452</v>
      </c>
      <c r="AD23" s="30">
        <v>45394</v>
      </c>
      <c r="AE23" s="36">
        <v>55</v>
      </c>
      <c r="AF23" s="32">
        <f t="shared" si="10"/>
        <v>5.1986301369863</v>
      </c>
      <c r="AH23" s="30">
        <v>45424</v>
      </c>
      <c r="AI23" s="36">
        <v>38</v>
      </c>
      <c r="AJ23" s="32">
        <f t="shared" si="6"/>
        <v>3.59178082191781</v>
      </c>
      <c r="AL23" s="30">
        <v>45516</v>
      </c>
      <c r="AM23" s="36">
        <v>86</v>
      </c>
      <c r="AN23" s="32">
        <f t="shared" si="7"/>
        <v>8.48219178082192</v>
      </c>
      <c r="AO23" s="32"/>
      <c r="AP23" s="30">
        <v>45547</v>
      </c>
      <c r="AQ23" s="36">
        <v>314</v>
      </c>
      <c r="AR23" s="32">
        <f t="shared" si="11"/>
        <v>30.5397260273973</v>
      </c>
      <c r="AT23" s="30">
        <v>45577</v>
      </c>
      <c r="AU23">
        <v>268</v>
      </c>
      <c r="AV23" s="32">
        <f t="shared" si="8"/>
        <v>24.2301369863014</v>
      </c>
    </row>
    <row r="24" spans="2:48">
      <c r="B24" s="30">
        <v>45067</v>
      </c>
      <c r="C24">
        <v>545</v>
      </c>
      <c r="D24" s="32">
        <f t="shared" si="0"/>
        <v>0.746575342465753</v>
      </c>
      <c r="F24" s="30">
        <v>45098</v>
      </c>
      <c r="G24">
        <v>585</v>
      </c>
      <c r="H24" s="32">
        <f t="shared" si="1"/>
        <v>0.801369863013699</v>
      </c>
      <c r="J24" s="30">
        <v>45128</v>
      </c>
      <c r="K24">
        <v>735</v>
      </c>
      <c r="L24" s="32">
        <f t="shared" si="2"/>
        <v>1.00684931506849</v>
      </c>
      <c r="N24" s="30">
        <v>45159</v>
      </c>
      <c r="O24">
        <v>735</v>
      </c>
      <c r="P24" s="32">
        <f t="shared" si="12"/>
        <v>1.00684931506849</v>
      </c>
      <c r="R24" s="30">
        <v>45302</v>
      </c>
      <c r="S24" s="36">
        <v>87</v>
      </c>
      <c r="T24" s="32">
        <f t="shared" si="4"/>
        <v>8.81917808219178</v>
      </c>
      <c r="U24" s="32"/>
      <c r="V24" s="30">
        <v>45333</v>
      </c>
      <c r="W24" s="36">
        <v>274</v>
      </c>
      <c r="X24" s="31">
        <f t="shared" si="13"/>
        <v>27.7753424657534</v>
      </c>
      <c r="Z24" s="30">
        <v>45362</v>
      </c>
      <c r="AA24" s="36">
        <v>413</v>
      </c>
      <c r="AB24" s="32">
        <f t="shared" si="5"/>
        <v>41.8657534246575</v>
      </c>
      <c r="AD24" s="30">
        <v>45393</v>
      </c>
      <c r="AE24" s="36">
        <v>55</v>
      </c>
      <c r="AF24" s="32">
        <f t="shared" si="10"/>
        <v>5.1986301369863</v>
      </c>
      <c r="AH24" s="30">
        <v>45423</v>
      </c>
      <c r="AI24" s="36">
        <v>38</v>
      </c>
      <c r="AJ24" s="32">
        <f t="shared" si="6"/>
        <v>3.59178082191781</v>
      </c>
      <c r="AL24" s="30">
        <v>45515</v>
      </c>
      <c r="AM24" s="36">
        <v>86</v>
      </c>
      <c r="AN24" s="32">
        <f t="shared" si="7"/>
        <v>8.48219178082192</v>
      </c>
      <c r="AO24" s="32"/>
      <c r="AP24" s="30">
        <v>45546</v>
      </c>
      <c r="AQ24" s="36">
        <v>214</v>
      </c>
      <c r="AR24" s="32">
        <f t="shared" si="11"/>
        <v>20.813698630137</v>
      </c>
      <c r="AT24" s="30">
        <v>45576</v>
      </c>
      <c r="AU24">
        <v>268</v>
      </c>
      <c r="AV24" s="32">
        <f t="shared" si="8"/>
        <v>24.2301369863014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</v>
      </c>
      <c r="F25" s="30">
        <v>45099</v>
      </c>
      <c r="G25">
        <v>585</v>
      </c>
      <c r="H25" s="32">
        <f t="shared" ref="H25:H33" si="15">G25*1000*0.05%/365</f>
        <v>0.801369863013699</v>
      </c>
      <c r="J25" s="30">
        <v>45129</v>
      </c>
      <c r="K25">
        <v>735</v>
      </c>
      <c r="L25" s="32">
        <f t="shared" ref="L25:L33" si="16">K25*1000*0.05%/365</f>
        <v>1.00684931506849</v>
      </c>
      <c r="N25" s="30">
        <v>45160</v>
      </c>
      <c r="O25">
        <v>735</v>
      </c>
      <c r="P25" s="32">
        <f t="shared" si="12"/>
        <v>1.00684931506849</v>
      </c>
      <c r="R25" s="30">
        <v>45301</v>
      </c>
      <c r="S25" s="36">
        <v>87</v>
      </c>
      <c r="T25" s="32">
        <f t="shared" si="4"/>
        <v>8.81917808219178</v>
      </c>
      <c r="U25" s="32"/>
      <c r="V25" s="30">
        <v>45332</v>
      </c>
      <c r="W25" s="36">
        <v>274</v>
      </c>
      <c r="X25" s="31">
        <f t="shared" si="13"/>
        <v>27.7753424657534</v>
      </c>
      <c r="Z25" s="30">
        <v>45361</v>
      </c>
      <c r="AA25" s="36">
        <v>428</v>
      </c>
      <c r="AB25" s="32">
        <f t="shared" si="5"/>
        <v>43.386301369863</v>
      </c>
      <c r="AD25" s="30">
        <v>45392</v>
      </c>
      <c r="AE25" s="36">
        <v>47</v>
      </c>
      <c r="AF25" s="32">
        <f t="shared" si="10"/>
        <v>4.44246575342466</v>
      </c>
      <c r="AH25" s="30">
        <v>45422</v>
      </c>
      <c r="AI25" s="36">
        <v>38</v>
      </c>
      <c r="AJ25" s="32">
        <f t="shared" si="6"/>
        <v>3.59178082191781</v>
      </c>
      <c r="AL25" s="30">
        <v>45514</v>
      </c>
      <c r="AM25" s="36">
        <v>55</v>
      </c>
      <c r="AN25" s="32">
        <f t="shared" si="7"/>
        <v>5.42465753424657</v>
      </c>
      <c r="AO25" s="32"/>
      <c r="AP25" s="30">
        <v>45545</v>
      </c>
      <c r="AQ25" s="36">
        <v>214</v>
      </c>
      <c r="AR25" s="32">
        <f t="shared" si="11"/>
        <v>20.813698630137</v>
      </c>
      <c r="AT25" s="30">
        <v>45575</v>
      </c>
      <c r="AU25">
        <v>266</v>
      </c>
      <c r="AV25" s="32">
        <f t="shared" si="8"/>
        <v>24.0493150684932</v>
      </c>
    </row>
    <row r="26" s="29" customFormat="1" spans="2:48">
      <c r="B26" s="33">
        <v>45069</v>
      </c>
      <c r="C26" s="29">
        <v>545</v>
      </c>
      <c r="D26" s="34">
        <f t="shared" si="14"/>
        <v>0.746575342465753</v>
      </c>
      <c r="F26" s="33">
        <v>45100</v>
      </c>
      <c r="G26" s="29">
        <v>585</v>
      </c>
      <c r="H26" s="34">
        <f t="shared" si="15"/>
        <v>0.801369863013699</v>
      </c>
      <c r="J26" s="33">
        <v>45130</v>
      </c>
      <c r="K26" s="29">
        <v>735</v>
      </c>
      <c r="L26" s="34">
        <f t="shared" si="16"/>
        <v>1.00684931506849</v>
      </c>
      <c r="N26" s="33">
        <v>45161</v>
      </c>
      <c r="O26" s="29">
        <v>738</v>
      </c>
      <c r="P26" s="34">
        <f t="shared" si="12"/>
        <v>1.01095890410959</v>
      </c>
      <c r="R26" s="30">
        <v>45300</v>
      </c>
      <c r="S26" s="36">
        <v>87</v>
      </c>
      <c r="T26" s="32">
        <f t="shared" si="4"/>
        <v>8.81917808219178</v>
      </c>
      <c r="U26" s="32"/>
      <c r="V26" s="30">
        <v>45331</v>
      </c>
      <c r="W26" s="36">
        <v>274</v>
      </c>
      <c r="X26" s="31">
        <f t="shared" si="13"/>
        <v>27.7753424657534</v>
      </c>
      <c r="Z26" s="30">
        <v>45360</v>
      </c>
      <c r="AA26" s="36">
        <v>428</v>
      </c>
      <c r="AB26" s="32">
        <f t="shared" si="5"/>
        <v>43.386301369863</v>
      </c>
      <c r="AD26" s="30">
        <v>45391</v>
      </c>
      <c r="AE26" s="36">
        <v>47</v>
      </c>
      <c r="AF26" s="32">
        <f t="shared" si="10"/>
        <v>4.44246575342466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</v>
      </c>
      <c r="AO26" s="32"/>
      <c r="AP26" s="30">
        <v>45544</v>
      </c>
      <c r="AQ26" s="36">
        <v>217</v>
      </c>
      <c r="AR26" s="32">
        <f t="shared" si="11"/>
        <v>21.1054794520548</v>
      </c>
      <c r="AT26" s="30">
        <v>45574</v>
      </c>
      <c r="AU26">
        <v>266.6</v>
      </c>
      <c r="AV26" s="32">
        <f t="shared" si="8"/>
        <v>24.1035616438356</v>
      </c>
    </row>
    <row r="27" spans="2:48">
      <c r="B27" s="30">
        <v>45070</v>
      </c>
      <c r="C27">
        <v>550</v>
      </c>
      <c r="D27" s="32">
        <f t="shared" si="14"/>
        <v>0.753424657534247</v>
      </c>
      <c r="F27" s="30">
        <v>45101</v>
      </c>
      <c r="G27">
        <v>585</v>
      </c>
      <c r="H27" s="32">
        <f t="shared" si="15"/>
        <v>0.801369863013699</v>
      </c>
      <c r="J27" s="30">
        <v>45131</v>
      </c>
      <c r="K27" s="36">
        <v>735</v>
      </c>
      <c r="L27" s="32">
        <f t="shared" si="16"/>
        <v>1.00684931506849</v>
      </c>
      <c r="N27" s="30">
        <v>45162</v>
      </c>
      <c r="O27" s="36">
        <v>738</v>
      </c>
      <c r="P27" s="32">
        <f t="shared" si="12"/>
        <v>1.01095890410959</v>
      </c>
      <c r="R27" s="30">
        <v>45299</v>
      </c>
      <c r="S27" s="36">
        <v>87</v>
      </c>
      <c r="T27" s="32">
        <f t="shared" si="4"/>
        <v>8.81917808219178</v>
      </c>
      <c r="U27" s="32"/>
      <c r="V27" s="30">
        <v>45330</v>
      </c>
      <c r="W27" s="36">
        <v>264</v>
      </c>
      <c r="X27" s="31">
        <f t="shared" si="13"/>
        <v>26.7616438356164</v>
      </c>
      <c r="Z27" s="30">
        <v>45359</v>
      </c>
      <c r="AA27" s="36">
        <v>428</v>
      </c>
      <c r="AB27" s="32">
        <f t="shared" si="5"/>
        <v>43.386301369863</v>
      </c>
      <c r="AD27" s="30">
        <v>45390</v>
      </c>
      <c r="AE27" s="36">
        <v>47</v>
      </c>
      <c r="AF27" s="32">
        <f t="shared" si="10"/>
        <v>4.44246575342466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</v>
      </c>
      <c r="AO27" s="32"/>
      <c r="AP27" s="30">
        <v>45543</v>
      </c>
      <c r="AQ27" s="36">
        <v>317</v>
      </c>
      <c r="AR27" s="32">
        <f t="shared" si="11"/>
        <v>30.8315068493151</v>
      </c>
      <c r="AT27" s="30">
        <v>45573</v>
      </c>
      <c r="AU27">
        <v>266.6</v>
      </c>
      <c r="AV27" s="32">
        <f t="shared" si="8"/>
        <v>24.1035616438356</v>
      </c>
    </row>
    <row r="28" spans="2:48">
      <c r="B28" s="30">
        <v>45071</v>
      </c>
      <c r="C28">
        <v>550</v>
      </c>
      <c r="D28" s="32">
        <f t="shared" si="14"/>
        <v>0.753424657534247</v>
      </c>
      <c r="F28" s="30">
        <v>45102</v>
      </c>
      <c r="G28">
        <v>585</v>
      </c>
      <c r="H28" s="32">
        <f t="shared" si="15"/>
        <v>0.801369863013699</v>
      </c>
      <c r="J28" s="30">
        <v>45132</v>
      </c>
      <c r="K28" s="36">
        <v>740</v>
      </c>
      <c r="L28" s="32">
        <f t="shared" si="16"/>
        <v>1.01369863013699</v>
      </c>
      <c r="N28" s="30">
        <v>45163</v>
      </c>
      <c r="O28" s="36">
        <v>748</v>
      </c>
      <c r="P28" s="32">
        <f t="shared" si="12"/>
        <v>1.02465753424658</v>
      </c>
      <c r="R28" s="30">
        <v>45298</v>
      </c>
      <c r="S28" s="36">
        <v>82</v>
      </c>
      <c r="T28" s="32">
        <f t="shared" si="4"/>
        <v>8.31232876712329</v>
      </c>
      <c r="U28" s="32"/>
      <c r="V28" s="30">
        <v>45329</v>
      </c>
      <c r="W28" s="36">
        <v>263</v>
      </c>
      <c r="X28" s="31">
        <f t="shared" si="13"/>
        <v>26.6602739726027</v>
      </c>
      <c r="Z28" s="30">
        <v>45358</v>
      </c>
      <c r="AA28" s="36">
        <v>428</v>
      </c>
      <c r="AB28" s="32">
        <f t="shared" si="5"/>
        <v>43.386301369863</v>
      </c>
      <c r="AD28" s="30">
        <v>45389</v>
      </c>
      <c r="AE28" s="36">
        <v>63.2</v>
      </c>
      <c r="AF28" s="32">
        <f t="shared" si="10"/>
        <v>5.97369863013699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</v>
      </c>
      <c r="AO28" s="32"/>
      <c r="AP28" s="30">
        <v>45542</v>
      </c>
      <c r="AQ28" s="36">
        <v>317</v>
      </c>
      <c r="AR28" s="32">
        <f t="shared" si="11"/>
        <v>30.8315068493151</v>
      </c>
      <c r="AT28" s="30">
        <v>45572</v>
      </c>
      <c r="AU28">
        <v>234</v>
      </c>
      <c r="AV28" s="32">
        <f t="shared" si="8"/>
        <v>21.1561643835616</v>
      </c>
    </row>
    <row r="29" spans="2:48">
      <c r="B29" s="30">
        <v>45072</v>
      </c>
      <c r="C29">
        <v>550</v>
      </c>
      <c r="D29" s="32">
        <f t="shared" si="14"/>
        <v>0.753424657534247</v>
      </c>
      <c r="F29" s="30">
        <v>45103</v>
      </c>
      <c r="G29">
        <v>585</v>
      </c>
      <c r="H29" s="32">
        <f t="shared" si="15"/>
        <v>0.801369863013699</v>
      </c>
      <c r="J29" s="30">
        <v>45133</v>
      </c>
      <c r="K29" s="36">
        <v>740</v>
      </c>
      <c r="L29" s="32">
        <f t="shared" si="16"/>
        <v>1.01369863013699</v>
      </c>
      <c r="N29" s="30">
        <v>45164</v>
      </c>
      <c r="O29" s="36">
        <v>749</v>
      </c>
      <c r="P29" s="32">
        <f t="shared" si="12"/>
        <v>1.02602739726027</v>
      </c>
      <c r="R29" s="30">
        <v>45297</v>
      </c>
      <c r="S29" s="36">
        <v>82</v>
      </c>
      <c r="T29" s="32">
        <f t="shared" si="4"/>
        <v>8.31232876712329</v>
      </c>
      <c r="U29" s="32"/>
      <c r="V29" s="30">
        <v>45328</v>
      </c>
      <c r="W29" s="36">
        <v>194</v>
      </c>
      <c r="X29" s="31">
        <f t="shared" si="13"/>
        <v>19.6657534246575</v>
      </c>
      <c r="Z29" s="30">
        <v>45357</v>
      </c>
      <c r="AA29" s="36">
        <v>428</v>
      </c>
      <c r="AB29" s="32">
        <f t="shared" si="5"/>
        <v>43.386301369863</v>
      </c>
      <c r="AD29" s="30">
        <v>45388</v>
      </c>
      <c r="AE29" s="36">
        <v>63.2</v>
      </c>
      <c r="AF29" s="32">
        <f t="shared" si="10"/>
        <v>5.97369863013699</v>
      </c>
      <c r="AH29" s="30">
        <v>45418</v>
      </c>
      <c r="AI29">
        <v>43</v>
      </c>
      <c r="AJ29" s="32">
        <f t="shared" si="6"/>
        <v>4.06438356164384</v>
      </c>
      <c r="AL29" s="30">
        <v>45510</v>
      </c>
      <c r="AM29">
        <v>25</v>
      </c>
      <c r="AN29" s="32">
        <f t="shared" si="7"/>
        <v>2.46575342465753</v>
      </c>
      <c r="AO29" s="32"/>
      <c r="AP29" s="30">
        <v>45541</v>
      </c>
      <c r="AQ29" s="36">
        <v>217</v>
      </c>
      <c r="AR29" s="32">
        <f t="shared" si="11"/>
        <v>21.1054794520548</v>
      </c>
      <c r="AT29" s="30">
        <v>45571</v>
      </c>
      <c r="AU29">
        <v>234</v>
      </c>
      <c r="AV29" s="32">
        <f t="shared" si="8"/>
        <v>21.1561643835616</v>
      </c>
    </row>
    <row r="30" spans="2:48">
      <c r="B30" s="30">
        <v>45073</v>
      </c>
      <c r="C30">
        <v>550</v>
      </c>
      <c r="D30" s="32">
        <f t="shared" si="14"/>
        <v>0.753424657534247</v>
      </c>
      <c r="F30" s="30">
        <v>45104</v>
      </c>
      <c r="G30">
        <v>585</v>
      </c>
      <c r="H30" s="32">
        <f t="shared" si="15"/>
        <v>0.801369863013699</v>
      </c>
      <c r="J30" s="30">
        <v>45134</v>
      </c>
      <c r="K30" s="36">
        <v>740</v>
      </c>
      <c r="L30" s="32">
        <f t="shared" si="16"/>
        <v>1.01369863013699</v>
      </c>
      <c r="N30" s="30">
        <v>45165</v>
      </c>
      <c r="O30" s="36">
        <v>749</v>
      </c>
      <c r="P30" s="32">
        <f t="shared" si="12"/>
        <v>1.02602739726027</v>
      </c>
      <c r="R30" s="30">
        <v>45296</v>
      </c>
      <c r="S30" s="36">
        <v>82</v>
      </c>
      <c r="T30" s="32">
        <f t="shared" si="4"/>
        <v>8.31232876712329</v>
      </c>
      <c r="U30" s="32"/>
      <c r="V30" s="30">
        <v>45327</v>
      </c>
      <c r="W30" s="36">
        <v>194</v>
      </c>
      <c r="X30" s="31">
        <f t="shared" si="13"/>
        <v>19.6657534246575</v>
      </c>
      <c r="Z30" s="30">
        <v>45356</v>
      </c>
      <c r="AA30" s="36">
        <v>428</v>
      </c>
      <c r="AB30" s="32">
        <f t="shared" si="5"/>
        <v>43.386301369863</v>
      </c>
      <c r="AD30" s="30">
        <v>45387</v>
      </c>
      <c r="AE30" s="36">
        <v>63.2</v>
      </c>
      <c r="AF30" s="32">
        <f t="shared" si="10"/>
        <v>5.97369863013699</v>
      </c>
      <c r="AH30" s="30">
        <v>45417</v>
      </c>
      <c r="AI30">
        <v>43</v>
      </c>
      <c r="AJ30" s="32">
        <f t="shared" si="6"/>
        <v>4.06438356164384</v>
      </c>
      <c r="AL30" s="30">
        <v>45509</v>
      </c>
      <c r="AM30">
        <v>25</v>
      </c>
      <c r="AN30" s="32">
        <f t="shared" si="7"/>
        <v>2.46575342465753</v>
      </c>
      <c r="AO30" s="32"/>
      <c r="AP30" s="30">
        <v>45540</v>
      </c>
      <c r="AQ30" s="36">
        <v>217</v>
      </c>
      <c r="AR30" s="32">
        <f t="shared" si="11"/>
        <v>21.1054794520548</v>
      </c>
      <c r="AT30" s="30">
        <v>45570</v>
      </c>
      <c r="AU30">
        <v>234</v>
      </c>
      <c r="AV30" s="32">
        <f t="shared" si="8"/>
        <v>21.1561643835616</v>
      </c>
    </row>
    <row r="31" spans="2:48">
      <c r="B31" s="30">
        <v>45074</v>
      </c>
      <c r="C31">
        <v>550</v>
      </c>
      <c r="D31" s="32">
        <f t="shared" si="14"/>
        <v>0.753424657534247</v>
      </c>
      <c r="F31" s="30">
        <v>45105</v>
      </c>
      <c r="G31">
        <v>600</v>
      </c>
      <c r="H31" s="32">
        <f t="shared" si="15"/>
        <v>0.821917808219178</v>
      </c>
      <c r="J31" s="30">
        <v>45135</v>
      </c>
      <c r="K31" s="36">
        <v>740</v>
      </c>
      <c r="L31" s="32">
        <f t="shared" si="16"/>
        <v>1.01369863013699</v>
      </c>
      <c r="N31" s="30">
        <v>45166</v>
      </c>
      <c r="O31">
        <v>740</v>
      </c>
      <c r="P31" s="32">
        <f t="shared" si="12"/>
        <v>1.01369863013699</v>
      </c>
      <c r="R31" s="30">
        <v>45295</v>
      </c>
      <c r="S31" s="36">
        <v>82</v>
      </c>
      <c r="T31" s="32">
        <f t="shared" si="4"/>
        <v>8.31232876712329</v>
      </c>
      <c r="U31" s="32"/>
      <c r="V31" s="30">
        <v>45326</v>
      </c>
      <c r="W31" s="36">
        <v>263</v>
      </c>
      <c r="X31" s="31">
        <f t="shared" si="13"/>
        <v>26.6602739726027</v>
      </c>
      <c r="Z31" s="30">
        <v>45355</v>
      </c>
      <c r="AA31">
        <v>284</v>
      </c>
      <c r="AB31" s="32">
        <f t="shared" si="5"/>
        <v>28.7890410958904</v>
      </c>
      <c r="AD31" s="30">
        <v>45386</v>
      </c>
      <c r="AE31" s="36">
        <v>63.2</v>
      </c>
      <c r="AF31" s="32">
        <f t="shared" si="10"/>
        <v>5.97369863013699</v>
      </c>
      <c r="AH31" s="30">
        <v>45416</v>
      </c>
      <c r="AI31">
        <v>43</v>
      </c>
      <c r="AJ31" s="32">
        <f t="shared" si="6"/>
        <v>4.06438356164384</v>
      </c>
      <c r="AL31" s="30">
        <v>45508</v>
      </c>
      <c r="AM31">
        <v>25</v>
      </c>
      <c r="AN31" s="32">
        <f t="shared" si="7"/>
        <v>2.46575342465753</v>
      </c>
      <c r="AO31" s="32"/>
      <c r="AP31" s="30">
        <v>45539</v>
      </c>
      <c r="AQ31" s="36">
        <v>217</v>
      </c>
      <c r="AR31" s="32">
        <f t="shared" si="11"/>
        <v>21.1054794520548</v>
      </c>
      <c r="AT31" s="30">
        <v>45569</v>
      </c>
      <c r="AU31">
        <v>225.7</v>
      </c>
      <c r="AV31" s="32">
        <f t="shared" si="8"/>
        <v>20.4057534246575</v>
      </c>
    </row>
    <row r="32" spans="2:48">
      <c r="B32" s="30">
        <v>45075</v>
      </c>
      <c r="C32">
        <v>550</v>
      </c>
      <c r="D32" s="32">
        <f t="shared" si="14"/>
        <v>0.753424657534247</v>
      </c>
      <c r="F32" s="30">
        <v>45106</v>
      </c>
      <c r="G32">
        <v>600</v>
      </c>
      <c r="H32" s="32">
        <f t="shared" si="15"/>
        <v>0.821917808219178</v>
      </c>
      <c r="J32" s="30">
        <v>45136</v>
      </c>
      <c r="K32">
        <v>750</v>
      </c>
      <c r="L32" s="32">
        <f t="shared" si="16"/>
        <v>1.02739726027397</v>
      </c>
      <c r="N32" s="30">
        <v>45167</v>
      </c>
      <c r="O32">
        <v>604</v>
      </c>
      <c r="P32" s="32">
        <f t="shared" si="12"/>
        <v>0.827397260273973</v>
      </c>
      <c r="R32" s="30">
        <v>45294</v>
      </c>
      <c r="S32" s="36">
        <v>82</v>
      </c>
      <c r="T32" s="32">
        <f t="shared" si="4"/>
        <v>8.31232876712329</v>
      </c>
      <c r="U32" s="32"/>
      <c r="V32" s="30">
        <v>45325</v>
      </c>
      <c r="W32" s="36">
        <v>263</v>
      </c>
      <c r="X32" s="31">
        <f t="shared" si="13"/>
        <v>26.6602739726027</v>
      </c>
      <c r="Z32" s="30">
        <v>45354</v>
      </c>
      <c r="AA32">
        <v>284</v>
      </c>
      <c r="AB32" s="32">
        <f t="shared" si="5"/>
        <v>28.7890410958904</v>
      </c>
      <c r="AD32" s="30">
        <v>45385</v>
      </c>
      <c r="AE32" s="36">
        <v>63.2</v>
      </c>
      <c r="AF32" s="32">
        <f t="shared" si="10"/>
        <v>5.97369863013699</v>
      </c>
      <c r="AH32" s="30">
        <v>45415</v>
      </c>
      <c r="AI32">
        <v>43</v>
      </c>
      <c r="AJ32" s="32">
        <f t="shared" si="6"/>
        <v>4.06438356164384</v>
      </c>
      <c r="AL32" s="30">
        <v>45507</v>
      </c>
      <c r="AM32">
        <v>25</v>
      </c>
      <c r="AN32" s="32">
        <f t="shared" si="7"/>
        <v>2.46575342465753</v>
      </c>
      <c r="AO32" s="32"/>
      <c r="AP32" s="30">
        <v>45538</v>
      </c>
      <c r="AQ32" s="36">
        <v>217</v>
      </c>
      <c r="AR32" s="32">
        <f t="shared" si="11"/>
        <v>21.1054794520548</v>
      </c>
      <c r="AT32" s="30">
        <v>45568</v>
      </c>
      <c r="AU32">
        <v>223.7</v>
      </c>
      <c r="AV32" s="32">
        <f t="shared" si="8"/>
        <v>20.2249315068493</v>
      </c>
    </row>
    <row r="33" spans="2:48">
      <c r="B33" s="30">
        <v>45076</v>
      </c>
      <c r="C33">
        <v>585</v>
      </c>
      <c r="D33" s="32">
        <f t="shared" si="14"/>
        <v>0.801369863013699</v>
      </c>
      <c r="F33" s="30">
        <v>45107</v>
      </c>
      <c r="G33">
        <v>600</v>
      </c>
      <c r="H33" s="32">
        <f t="shared" si="15"/>
        <v>0.821917808219178</v>
      </c>
      <c r="J33" s="30">
        <v>45137</v>
      </c>
      <c r="K33">
        <v>750</v>
      </c>
      <c r="L33" s="32">
        <f t="shared" si="16"/>
        <v>1.02739726027397</v>
      </c>
      <c r="N33" s="30">
        <v>45168</v>
      </c>
      <c r="O33">
        <v>471</v>
      </c>
      <c r="P33" s="32">
        <f t="shared" si="12"/>
        <v>0.645205479452055</v>
      </c>
      <c r="R33" s="30">
        <v>45293</v>
      </c>
      <c r="S33" s="36">
        <v>199</v>
      </c>
      <c r="T33" s="32">
        <f t="shared" si="4"/>
        <v>20.172602739726</v>
      </c>
      <c r="U33" s="32"/>
      <c r="V33" s="30">
        <v>45324</v>
      </c>
      <c r="W33" s="36">
        <v>263</v>
      </c>
      <c r="X33" s="31">
        <f t="shared" si="13"/>
        <v>26.6602739726027</v>
      </c>
      <c r="Z33" s="30">
        <v>45353</v>
      </c>
      <c r="AA33">
        <v>284</v>
      </c>
      <c r="AB33" s="32">
        <f t="shared" si="5"/>
        <v>28.7890410958904</v>
      </c>
      <c r="AD33" s="30">
        <v>45384</v>
      </c>
      <c r="AE33">
        <v>45.2</v>
      </c>
      <c r="AF33" s="32">
        <f t="shared" si="10"/>
        <v>4.27232876712329</v>
      </c>
      <c r="AH33" s="30">
        <v>45414</v>
      </c>
      <c r="AI33">
        <v>43</v>
      </c>
      <c r="AJ33" s="32">
        <f t="shared" si="6"/>
        <v>4.06438356164384</v>
      </c>
      <c r="AL33" s="30">
        <v>45506</v>
      </c>
      <c r="AM33">
        <v>25</v>
      </c>
      <c r="AN33" s="32">
        <f t="shared" si="7"/>
        <v>2.46575342465753</v>
      </c>
      <c r="AO33" s="32"/>
      <c r="AP33" s="30">
        <v>45537</v>
      </c>
      <c r="AQ33" s="36">
        <v>208</v>
      </c>
      <c r="AR33" s="32">
        <f t="shared" si="11"/>
        <v>20.2301369863014</v>
      </c>
      <c r="AT33" s="30">
        <v>45567</v>
      </c>
      <c r="AU33">
        <v>221.9</v>
      </c>
      <c r="AV33" s="32">
        <f t="shared" si="8"/>
        <v>20.0621917808219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0.801369863013699</v>
      </c>
      <c r="J34" s="30">
        <v>45138</v>
      </c>
      <c r="K34">
        <v>750</v>
      </c>
      <c r="L34" s="32">
        <f t="shared" ref="L34" si="18">K34*1000*0.05/100/365</f>
        <v>1.02739726027397</v>
      </c>
      <c r="N34" s="30">
        <v>45169</v>
      </c>
      <c r="O34">
        <v>480</v>
      </c>
      <c r="P34" s="32">
        <f t="shared" si="12"/>
        <v>0.657534246575342</v>
      </c>
      <c r="R34" s="30">
        <v>45292</v>
      </c>
      <c r="S34" s="36">
        <v>209</v>
      </c>
      <c r="T34" s="32">
        <f t="shared" si="4"/>
        <v>21.186301369863</v>
      </c>
      <c r="U34" s="32"/>
      <c r="V34" s="30">
        <v>45323</v>
      </c>
      <c r="W34" s="36">
        <v>128</v>
      </c>
      <c r="X34" s="31">
        <f t="shared" si="13"/>
        <v>12.9753424657534</v>
      </c>
      <c r="Z34" s="30">
        <v>45352</v>
      </c>
      <c r="AA34">
        <v>284</v>
      </c>
      <c r="AB34" s="32">
        <f t="shared" si="5"/>
        <v>28.7890410958904</v>
      </c>
      <c r="AD34" s="30">
        <v>45383</v>
      </c>
      <c r="AE34">
        <v>18.5</v>
      </c>
      <c r="AF34" s="32">
        <f t="shared" si="10"/>
        <v>1.7486301369863</v>
      </c>
      <c r="AH34" s="30">
        <v>45413</v>
      </c>
      <c r="AI34">
        <v>43</v>
      </c>
      <c r="AJ34" s="32">
        <f t="shared" si="6"/>
        <v>4.06438356164384</v>
      </c>
      <c r="AL34" s="30">
        <v>45505</v>
      </c>
      <c r="AM34">
        <v>16</v>
      </c>
      <c r="AN34" s="32">
        <f t="shared" si="7"/>
        <v>1.57808219178082</v>
      </c>
      <c r="AO34" s="32"/>
      <c r="AP34" s="30">
        <v>45536</v>
      </c>
      <c r="AQ34" s="36">
        <v>308</v>
      </c>
      <c r="AR34" s="32">
        <f t="shared" si="11"/>
        <v>29.9561643835616</v>
      </c>
      <c r="AT34" s="30">
        <v>45566</v>
      </c>
      <c r="AU34">
        <v>220</v>
      </c>
      <c r="AV34" s="32">
        <f t="shared" si="8"/>
        <v>19.8904109589041</v>
      </c>
    </row>
    <row r="36" spans="2:48">
      <c r="B36" s="30" t="s">
        <v>3679</v>
      </c>
      <c r="D36" s="35">
        <f>SUM(D4:D34)*88</f>
        <v>1895.71287671233</v>
      </c>
      <c r="F36" s="30" t="s">
        <v>3679</v>
      </c>
      <c r="H36" s="35">
        <f>SUM(H4:H34)*88</f>
        <v>2121.04109589041</v>
      </c>
      <c r="J36" s="30" t="s">
        <v>3679</v>
      </c>
      <c r="L36" s="35">
        <f>SUM(L4:L34)*88</f>
        <v>2597.80821917808</v>
      </c>
      <c r="N36" s="30" t="s">
        <v>3679</v>
      </c>
      <c r="P36" s="35">
        <f>SUM(P4:P34)*88</f>
        <v>2650.72876712329</v>
      </c>
      <c r="R36" s="30" t="s">
        <v>3679</v>
      </c>
      <c r="T36" s="35">
        <v>292.3</v>
      </c>
      <c r="U36" s="35"/>
      <c r="V36" s="30" t="s">
        <v>3679</v>
      </c>
      <c r="X36" s="31">
        <f>SUM(X4:X34)</f>
        <v>769.295890410959</v>
      </c>
      <c r="Z36" s="30" t="s">
        <v>3679</v>
      </c>
      <c r="AB36" s="37">
        <f>SUM(AB4:AB34)</f>
        <v>1085.66109589041</v>
      </c>
      <c r="AD36" s="30" t="s">
        <v>3679</v>
      </c>
      <c r="AF36" s="35">
        <f>SUM(AF4:AF34)</f>
        <v>133.092191780822</v>
      </c>
      <c r="AH36" s="30" t="s">
        <v>3679</v>
      </c>
      <c r="AJ36" s="35">
        <f>SUM(AJ4:AJ34)</f>
        <v>119.379452054794</v>
      </c>
      <c r="AL36" s="30" t="s">
        <v>3679</v>
      </c>
      <c r="AN36" s="35">
        <f>SUM(AN4:AN34)</f>
        <v>285.534246575342</v>
      </c>
      <c r="AO36" s="35"/>
      <c r="AP36" s="30" t="s">
        <v>3679</v>
      </c>
      <c r="AR36" s="35">
        <f>SUM(AR4:AR34)</f>
        <v>559.830136986301</v>
      </c>
      <c r="AT36" s="30" t="s">
        <v>3679</v>
      </c>
      <c r="AV36" s="35">
        <f>SUM(AV4:AV34)</f>
        <v>741.143835616438</v>
      </c>
    </row>
    <row r="37" spans="2:48">
      <c r="B37" s="30" t="s">
        <v>3680</v>
      </c>
      <c r="D37" s="35">
        <f>'HIS19'!KQ21</f>
        <v>1895.66</v>
      </c>
      <c r="F37" s="30" t="s">
        <v>3680</v>
      </c>
      <c r="H37" s="35">
        <f>'HIS19'!KQ22</f>
        <v>2121.22</v>
      </c>
      <c r="J37" s="30" t="s">
        <v>3680</v>
      </c>
      <c r="L37" s="35">
        <f>'HIS19'!KQ23</f>
        <v>2597.87</v>
      </c>
      <c r="N37" s="30" t="s">
        <v>3680</v>
      </c>
      <c r="P37" s="35">
        <f>'HIS19'!KQ24</f>
        <v>2650.71</v>
      </c>
      <c r="R37" s="30" t="s">
        <v>3680</v>
      </c>
      <c r="T37" s="35">
        <v>292</v>
      </c>
      <c r="U37" s="35"/>
      <c r="V37" s="30" t="s">
        <v>3680</v>
      </c>
      <c r="X37" s="31">
        <v>767</v>
      </c>
      <c r="Z37" s="30" t="s">
        <v>3680</v>
      </c>
      <c r="AB37" s="31">
        <v>1083</v>
      </c>
      <c r="AD37" s="30" t="s">
        <v>3680</v>
      </c>
      <c r="AF37" s="38">
        <f>132.45</f>
        <v>132.45</v>
      </c>
      <c r="AH37" s="30" t="s">
        <v>3680</v>
      </c>
      <c r="AJ37" s="38">
        <f>118.69</f>
        <v>118.69</v>
      </c>
      <c r="AL37" s="30" t="s">
        <v>3680</v>
      </c>
      <c r="AN37" s="38">
        <f>7.91+284.46</f>
        <v>292.37</v>
      </c>
      <c r="AO37" s="38"/>
      <c r="AP37" s="30" t="s">
        <v>3680</v>
      </c>
      <c r="AR37" s="38">
        <v>558.57</v>
      </c>
      <c r="AT37" s="30" t="s">
        <v>3680</v>
      </c>
      <c r="AV37" s="40">
        <v>741.19</v>
      </c>
    </row>
    <row r="38" spans="2:48">
      <c r="B38" s="30" t="s">
        <v>3681</v>
      </c>
      <c r="D38" s="35">
        <f>D37-D36</f>
        <v>-0.0528767123284979</v>
      </c>
      <c r="F38" s="30" t="s">
        <v>3681</v>
      </c>
      <c r="H38" s="35">
        <f>H37-H36</f>
        <v>0.178904109588984</v>
      </c>
      <c r="J38" s="30" t="s">
        <v>3681</v>
      </c>
      <c r="L38" s="35">
        <f>L37-L36</f>
        <v>0.0617808219180915</v>
      </c>
      <c r="N38" s="30" t="s">
        <v>3681</v>
      </c>
      <c r="P38" s="35">
        <f>P37-P36</f>
        <v>-0.0187671232874891</v>
      </c>
      <c r="R38" s="30" t="s">
        <v>3681</v>
      </c>
      <c r="T38" s="35">
        <v>-0.299999999999955</v>
      </c>
      <c r="U38" s="35"/>
      <c r="V38" s="30" t="s">
        <v>3681</v>
      </c>
      <c r="X38" s="31">
        <f>X37-X36</f>
        <v>-2.29589041095926</v>
      </c>
      <c r="Z38" s="30" t="s">
        <v>3681</v>
      </c>
      <c r="AB38" s="31">
        <f>AB37-AB36</f>
        <v>-2.66109589041162</v>
      </c>
      <c r="AD38" s="30" t="s">
        <v>3681</v>
      </c>
      <c r="AF38" s="31">
        <f>AF37-AF36</f>
        <v>-0.642191780821946</v>
      </c>
      <c r="AH38" s="30" t="s">
        <v>3681</v>
      </c>
      <c r="AJ38" s="31">
        <f>AJ37-AJ36</f>
        <v>-0.689452054794501</v>
      </c>
      <c r="AL38" s="30" t="s">
        <v>3681</v>
      </c>
      <c r="AN38" s="31">
        <f>AN37-AN36</f>
        <v>6.83575342465764</v>
      </c>
      <c r="AO38" s="31"/>
      <c r="AP38" s="30" t="s">
        <v>3681</v>
      </c>
      <c r="AR38" s="31">
        <f>AR37-AR36</f>
        <v>-1.26013698630129</v>
      </c>
      <c r="AT38" s="30" t="s">
        <v>3681</v>
      </c>
      <c r="AV38">
        <f>AV37-AV36</f>
        <v>0.0461643835617451</v>
      </c>
    </row>
    <row r="46" spans="32:32">
      <c r="AF46" s="38"/>
    </row>
    <row r="47" spans="32:32">
      <c r="AF47" s="38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36"/>
  <sheetViews>
    <sheetView topLeftCell="A13" workbookViewId="0">
      <selection activeCell="H34" sqref="H34"/>
    </sheetView>
  </sheetViews>
  <sheetFormatPr defaultColWidth="9.13888888888889" defaultRowHeight="13.2"/>
  <cols>
    <col min="1" max="1" width="1.85185185185185" style="15" customWidth="1"/>
    <col min="2" max="2" width="11" style="15" customWidth="1"/>
    <col min="3" max="3" width="11.287037037037" style="15" customWidth="1"/>
    <col min="4" max="4" width="12.4259259259259" style="16" customWidth="1"/>
    <col min="5" max="6" width="6.28703703703704" style="15" customWidth="1"/>
    <col min="7" max="7" width="7.13888888888889" style="15" customWidth="1"/>
    <col min="8" max="8" width="11.5740740740741" style="15" customWidth="1"/>
    <col min="9" max="10" width="12" style="15" customWidth="1"/>
    <col min="11" max="11" width="7" style="15" customWidth="1"/>
    <col min="12" max="16384" width="9.13888888888889" style="15"/>
  </cols>
  <sheetData>
    <row r="2" spans="2:4">
      <c r="B2" s="17" t="s">
        <v>3682</v>
      </c>
      <c r="C2" s="17"/>
      <c r="D2" s="16" t="s">
        <v>3683</v>
      </c>
    </row>
    <row r="3" ht="14.4" spans="2:5">
      <c r="B3" s="18">
        <f t="shared" ref="B3:B33" si="0">MIN(D3,100000)</f>
        <v>100000</v>
      </c>
      <c r="C3" s="19"/>
      <c r="D3" s="20"/>
      <c r="E3" s="21">
        <f>VLOOKUP(D3,$H$5:$I$8,2)</f>
        <v>0.0015</v>
      </c>
    </row>
    <row r="4" ht="14.4" spans="2:10">
      <c r="B4" s="18">
        <f t="shared" si="0"/>
        <v>100000</v>
      </c>
      <c r="C4" s="19">
        <v>45381</v>
      </c>
      <c r="D4" s="20">
        <v>100100</v>
      </c>
      <c r="E4" s="21">
        <f>VLOOKUP(D4,$H$5:$I$8,2)</f>
        <v>0.004</v>
      </c>
      <c r="F4" s="21"/>
      <c r="H4" s="22" t="s">
        <v>3684</v>
      </c>
      <c r="I4" s="22" t="s">
        <v>3685</v>
      </c>
      <c r="J4" s="22" t="s">
        <v>3686</v>
      </c>
    </row>
    <row r="5" ht="14.4" spans="2:10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0.004</v>
      </c>
      <c r="F5" s="21"/>
      <c r="H5" s="23">
        <v>0</v>
      </c>
      <c r="I5" s="28">
        <v>0.0015</v>
      </c>
      <c r="J5" s="22" t="s">
        <v>3687</v>
      </c>
    </row>
    <row r="6" ht="14.4" spans="2:10">
      <c r="B6" s="18">
        <f t="shared" si="0"/>
        <v>100000</v>
      </c>
      <c r="C6" s="19">
        <v>45379</v>
      </c>
      <c r="D6" s="20">
        <v>100100</v>
      </c>
      <c r="E6" s="21">
        <f t="shared" si="1"/>
        <v>0.004</v>
      </c>
      <c r="F6" s="21"/>
      <c r="H6" s="23">
        <v>5000</v>
      </c>
      <c r="I6" s="28">
        <v>0.002</v>
      </c>
      <c r="J6" s="22"/>
    </row>
    <row r="7" ht="14.4" spans="2:10">
      <c r="B7" s="18">
        <f t="shared" si="0"/>
        <v>100000</v>
      </c>
      <c r="C7" s="19">
        <v>45378</v>
      </c>
      <c r="D7" s="20">
        <v>100100</v>
      </c>
      <c r="E7" s="21">
        <f t="shared" si="1"/>
        <v>0.004</v>
      </c>
      <c r="F7" s="21"/>
      <c r="H7" s="23">
        <v>20000</v>
      </c>
      <c r="I7" s="28">
        <v>0.003</v>
      </c>
      <c r="J7" s="22"/>
    </row>
    <row r="8" ht="14.4" spans="2:10">
      <c r="B8" s="18">
        <f t="shared" si="0"/>
        <v>100000</v>
      </c>
      <c r="C8" s="19">
        <v>45377</v>
      </c>
      <c r="D8" s="20">
        <v>100100</v>
      </c>
      <c r="E8" s="21">
        <f t="shared" si="1"/>
        <v>0.004</v>
      </c>
      <c r="F8" s="21"/>
      <c r="H8" s="23">
        <v>100000</v>
      </c>
      <c r="I8" s="28">
        <v>0.004</v>
      </c>
      <c r="J8" s="22" t="s">
        <v>3688</v>
      </c>
    </row>
    <row r="9" ht="14.4" spans="2:10">
      <c r="B9" s="18">
        <f t="shared" si="0"/>
        <v>100000</v>
      </c>
      <c r="C9" s="19">
        <v>45376</v>
      </c>
      <c r="D9" s="20">
        <v>100100</v>
      </c>
      <c r="E9" s="21">
        <f t="shared" si="1"/>
        <v>0.004</v>
      </c>
      <c r="F9" s="21"/>
      <c r="H9" s="22"/>
      <c r="I9" s="22"/>
      <c r="J9" s="22"/>
    </row>
    <row r="10" ht="14.4" spans="2:6">
      <c r="B10" s="18">
        <f t="shared" si="0"/>
        <v>100000</v>
      </c>
      <c r="C10" s="19">
        <v>45375</v>
      </c>
      <c r="D10" s="20">
        <v>100100</v>
      </c>
      <c r="E10" s="21">
        <f t="shared" si="1"/>
        <v>0.004</v>
      </c>
      <c r="F10" s="21"/>
    </row>
    <row r="11" ht="14.4" spans="2:6">
      <c r="B11" s="18">
        <f t="shared" si="0"/>
        <v>100000</v>
      </c>
      <c r="C11" s="19">
        <v>45374</v>
      </c>
      <c r="D11" s="20">
        <v>100100</v>
      </c>
      <c r="E11" s="21">
        <f t="shared" si="1"/>
        <v>0.004</v>
      </c>
      <c r="F11" s="21"/>
    </row>
    <row r="12" ht="14.4" spans="2:6">
      <c r="B12" s="18">
        <f t="shared" si="0"/>
        <v>100000</v>
      </c>
      <c r="C12" s="19">
        <v>45373</v>
      </c>
      <c r="D12" s="20">
        <v>100100</v>
      </c>
      <c r="E12" s="21">
        <f t="shared" si="1"/>
        <v>0.004</v>
      </c>
      <c r="F12" s="21"/>
    </row>
    <row r="13" ht="14.4" spans="2:6">
      <c r="B13" s="18">
        <f t="shared" si="0"/>
        <v>100000</v>
      </c>
      <c r="C13" s="19">
        <v>45372</v>
      </c>
      <c r="D13" s="20">
        <v>100100</v>
      </c>
      <c r="E13" s="21">
        <f t="shared" si="1"/>
        <v>0.004</v>
      </c>
      <c r="F13" s="21"/>
    </row>
    <row r="14" ht="14.4" spans="2:6">
      <c r="B14" s="18">
        <f t="shared" si="0"/>
        <v>100000</v>
      </c>
      <c r="C14" s="19">
        <v>45371</v>
      </c>
      <c r="D14" s="20">
        <v>100100</v>
      </c>
      <c r="E14" s="21">
        <f t="shared" si="1"/>
        <v>0.004</v>
      </c>
      <c r="F14" s="21"/>
    </row>
    <row r="15" ht="14.4" spans="2:6">
      <c r="B15" s="18">
        <f t="shared" si="0"/>
        <v>100000</v>
      </c>
      <c r="C15" s="19">
        <v>45370</v>
      </c>
      <c r="D15" s="20">
        <v>100100</v>
      </c>
      <c r="E15" s="21">
        <f t="shared" si="1"/>
        <v>0.004</v>
      </c>
      <c r="F15" s="21"/>
    </row>
    <row r="16" ht="14.4" spans="2:6">
      <c r="B16" s="18">
        <f t="shared" si="0"/>
        <v>100000</v>
      </c>
      <c r="C16" s="19">
        <v>45369</v>
      </c>
      <c r="D16" s="20">
        <v>100100</v>
      </c>
      <c r="E16" s="21">
        <f t="shared" si="1"/>
        <v>0.004</v>
      </c>
      <c r="F16" s="21"/>
    </row>
    <row r="17" ht="14.4" spans="2:6">
      <c r="B17" s="18">
        <f t="shared" si="0"/>
        <v>100000</v>
      </c>
      <c r="C17" s="19">
        <v>45368</v>
      </c>
      <c r="D17" s="20">
        <v>100100</v>
      </c>
      <c r="E17" s="21">
        <f t="shared" si="1"/>
        <v>0.004</v>
      </c>
      <c r="F17" s="21"/>
    </row>
    <row r="18" ht="14.4" spans="2:6">
      <c r="B18" s="18">
        <f t="shared" si="0"/>
        <v>100000</v>
      </c>
      <c r="C18" s="19">
        <v>45367</v>
      </c>
      <c r="D18" s="20">
        <v>100100</v>
      </c>
      <c r="E18" s="21">
        <f t="shared" si="1"/>
        <v>0.004</v>
      </c>
      <c r="F18" s="21"/>
    </row>
    <row r="19" ht="14.4" spans="2:6">
      <c r="B19" s="18">
        <f t="shared" si="0"/>
        <v>100000</v>
      </c>
      <c r="C19" s="19">
        <v>45366</v>
      </c>
      <c r="D19" s="20">
        <v>100100</v>
      </c>
      <c r="E19" s="21">
        <f t="shared" si="1"/>
        <v>0.004</v>
      </c>
      <c r="F19" s="21"/>
    </row>
    <row r="20" ht="14.4" spans="2:6">
      <c r="B20" s="18">
        <f t="shared" si="0"/>
        <v>100000</v>
      </c>
      <c r="C20" s="19">
        <v>45365</v>
      </c>
      <c r="D20" s="20">
        <v>100100</v>
      </c>
      <c r="E20" s="21">
        <f t="shared" si="1"/>
        <v>0.004</v>
      </c>
      <c r="F20" s="21"/>
    </row>
    <row r="21" ht="14.4" spans="2:6">
      <c r="B21" s="18">
        <f t="shared" si="0"/>
        <v>100000</v>
      </c>
      <c r="C21" s="19">
        <v>45364</v>
      </c>
      <c r="D21" s="20">
        <v>100100</v>
      </c>
      <c r="E21" s="21">
        <f t="shared" si="1"/>
        <v>0.004</v>
      </c>
      <c r="F21" s="21"/>
    </row>
    <row r="22" ht="14.4" spans="2:6">
      <c r="B22" s="18">
        <f t="shared" si="0"/>
        <v>100000</v>
      </c>
      <c r="C22" s="19">
        <v>45363</v>
      </c>
      <c r="D22" s="20">
        <v>100100</v>
      </c>
      <c r="E22" s="21">
        <f t="shared" si="1"/>
        <v>0.004</v>
      </c>
      <c r="F22" s="21"/>
    </row>
    <row r="23" ht="14.4" spans="2:6">
      <c r="B23" s="18">
        <f t="shared" si="0"/>
        <v>100000</v>
      </c>
      <c r="C23" s="19">
        <v>45362</v>
      </c>
      <c r="D23" s="20">
        <v>100100</v>
      </c>
      <c r="E23" s="21">
        <f t="shared" si="1"/>
        <v>0.004</v>
      </c>
      <c r="F23" s="21"/>
    </row>
    <row r="24" ht="14.4" spans="2:6">
      <c r="B24" s="18">
        <f t="shared" si="0"/>
        <v>100000</v>
      </c>
      <c r="C24" s="19">
        <v>45361</v>
      </c>
      <c r="D24" s="20">
        <v>100100</v>
      </c>
      <c r="E24" s="21">
        <f t="shared" si="1"/>
        <v>0.004</v>
      </c>
      <c r="F24" s="21"/>
    </row>
    <row r="25" ht="14.4" spans="2:6">
      <c r="B25" s="18">
        <f t="shared" si="0"/>
        <v>100000</v>
      </c>
      <c r="C25" s="19">
        <v>45360</v>
      </c>
      <c r="D25" s="20">
        <v>100100</v>
      </c>
      <c r="E25" s="21">
        <f t="shared" si="1"/>
        <v>0.004</v>
      </c>
      <c r="F25" s="21"/>
    </row>
    <row r="26" ht="14.4" spans="2:6">
      <c r="B26" s="18">
        <f t="shared" si="0"/>
        <v>100000</v>
      </c>
      <c r="C26" s="19">
        <v>45359</v>
      </c>
      <c r="D26" s="20">
        <v>100100</v>
      </c>
      <c r="E26" s="21">
        <f t="shared" si="1"/>
        <v>0.004</v>
      </c>
      <c r="F26" s="21"/>
    </row>
    <row r="27" ht="14.4" spans="2:6">
      <c r="B27" s="18">
        <f t="shared" si="0"/>
        <v>100000</v>
      </c>
      <c r="C27" s="19">
        <v>45358</v>
      </c>
      <c r="D27" s="20">
        <v>100100</v>
      </c>
      <c r="E27" s="21">
        <f t="shared" si="1"/>
        <v>0.004</v>
      </c>
      <c r="F27" s="21"/>
    </row>
    <row r="28" ht="14.4" spans="2:6">
      <c r="B28" s="18">
        <f t="shared" si="0"/>
        <v>100000</v>
      </c>
      <c r="C28" s="19">
        <v>45357</v>
      </c>
      <c r="D28" s="20">
        <v>100100</v>
      </c>
      <c r="E28" s="21">
        <f t="shared" si="1"/>
        <v>0.004</v>
      </c>
      <c r="F28" s="21"/>
    </row>
    <row r="29" ht="14.4" spans="2:11">
      <c r="B29" s="18">
        <f t="shared" si="0"/>
        <v>100000</v>
      </c>
      <c r="C29" s="19">
        <v>45356</v>
      </c>
      <c r="D29" s="20">
        <v>100100</v>
      </c>
      <c r="E29" s="21">
        <f t="shared" si="1"/>
        <v>0.004</v>
      </c>
      <c r="F29" s="21"/>
      <c r="H29" s="15" t="s">
        <v>3689</v>
      </c>
      <c r="I29" s="15" t="s">
        <v>3690</v>
      </c>
      <c r="J29" s="15" t="s">
        <v>3691</v>
      </c>
      <c r="K29" s="15" t="s">
        <v>3692</v>
      </c>
    </row>
    <row r="30" ht="14.4" spans="2:11">
      <c r="B30" s="18">
        <f t="shared" si="0"/>
        <v>100000</v>
      </c>
      <c r="C30" s="19">
        <v>45355</v>
      </c>
      <c r="D30" s="20">
        <v>100100</v>
      </c>
      <c r="E30" s="21">
        <f t="shared" si="1"/>
        <v>0.004</v>
      </c>
      <c r="F30" s="21"/>
      <c r="H30" s="21">
        <v>0.025</v>
      </c>
      <c r="I30" s="21">
        <v>0.009</v>
      </c>
      <c r="J30" s="21">
        <v>0.005</v>
      </c>
      <c r="K30" s="21"/>
    </row>
    <row r="31" ht="14.4" spans="2:10">
      <c r="B31" s="18">
        <f t="shared" si="0"/>
        <v>100000</v>
      </c>
      <c r="C31" s="19">
        <v>45354</v>
      </c>
      <c r="D31" s="20">
        <v>100100</v>
      </c>
      <c r="E31" s="21">
        <f t="shared" si="1"/>
        <v>0.004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ht="14.4" spans="2:10">
      <c r="B32" s="18">
        <f t="shared" si="0"/>
        <v>100000</v>
      </c>
      <c r="C32" s="19">
        <v>45353</v>
      </c>
      <c r="D32" s="20">
        <v>100100</v>
      </c>
      <c r="E32" s="21">
        <f t="shared" si="1"/>
        <v>0.004</v>
      </c>
      <c r="F32" s="21"/>
      <c r="H32" s="15" t="s">
        <v>3693</v>
      </c>
      <c r="I32" s="15" t="s">
        <v>3693</v>
      </c>
      <c r="J32" s="15" t="s">
        <v>3693</v>
      </c>
    </row>
    <row r="33" ht="14.4" spans="2:11">
      <c r="B33" s="18">
        <f t="shared" si="0"/>
        <v>100000</v>
      </c>
      <c r="C33" s="19">
        <v>45352</v>
      </c>
      <c r="D33" s="20">
        <v>100100</v>
      </c>
      <c r="E33" s="21">
        <f t="shared" si="1"/>
        <v>0.004</v>
      </c>
      <c r="F33" s="21"/>
      <c r="H33" s="15">
        <f>H30*H31/365*30</f>
        <v>205.479452054795</v>
      </c>
      <c r="I33" s="15">
        <f t="shared" ref="I33:J33" si="2">I30*I31/365*30</f>
        <v>73.972602739726</v>
      </c>
      <c r="J33" s="15">
        <f t="shared" si="2"/>
        <v>41.0958904109589</v>
      </c>
      <c r="K33" s="24">
        <f>D35</f>
        <v>32.9095890410959</v>
      </c>
    </row>
    <row r="34" spans="2:10">
      <c r="B34" s="18"/>
      <c r="C34" s="25"/>
      <c r="D34" s="26"/>
      <c r="E34" s="21"/>
      <c r="F34" s="21"/>
      <c r="G34" s="15" t="s">
        <v>3694</v>
      </c>
      <c r="H34" s="15">
        <v>205.48</v>
      </c>
      <c r="I34" s="15">
        <v>73.97</v>
      </c>
      <c r="J34" s="15">
        <v>41.1</v>
      </c>
    </row>
    <row r="35" spans="2:6">
      <c r="B35" s="24">
        <f>AVERAGE(B3:B33)</f>
        <v>100000</v>
      </c>
      <c r="D35" s="27">
        <f>SUMPRODUCT(D3:D33,E3:E33)/365</f>
        <v>32.9095890410959</v>
      </c>
      <c r="E35" s="27"/>
      <c r="F35" s="27"/>
    </row>
    <row r="36" spans="2:6">
      <c r="B36" s="17" t="s">
        <v>3695</v>
      </c>
      <c r="D36" s="27" t="s">
        <v>3696</v>
      </c>
      <c r="E36" s="27"/>
      <c r="F36" s="27"/>
    </row>
  </sheetData>
  <sortState ref="B4:E33">
    <sortCondition ref="C4:C33" descending="1"/>
  </sortState>
  <mergeCells count="2">
    <mergeCell ref="D35:E35"/>
    <mergeCell ref="D36:E36"/>
  </mergeCell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7"/>
  <sheetViews>
    <sheetView workbookViewId="0">
      <selection activeCell="M29" sqref="M29"/>
    </sheetView>
  </sheetViews>
  <sheetFormatPr defaultColWidth="9" defaultRowHeight="13.2"/>
  <cols>
    <col min="1" max="1" width="0.851851851851852" customWidth="1"/>
    <col min="2" max="2" width="9.13888888888889" customWidth="1"/>
    <col min="3" max="3" width="8.42592592592593" customWidth="1"/>
    <col min="4" max="4" width="7.57407407407407" customWidth="1"/>
    <col min="5" max="5" width="9.28703703703704" customWidth="1"/>
    <col min="6" max="6" width="3" style="1" customWidth="1"/>
    <col min="7" max="7" width="7.57407407407407" customWidth="1"/>
    <col min="8" max="8" width="9.71296296296296" customWidth="1"/>
    <col min="9" max="9" width="44" customWidth="1"/>
  </cols>
  <sheetData>
    <row r="2" ht="26.4" spans="2:9">
      <c r="B2" s="2" t="s">
        <v>3697</v>
      </c>
      <c r="C2" s="3" t="s">
        <v>1656</v>
      </c>
      <c r="D2" s="2" t="s">
        <v>3698</v>
      </c>
      <c r="E2" s="4" t="s">
        <v>3699</v>
      </c>
      <c r="F2" s="4"/>
      <c r="G2" s="4" t="s">
        <v>3700</v>
      </c>
      <c r="H2" s="3" t="s">
        <v>513</v>
      </c>
      <c r="I2" s="14" t="s">
        <v>3701</v>
      </c>
    </row>
    <row r="3" ht="13.8" spans="2:9">
      <c r="B3" s="5"/>
      <c r="C3" s="5">
        <v>102000</v>
      </c>
      <c r="D3" s="5">
        <v>0</v>
      </c>
      <c r="E3" s="5">
        <v>0</v>
      </c>
      <c r="F3" s="6" t="s">
        <v>3702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ht="13.8" spans="2:9">
      <c r="B5" s="5"/>
      <c r="C5" s="5">
        <v>92574</v>
      </c>
      <c r="D5" s="5">
        <v>0</v>
      </c>
      <c r="E5" s="5">
        <v>20000</v>
      </c>
      <c r="F5" s="10" t="s">
        <v>3702</v>
      </c>
      <c r="G5" s="5">
        <f>SUM(B5:E5)</f>
        <v>112574</v>
      </c>
      <c r="H5" s="7">
        <v>43891</v>
      </c>
      <c r="I5" s="9"/>
    </row>
    <row r="6" ht="13.8" spans="2:9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3702</v>
      </c>
      <c r="G6" s="5">
        <f>SUM(B6:E6)</f>
        <v>112225.48</v>
      </c>
      <c r="H6" s="7">
        <v>44195</v>
      </c>
      <c r="I6" s="9" t="s">
        <v>3703</v>
      </c>
    </row>
    <row r="7" ht="13.8" spans="2:9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3702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3704</v>
      </c>
      <c r="D8" s="5"/>
      <c r="E8" s="5"/>
      <c r="F8" s="8"/>
      <c r="G8" s="5"/>
      <c r="H8" s="7"/>
      <c r="I8" s="9"/>
    </row>
    <row r="9" ht="13.8" spans="2:9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3702</v>
      </c>
      <c r="G9" s="5">
        <f t="shared" ref="G9:G14" si="1">SUM(B9:E9)</f>
        <v>112780.48</v>
      </c>
      <c r="H9" s="7">
        <v>44576</v>
      </c>
      <c r="I9" s="9"/>
    </row>
    <row r="10" ht="13.8" spans="2:9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3702</v>
      </c>
      <c r="G10" s="5">
        <f t="shared" si="1"/>
        <v>111480.48</v>
      </c>
      <c r="H10" s="7">
        <v>44608</v>
      </c>
      <c r="I10" s="9"/>
    </row>
    <row r="11" ht="13.8" spans="2:9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3702</v>
      </c>
      <c r="G11" s="5">
        <f t="shared" si="1"/>
        <v>113570.48</v>
      </c>
      <c r="H11" s="7">
        <v>44638</v>
      </c>
      <c r="I11" s="9"/>
    </row>
    <row r="12" ht="13.8" spans="2:9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3702</v>
      </c>
      <c r="G12" s="5">
        <f t="shared" si="1"/>
        <v>109175.48</v>
      </c>
      <c r="H12" s="7">
        <v>44701</v>
      </c>
      <c r="I12" s="9" t="s">
        <v>3705</v>
      </c>
    </row>
    <row r="13" ht="13.8" spans="2:9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3702</v>
      </c>
      <c r="G13" s="5">
        <f t="shared" si="1"/>
        <v>110985.48</v>
      </c>
      <c r="H13" s="7">
        <v>44727</v>
      </c>
      <c r="I13" s="9" t="s">
        <v>3706</v>
      </c>
    </row>
    <row r="14" ht="13.8" spans="2:9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3702</v>
      </c>
      <c r="G14" s="5">
        <f t="shared" si="1"/>
        <v>106859.48</v>
      </c>
      <c r="H14" s="7">
        <v>44788</v>
      </c>
      <c r="I14" s="9" t="s">
        <v>3707</v>
      </c>
    </row>
    <row r="15" ht="13.8" spans="2:9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3702</v>
      </c>
      <c r="G15" s="5">
        <f t="shared" ref="G15:G20" si="2">SUM(B15:E15)</f>
        <v>103207.48</v>
      </c>
      <c r="H15" s="7">
        <v>44849</v>
      </c>
      <c r="I15" s="9"/>
    </row>
    <row r="16" ht="13.8" spans="2:9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3702</v>
      </c>
      <c r="G16" s="5">
        <f t="shared" si="2"/>
        <v>101303.48</v>
      </c>
      <c r="H16" s="7">
        <v>44880</v>
      </c>
      <c r="I16" s="9"/>
    </row>
    <row r="17" ht="13.8" spans="2:9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3702</v>
      </c>
      <c r="G17" s="5">
        <f t="shared" si="2"/>
        <v>99359.48</v>
      </c>
      <c r="H17" s="7">
        <v>44910</v>
      </c>
      <c r="I17" s="9" t="s">
        <v>3707</v>
      </c>
    </row>
    <row r="18" ht="13.8" spans="2:9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3702</v>
      </c>
      <c r="G18" s="5">
        <f t="shared" si="2"/>
        <v>100108.48</v>
      </c>
      <c r="H18" s="7">
        <v>45000</v>
      </c>
      <c r="I18" s="9"/>
    </row>
    <row r="19" ht="13.8" spans="2:9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3702</v>
      </c>
      <c r="G19" s="5">
        <f t="shared" si="2"/>
        <v>101108.48</v>
      </c>
      <c r="H19" s="7">
        <v>45092</v>
      </c>
      <c r="I19" s="9" t="s">
        <v>3708</v>
      </c>
    </row>
    <row r="20" ht="13.8" spans="2:9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3702</v>
      </c>
      <c r="G20" s="5">
        <f t="shared" si="2"/>
        <v>105108.48</v>
      </c>
      <c r="H20" s="7">
        <v>45127</v>
      </c>
      <c r="I20" s="9" t="s">
        <v>3709</v>
      </c>
    </row>
    <row r="21" ht="13.8" spans="2:9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3702</v>
      </c>
      <c r="G21" s="5">
        <f t="shared" ref="G21" si="3">SUM(B21:E21)</f>
        <v>105108.48</v>
      </c>
      <c r="H21" s="7">
        <v>45285</v>
      </c>
      <c r="I21" s="9" t="s">
        <v>3710</v>
      </c>
    </row>
    <row r="22" spans="2:9">
      <c r="B22" s="5"/>
      <c r="C22" s="9" t="s">
        <v>3711</v>
      </c>
      <c r="D22" s="5"/>
      <c r="E22" s="5"/>
      <c r="F22" s="8"/>
      <c r="G22" s="5"/>
      <c r="H22" s="9"/>
      <c r="I22" s="9"/>
    </row>
    <row r="23" ht="13.8" spans="2:9">
      <c r="B23" s="5">
        <f t="shared" si="0"/>
        <v>13108.48</v>
      </c>
      <c r="C23" s="5" t="s">
        <v>1270</v>
      </c>
      <c r="D23" s="5">
        <v>87000</v>
      </c>
      <c r="E23" s="5">
        <v>10000</v>
      </c>
      <c r="F23" s="10" t="s">
        <v>3702</v>
      </c>
      <c r="G23" s="5">
        <f t="shared" ref="G23" si="4">SUM(B23:E23)</f>
        <v>110108.48</v>
      </c>
      <c r="H23" s="7">
        <v>45350</v>
      </c>
      <c r="I23" s="9" t="s">
        <v>3712</v>
      </c>
    </row>
    <row r="24" ht="13.8" spans="2:9">
      <c r="B24" s="5">
        <f t="shared" si="0"/>
        <v>13108.48</v>
      </c>
      <c r="C24" s="5"/>
      <c r="D24" s="5">
        <v>92000</v>
      </c>
      <c r="E24" s="5">
        <v>9897</v>
      </c>
      <c r="F24" s="10" t="s">
        <v>3702</v>
      </c>
      <c r="G24" s="5">
        <f t="shared" ref="G24" si="5">SUM(B24:E24)</f>
        <v>115005.48</v>
      </c>
      <c r="H24" s="7">
        <v>45473</v>
      </c>
      <c r="I24" s="9" t="s">
        <v>3713</v>
      </c>
    </row>
    <row r="25" ht="13.8" spans="2:9">
      <c r="B25" s="5">
        <f t="shared" si="0"/>
        <v>13108.48</v>
      </c>
      <c r="C25" s="5"/>
      <c r="D25" s="5">
        <v>102000</v>
      </c>
      <c r="E25" s="5">
        <v>7000</v>
      </c>
      <c r="F25" s="10" t="s">
        <v>3702</v>
      </c>
      <c r="G25" s="5">
        <f t="shared" ref="G25" si="6">SUM(B25:E25)</f>
        <v>122108.48</v>
      </c>
      <c r="H25" s="7">
        <v>45569</v>
      </c>
      <c r="I25" s="9" t="s">
        <v>3714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dcterms:created xsi:type="dcterms:W3CDTF">1998-07-18T13:03:00Z</dcterms:created>
  <cp:lastPrinted>2024-02-07T05:27:00Z</cp:lastPrinted>
  <dcterms:modified xsi:type="dcterms:W3CDTF">2025-01-13T16:39:27Z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