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19428220-C07C-4E80-B0A2-72D4E5EE63EE}" xr6:coauthVersionLast="38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79021"/>
</workbook>
</file>

<file path=xl/calcChain.xml><?xml version="1.0" encoding="utf-8"?>
<calcChain xmlns="http://schemas.openxmlformats.org/spreadsheetml/2006/main">
  <c r="NY25" i="32" l="1"/>
  <c r="NY45" i="32"/>
  <c r="NY34" i="32"/>
  <c r="NY27" i="32"/>
  <c r="NY30" i="32"/>
  <c r="NY23" i="32"/>
  <c r="OA30" i="32" l="1"/>
  <c r="NY37" i="32"/>
  <c r="NW17" i="32" l="1"/>
  <c r="NY47" i="32"/>
  <c r="NY22" i="32"/>
  <c r="NW15" i="32"/>
  <c r="NY35" i="32"/>
  <c r="NW44" i="32" s="1"/>
  <c r="OA18" i="32"/>
  <c r="OA2" i="32" s="1"/>
  <c r="NY18" i="32"/>
  <c r="NY17" i="32"/>
  <c r="NY5" i="32" l="1"/>
  <c r="NW2" i="32"/>
  <c r="NW38" i="32"/>
  <c r="NW39" i="32"/>
  <c r="NW40" i="32"/>
  <c r="NW42" i="32"/>
  <c r="NW43" i="32" l="1"/>
  <c r="NW41" i="32"/>
  <c r="NS36" i="32"/>
  <c r="NS17" i="32" l="1"/>
  <c r="NS15" i="32" l="1"/>
  <c r="NQ31" i="32" l="1"/>
  <c r="NQ30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8" i="32"/>
  <c r="NQ11" i="32"/>
  <c r="NS22" i="32"/>
  <c r="NQ36" i="32" s="1"/>
  <c r="NU19" i="32" l="1"/>
  <c r="NU2" i="32" s="1"/>
  <c r="NY2" i="32" s="1"/>
  <c r="NS18" i="32"/>
  <c r="NS40" i="32"/>
  <c r="NQ15" i="32"/>
  <c r="NQ2" i="32" s="1"/>
  <c r="NY3" i="32" l="1"/>
  <c r="NY4" i="32"/>
  <c r="NM17" i="32"/>
  <c r="NK30" i="32" s="1"/>
  <c r="MY30" i="32"/>
  <c r="NS38" i="32" l="1"/>
  <c r="NS5" i="32" s="1"/>
  <c r="NQ33" i="32"/>
  <c r="NQ35" i="32"/>
  <c r="NQ32" i="32"/>
  <c r="NQ34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<sst xmlns="http://schemas.openxmlformats.org/spreadsheetml/2006/main" count="8949" uniqueCount="3688">
  <si>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</si>
  <si>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</si>
  <si>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</si>
  <si>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</si>
  <si>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</si>
  <si>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</si>
  <si>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</si>
  <si>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</si>
  <si>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</si>
  <si>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</si>
  <si>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</si>
  <si>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</si>
  <si>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</si>
  <si>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</si>
  <si>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</si>
  <si>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</si>
  <si>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</si>
  <si>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</si>
  <si>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</si>
  <si>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</si>
  <si>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</si>
  <si>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</si>
  <si>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</si>
  <si>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</si>
  <si>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</si>
  <si>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</si>
  <si>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</si>
  <si>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</si>
  <si>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</si>
  <si>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</si>
  <si>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</si>
  <si>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</si>
  <si>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</si>
  <si>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</si>
  <si>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</si>
  <si>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</si>
  <si>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</si>
  <si>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</si>
  <si>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</si>
  <si>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</si>
  <si>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</si>
  <si>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</si>
  <si>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</si>
  <si>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</si>
  <si>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</si>
  <si>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</si>
  <si>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</si>
  <si>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</si>
  <si>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</si>
  <si>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</si>
  <si>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</si>
  <si>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</si>
  <si>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</si>
  <si>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</si>
  <si>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</si>
  <si>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</si>
  <si>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</si>
  <si>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</si>
  <si>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</si>
  <si>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</si>
  <si>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</si>
  <si>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</si>
  <si>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</si>
  <si>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</si>
  <si>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</si>
  <si>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</si>
  <si>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</si>
  <si>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</si>
  <si>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</si>
  <si>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</si>
  <si>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</si>
  <si>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</si>
  <si>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</si>
  <si>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</si>
  <si>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</si>
  <si>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</si>
  <si>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</si>
  <si>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</si>
  <si>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</si>
  <si>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</si>
  <si>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</si>
  <si>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</si>
  <si>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</si>
  <si>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</si>
  <si>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</si>
  <si>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</si>
  <si>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</si>
  <si>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</si>
  <si>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</si>
  <si>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</si>
  <si>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</si>
  <si>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</si>
  <si>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</si>
  <si>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</si>
  <si>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</si>
  <si>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</si>
  <si>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</si>
  <si>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</si>
  <si>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</si>
  <si>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</si>
  <si>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</si>
  <si>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</si>
  <si>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</si>
  <si>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</si>
  <si>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</si>
  <si>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</si>
  <si>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</si>
  <si>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</si>
  <si>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</si>
  <si>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</si>
  <si>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</si>
  <si>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</si>
  <si>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</si>
  <si>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</si>
  <si>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</si>
  <si>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</si>
  <si>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</si>
  <si>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</si>
  <si>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</si>
  <si>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</si>
  <si>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</si>
  <si>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</si>
  <si>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</si>
  <si>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</si>
  <si>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</si>
  <si>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</si>
  <si>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</si>
  <si>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</si>
  <si>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</si>
  <si>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</si>
  <si>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</si>
  <si>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</si>
  <si>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</si>
  <si>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</si>
  <si>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</si>
  <si>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</si>
  <si>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</si>
  <si>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</si>
  <si>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</si>
  <si>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</si>
  <si>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</si>
  <si>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</si>
  <si>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</si>
  <si>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</si>
  <si>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</si>
  <si>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</si>
  <si>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</si>
  <si>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</si>
  <si>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</si>
  <si>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</si>
  <si>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</si>
  <si>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</si>
  <si>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</si>
  <si>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</si>
  <si>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</si>
  <si>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</si>
  <si>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</si>
  <si>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</si>
  <si>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</si>
  <si>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</si>
  <si>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</si>
  <si>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</si>
  <si>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</si>
  <si>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</si>
  <si>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</si>
  <si>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</si>
  <si>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</si>
  <si>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</si>
  <si>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</si>
  <si>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</si>
  <si>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</si>
  <si>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</si>
  <si>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</si>
  <si>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</si>
  <si>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</si>
  <si>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</si>
  <si>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</si>
  <si>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</si>
  <si>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</si>
  <si>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</si>
  <si>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</si>
  <si>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</si>
  <si>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</si>
  <si>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</si>
  <si>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</si>
  <si>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</si>
  <si>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</si>
  <si>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</si>
  <si>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</si>
  <si>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</si>
  <si>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</si>
  <si>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</si>
  <si>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</si>
  <si>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</si>
  <si>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</si>
  <si>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</si>
  <si>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</si>
  <si>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</si>
  <si>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</si>
  <si>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</si>
  <si>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</si>
  <si>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</si>
  <si>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</si>
  <si>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</si>
  <si>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</si>
  <si>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</si>
  <si>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</si>
  <si>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</si>
  <si>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</si>
  <si>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</si>
  <si>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</si>
  <si>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</si>
  <si>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</si>
  <si>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</si>
  <si>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</si>
  <si>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</si>
  <si>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</si>
  <si>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</si>
  <si>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</si>
  <si>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</si>
  <si>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</si>
  <si>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</si>
  <si>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</si>
  <si>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</si>
  <si>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</si>
  <si>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</si>
  <si>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</si>
  <si>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</si>
  <si>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</si>
  <si>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</si>
  <si>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</si>
  <si>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</si>
  <si>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</si>
  <si>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</si>
  <si>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</si>
  <si>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</si>
  <si>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</si>
  <si>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</si>
  <si>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</si>
  <si>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</si>
  <si>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</si>
  <si>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</si>
  <si>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</si>
  <si>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</si>
  <si>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</si>
  <si>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</si>
  <si>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</si>
  <si>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</si>
  <si>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</si>
  <si>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</si>
  <si>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</si>
  <si>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</si>
  <si>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</si>
  <si>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</si>
  <si>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</si>
  <si>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</si>
  <si>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</si>
  <si>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</si>
  <si>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</si>
  <si>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</si>
  <si>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</si>
  <si>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</si>
  <si>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</si>
  <si>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</si>
  <si>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</si>
  <si>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</si>
  <si>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</si>
  <si>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</si>
  <si>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</si>
  <si>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</si>
  <si>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</si>
  <si>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</si>
  <si>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</si>
  <si>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</si>
  <si>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</si>
  <si>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</si>
  <si>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</si>
  <si>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</si>
  <si>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</si>
  <si>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</si>
  <si>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</si>
  <si>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</si>
  <si>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</si>
  <si>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</si>
  <si>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</si>
  <si>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</si>
  <si>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</si>
  <si>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</si>
  <si>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</si>
  <si>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</si>
  <si>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</si>
  <si>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</si>
  <si>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</si>
  <si>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</si>
  <si>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</si>
  <si>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</si>
  <si>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</si>
  <si>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</si>
  <si>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</si>
  <si>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</si>
  <si>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</si>
  <si>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</si>
  <si>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</si>
  <si>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</si>
  <si>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</si>
  <si>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</si>
  <si>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</si>
  <si>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</si>
  <si>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</si>
  <si>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</si>
  <si>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</si>
  <si>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</si>
  <si>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</si>
  <si>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</si>
  <si>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</si>
  <si>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</si>
  <si>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</si>
  <si>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</si>
  <si>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</si>
  <si>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</si>
  <si>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</si>
  <si>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</si>
  <si>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</si>
  <si>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</si>
  <si>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</si>
  <si>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</si>
  <si>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</si>
  <si>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</si>
  <si>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</si>
  <si>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</si>
  <si>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</si>
  <si>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</si>
  <si>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</si>
  <si>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</si>
  <si>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</si>
  <si>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</si>
  <si>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</si>
  <si>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</si>
  <si>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</si>
  <si>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</si>
  <si>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</si>
  <si>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</si>
  <si>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</si>
  <si>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</si>
  <si>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</si>
  <si>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</si>
  <si>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</si>
  <si>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</si>
  <si>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</si>
  <si>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</si>
  <si>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</si>
  <si>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</si>
  <si>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</si>
  <si>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</si>
  <si>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</si>
  <si>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</si>
  <si>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</si>
  <si>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</si>
  <si>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</si>
  <si>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</si>
  <si>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</si>
  <si>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</si>
  <si>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</si>
  <si>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</si>
  <si>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</si>
  <si>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</si>
  <si>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</si>
  <si>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</si>
  <si>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</si>
  <si>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</si>
  <si>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</si>
  <si>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</si>
  <si>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</si>
  <si>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</si>
  <si>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</si>
  <si>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</si>
  <si>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</si>
  <si>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</si>
  <si>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</si>
  <si>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</si>
  <si>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</si>
  <si>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</si>
  <si>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</si>
  <si>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</si>
  <si>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</si>
  <si>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</si>
  <si>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</si>
  <si>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</si>
  <si>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</si>
  <si>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</si>
  <si>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</si>
  <si>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</si>
  <si>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</si>
  <si>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</si>
  <si>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</si>
  <si>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</si>
  <si>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</si>
  <si>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</si>
  <si>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</si>
  <si>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</si>
  <si>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</si>
  <si>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</si>
  <si>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</si>
  <si>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</si>
  <si>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</si>
  <si>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</si>
  <si>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</si>
  <si>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</si>
  <si>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</si>
  <si>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</si>
  <si>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</si>
  <si>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</si>
  <si>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</si>
  <si>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</si>
  <si>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</si>
  <si>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</si>
  <si>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</si>
  <si>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</si>
  <si>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</si>
  <si>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</si>
  <si>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</si>
  <si>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</si>
  <si>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</si>
  <si>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</si>
  <si>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</si>
  <si>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</si>
  <si>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</si>
  <si>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</si>
  <si>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</si>
  <si>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</si>
  <si>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</si>
  <si>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</si>
  <si>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</si>
  <si>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</si>
  <si>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</si>
  <si>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</si>
  <si>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</si>
  <si>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</si>
  <si>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</si>
  <si>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</si>
  <si>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</si>
  <si>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</si>
  <si>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</si>
  <si>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</si>
  <si>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</si>
  <si>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</si>
  <si>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</si>
  <si>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</si>
  <si>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</si>
  <si>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</si>
  <si>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</si>
  <si>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</si>
  <si>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</si>
  <si>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</si>
  <si>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</si>
  <si>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</si>
  <si>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</si>
  <si>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</si>
  <si>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</si>
  <si>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</si>
  <si>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</si>
  <si>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</si>
  <si>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</si>
  <si>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</si>
  <si>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</si>
  <si>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</si>
  <si>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</si>
  <si>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</si>
  <si>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</si>
  <si>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</si>
  <si>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</si>
  <si>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</si>
  <si>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</si>
  <si>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</si>
  <si>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</si>
  <si>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</si>
  <si>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</si>
  <si>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</si>
  <si>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</si>
  <si>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</si>
  <si>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</si>
  <si>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</si>
  <si>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</si>
  <si>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</si>
  <si>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</si>
  <si>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</si>
  <si>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</si>
  <si>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</si>
  <si>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</si>
  <si>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</si>
  <si>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</si>
  <si>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</si>
  <si>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</si>
  <si>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</si>
  <si>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</si>
  <si>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</si>
  <si>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</si>
  <si>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</si>
  <si>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</si>
  <si>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</si>
  <si>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</si>
  <si>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</si>
  <si>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</si>
  <si>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</si>
  <si>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</si>
  <si>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</si>
  <si>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</si>
  <si>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</si>
  <si>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</si>
  <si>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</si>
  <si>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</si>
  <si>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</si>
  <si>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</si>
  <si>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</si>
  <si>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</si>
  <si>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</si>
  <si>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</si>
  <si>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</si>
  <si>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</si>
  <si>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</si>
  <si>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</si>
  <si>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</si>
  <si>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</si>
  <si>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</si>
  <si>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</si>
  <si>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</si>
  <si>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</si>
  <si>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</si>
  <si>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</si>
  <si>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</si>
  <si>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</si>
  <si>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</si>
  <si>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</si>
  <si>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</si>
  <si>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</si>
  <si>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</si>
  <si>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</si>
  <si>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</si>
  <si>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</si>
  <si>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</si>
  <si>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</si>
  <si>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</si>
  <si>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</si>
  <si>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</si>
  <si>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</si>
  <si>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</si>
  <si>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</si>
  <si>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</si>
  <si>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</si>
  <si>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</si>
  <si>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</si>
  <si>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</si>
  <si>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</si>
  <si>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</si>
  <si>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</si>
  <si>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</si>
  <si>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</si>
  <si>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</si>
  <si>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</si>
  <si>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</si>
  <si>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</si>
  <si>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</si>
  <si>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</si>
  <si>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</si>
  <si>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</si>
  <si>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</si>
  <si>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</si>
  <si>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</si>
  <si>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</si>
  <si>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</si>
  <si>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</si>
  <si>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</si>
  <si>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</si>
  <si>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</si>
  <si>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</si>
  <si>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</si>
  <si>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</si>
  <si>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</si>
  <si>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</si>
  <si>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</si>
  <si>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</si>
  <si>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</si>
  <si>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</si>
  <si>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</si>
  <si>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</si>
  <si>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</si>
  <si>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</si>
  <si>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</si>
  <si>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</si>
  <si>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</si>
  <si>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</si>
  <si>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</si>
  <si>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</si>
  <si>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</si>
  <si>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</si>
  <si>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</si>
  <si>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</si>
  <si>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</si>
  <si>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</si>
  <si>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</si>
  <si>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</si>
  <si>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</si>
  <si>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</si>
  <si>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</si>
  <si>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</si>
  <si>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</si>
  <si>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</si>
  <si>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</si>
  <si>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</si>
  <si>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</si>
  <si>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</si>
  <si>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</si>
  <si>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</si>
  <si>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</si>
  <si>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</si>
  <si>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</si>
  <si>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</si>
  <si>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</si>
  <si>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</si>
  <si>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</si>
  <si>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</si>
  <si>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</si>
  <si>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</si>
  <si>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</si>
  <si>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</si>
  <si>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</si>
  <si>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</si>
  <si>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</si>
  <si>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</si>
  <si>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</si>
  <si>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</si>
  <si>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</si>
  <si>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</si>
  <si>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</si>
  <si>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</si>
  <si>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</si>
  <si>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</si>
  <si>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</si>
  <si>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</si>
  <si>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</si>
  <si>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</si>
  <si>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</si>
  <si>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</si>
  <si>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</si>
  <si>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</si>
  <si>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</si>
  <si>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</si>
  <si>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</si>
  <si>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</si>
  <si>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</si>
  <si>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</si>
  <si>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</si>
  <si>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</si>
  <si>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</si>
  <si>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</si>
  <si>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</si>
  <si>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</si>
  <si>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</si>
  <si>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</si>
  <si>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</si>
  <si>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</si>
  <si>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</si>
  <si>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</si>
  <si>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</si>
  <si>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</si>
  <si>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</si>
  <si>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</si>
  <si>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</si>
  <si>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</si>
  <si>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</si>
  <si>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</si>
  <si>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</si>
  <si>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</si>
  <si>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</si>
  <si>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</si>
  <si>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</si>
  <si>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</si>
  <si>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</si>
  <si>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</si>
  <si>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</si>
  <si>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</si>
  <si>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</si>
  <si>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</si>
  <si>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</si>
  <si>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</si>
  <si>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</si>
  <si>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</si>
  <si>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</si>
  <si>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</si>
  <si>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</si>
  <si>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</si>
  <si>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</si>
  <si>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</si>
  <si>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</si>
  <si>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</si>
  <si>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</si>
  <si>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</si>
  <si>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</si>
  <si>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</si>
  <si>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</si>
  <si>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</si>
  <si>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</si>
  <si>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</si>
  <si>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</si>
  <si>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</si>
  <si>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</si>
  <si>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</si>
  <si>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</si>
  <si>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</si>
  <si>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</si>
  <si>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</si>
  <si>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</si>
  <si>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</si>
  <si>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</si>
  <si>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</si>
  <si>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</si>
  <si>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</si>
  <si>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</si>
  <si>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</si>
  <si>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</si>
  <si>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</si>
  <si>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</si>
  <si>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</si>
  <si>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</si>
  <si>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</si>
  <si>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</si>
  <si>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</si>
  <si>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</si>
  <si>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</si>
  <si>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</si>
  <si>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</si>
  <si>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</si>
  <si>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</si>
  <si>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</si>
  <si>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</si>
  <si>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</si>
  <si>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</si>
  <si>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</si>
  <si>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</si>
  <si>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</si>
  <si>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</si>
  <si>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</si>
  <si>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</si>
  <si>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</si>
  <si>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</si>
  <si>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</si>
  <si>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</si>
  <si>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</si>
  <si>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</si>
  <si>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</si>
  <si>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</si>
  <si>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</si>
  <si>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</si>
  <si>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</si>
  <si>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</si>
  <si>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</si>
  <si>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</si>
  <si>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</si>
  <si>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</si>
  <si>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</si>
  <si>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</si>
  <si>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</si>
  <si>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</si>
  <si>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</si>
  <si>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</si>
  <si>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</si>
  <si>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</si>
  <si>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</si>
  <si>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</si>
  <si>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</si>
  <si>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</si>
  <si>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</si>
  <si>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</si>
  <si>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</si>
  <si>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</si>
  <si>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</si>
  <si>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</si>
  <si>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</si>
  <si>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</si>
  <si>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</si>
  <si>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</si>
  <si>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</si>
  <si>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</si>
  <si>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</si>
  <si>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</si>
  <si>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</si>
  <si>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</si>
  <si>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</si>
  <si>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</si>
  <si>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</si>
  <si>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</si>
  <si>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</si>
  <si>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</si>
  <si>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</si>
  <si>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</si>
  <si>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</si>
  <si>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</si>
  <si>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</si>
  <si>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</si>
  <si>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</si>
  <si>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</si>
  <si>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</si>
  <si>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</si>
  <si>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</si>
  <si>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</si>
  <si>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</si>
  <si>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</si>
  <si>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</si>
  <si>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</si>
  <si>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</si>
  <si>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</si>
  <si>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</si>
  <si>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</si>
  <si>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</si>
  <si>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</si>
  <si>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</si>
  <si>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</si>
  <si>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</si>
  <si>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</si>
  <si>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</si>
  <si>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</si>
  <si>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</si>
  <si>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</si>
  <si>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</si>
  <si>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</si>
  <si>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</si>
  <si>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</si>
  <si>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</si>
  <si>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</si>
  <si>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</si>
  <si>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</si>
  <si>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</si>
  <si>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</si>
  <si>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</si>
  <si>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</si>
  <si>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</si>
  <si>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</si>
  <si>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</si>
  <si>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</si>
  <si>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</si>
  <si>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</si>
  <si>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</si>
  <si>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</si>
  <si>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</si>
  <si>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</si>
  <si>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</si>
  <si>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</si>
  <si>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</si>
  <si>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</si>
  <si>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</si>
  <si>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</si>
  <si>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</si>
  <si>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</si>
  <si>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</si>
  <si>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</si>
  <si>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</si>
  <si>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</si>
  <si>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</si>
  <si>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</si>
  <si>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</si>
  <si>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</si>
  <si>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</si>
  <si>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</si>
  <si>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</si>
  <si>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</si>
  <si>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</si>
  <si>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</si>
  <si>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</si>
  <si>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</si>
  <si>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</si>
  <si>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</si>
  <si>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</si>
  <si>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</si>
  <si>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</si>
  <si>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</si>
  <si>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</si>
  <si>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</si>
  <si>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</si>
  <si>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</si>
  <si>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</si>
  <si>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</si>
  <si>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</si>
  <si>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</si>
  <si>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</si>
  <si>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</si>
  <si>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</si>
  <si>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</si>
  <si>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</si>
  <si>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</si>
  <si>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</si>
  <si>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</si>
  <si>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</si>
  <si>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</si>
  <si>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</si>
  <si>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</si>
  <si>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</si>
  <si>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</si>
  <si>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</si>
  <si>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</si>
  <si>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</si>
  <si>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</si>
  <si>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</si>
  <si>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</si>
  <si>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</si>
  <si>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</si>
  <si>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</si>
  <si>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</si>
  <si>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</si>
  <si>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</si>
  <si>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</si>
  <si>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</si>
  <si>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</si>
  <si>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</si>
  <si>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</si>
  <si>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</si>
  <si>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</si>
  <si>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</si>
  <si>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</si>
  <si>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</si>
  <si>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</si>
  <si>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</si>
  <si>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</si>
  <si>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</si>
  <si>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</si>
  <si>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</si>
  <si>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</si>
  <si>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</si>
  <si>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</si>
  <si>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</si>
  <si>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</si>
  <si>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</si>
  <si>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</si>
  <si>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</si>
  <si>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</si>
  <si>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</si>
  <si>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</si>
  <si>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</si>
  <si>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</si>
  <si>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</si>
  <si>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</si>
  <si>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</si>
  <si>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</si>
  <si>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</si>
  <si>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</si>
  <si>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</si>
  <si>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</si>
  <si>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</si>
  <si>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</si>
  <si>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</si>
  <si>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</si>
  <si>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</si>
  <si>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</si>
  <si>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</si>
  <si>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</si>
  <si>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</si>
  <si>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</si>
  <si>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</si>
  <si>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</si>
  <si>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</si>
  <si>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</si>
  <si>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</si>
  <si>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</si>
  <si>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</si>
  <si>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</si>
  <si>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</si>
  <si>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</si>
  <si>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</si>
  <si>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</si>
  <si>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</si>
  <si>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</si>
  <si>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</si>
  <si>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</si>
  <si>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</si>
  <si>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</si>
  <si>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</si>
  <si>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</si>
  <si>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</si>
  <si>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</si>
  <si>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</si>
  <si>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</si>
  <si>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</si>
  <si>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</si>
  <si>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</si>
  <si>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</si>
  <si>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</si>
  <si>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</si>
  <si>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</si>
  <si>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</si>
  <si>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</si>
  <si>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</si>
  <si>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</si>
  <si>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</si>
  <si>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</si>
  <si>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</si>
  <si>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</si>
  <si>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</si>
  <si>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</si>
  <si>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</si>
  <si>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</si>
  <si>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</si>
  <si>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</si>
  <si>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</si>
  <si>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</si>
  <si>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</si>
  <si>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</si>
  <si>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</si>
  <si>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</si>
  <si>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</si>
  <si>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</si>
  <si>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</si>
  <si>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</si>
  <si>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</si>
  <si>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</si>
  <si>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</si>
  <si>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</si>
  <si>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</si>
  <si>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</si>
  <si>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</si>
  <si>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</si>
  <si>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</si>
  <si>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</si>
  <si>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</si>
  <si>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</si>
  <si>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</si>
  <si>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</si>
  <si>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</si>
  <si>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</si>
  <si>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</si>
  <si>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</si>
  <si>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</si>
  <si>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</si>
  <si>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</si>
  <si>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</si>
  <si>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</si>
  <si>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</si>
  <si>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</si>
  <si>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</si>
  <si>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</si>
  <si>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</si>
  <si>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</si>
  <si>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</si>
  <si>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</si>
  <si>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</si>
  <si>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</si>
  <si>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</si>
  <si>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</si>
  <si>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</si>
  <si>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</si>
  <si>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</si>
  <si>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</si>
  <si>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</si>
  <si>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</si>
  <si>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</si>
  <si>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</si>
  <si>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</si>
  <si>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</si>
  <si>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</si>
  <si>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</si>
  <si>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</si>
  <si>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</si>
  <si>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</si>
  <si>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</si>
  <si>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</si>
  <si>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</si>
  <si>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</si>
  <si>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</si>
  <si>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</si>
  <si>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</si>
  <si>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</si>
  <si>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</si>
  <si>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</si>
  <si>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</si>
  <si>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</si>
  <si>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</si>
  <si>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</si>
  <si>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</si>
  <si>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</si>
  <si>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</si>
  <si>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</si>
  <si>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</si>
  <si>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</si>
  <si>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</si>
  <si>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</si>
  <si>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</si>
  <si>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</si>
  <si>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</si>
  <si>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</si>
  <si>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</si>
  <si>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</si>
  <si>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</si>
  <si>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</si>
  <si>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</si>
  <si>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</si>
  <si>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</si>
  <si>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</si>
  <si>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</si>
  <si>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</si>
  <si>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</si>
  <si>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</si>
  <si>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</si>
  <si>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</si>
  <si>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</si>
  <si>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</si>
  <si>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</si>
  <si>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</si>
  <si>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</si>
  <si>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</si>
  <si>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</si>
  <si>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</si>
  <si>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</si>
  <si>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</si>
  <si>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</si>
  <si>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</si>
  <si>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</si>
  <si>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</si>
  <si>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</si>
  <si>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</si>
  <si>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</si>
  <si>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</si>
  <si>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</si>
  <si>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</si>
  <si>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</si>
  <si>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</si>
  <si>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</si>
  <si>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</si>
  <si>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</si>
  <si>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</si>
  <si>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</si>
  <si>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</si>
  <si>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</si>
  <si>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</si>
  <si>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</si>
  <si>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</si>
  <si>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</si>
  <si>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</si>
  <si>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</si>
  <si>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</si>
  <si>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</si>
  <si>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</si>
  <si>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</si>
  <si>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</si>
  <si>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</si>
  <si>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</si>
  <si>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</si>
  <si>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</si>
  <si>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</si>
  <si>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</si>
  <si>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</si>
  <si>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</si>
  <si>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</si>
  <si>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</si>
  <si>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</si>
  <si>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</si>
  <si>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</si>
  <si>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</si>
  <si>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</si>
  <si>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</si>
  <si>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</si>
  <si>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</si>
  <si>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</si>
  <si>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</si>
  <si>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</si>
  <si>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</si>
  <si>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</si>
  <si>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</si>
  <si>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</si>
  <si>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</si>
  <si>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</si>
  <si>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</si>
  <si>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</si>
  <si>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</si>
  <si>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</si>
  <si>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</si>
  <si>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</si>
  <si>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</si>
  <si>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</si>
  <si>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</si>
  <si>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</si>
  <si>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</si>
  <si>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</si>
  <si>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</si>
  <si>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</si>
  <si>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</si>
  <si>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</si>
  <si>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</si>
  <si>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</si>
  <si>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</si>
  <si>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</si>
  <si>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</si>
  <si>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</si>
  <si>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</si>
  <si>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</si>
  <si>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</si>
  <si>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</si>
  <si>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</si>
  <si>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</si>
  <si>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</si>
  <si>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</si>
  <si>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</si>
  <si>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</si>
  <si>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</si>
  <si>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</si>
  <si>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</si>
  <si>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</si>
  <si>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</si>
  <si>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</si>
  <si>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</si>
  <si>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</si>
  <si>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</si>
  <si>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</si>
  <si>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</si>
  <si>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</si>
  <si>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</si>
  <si>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</si>
  <si>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</si>
  <si>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</si>
  <si>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</si>
  <si>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</si>
  <si>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</si>
  <si>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</si>
  <si>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</si>
  <si>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</si>
  <si>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</si>
  <si>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</si>
  <si>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</si>
  <si>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</si>
  <si>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</si>
  <si>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</si>
  <si>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</si>
  <si>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</si>
  <si>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</si>
  <si>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</si>
  <si>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</si>
  <si>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</si>
  <si>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</si>
  <si>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</si>
  <si>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</si>
  <si>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</si>
  <si>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</si>
  <si>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</si>
  <si>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</si>
  <si>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</si>
  <si>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</si>
  <si>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</si>
  <si>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</si>
  <si>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</si>
  <si>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</si>
  <si>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</si>
  <si>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</si>
  <si>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</si>
  <si>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</si>
  <si>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</si>
  <si>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</si>
  <si>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</si>
  <si>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</si>
  <si>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</si>
  <si>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</si>
  <si>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</si>
  <si>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</si>
  <si>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</si>
  <si>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</si>
  <si>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</si>
  <si>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</si>
  <si>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</si>
  <si>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</si>
  <si>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</si>
  <si>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</si>
  <si>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</si>
  <si>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</si>
  <si>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</si>
  <si>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</si>
  <si>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</si>
  <si>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</si>
  <si>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</si>
  <si>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</si>
  <si>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</si>
  <si>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</si>
  <si>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</si>
  <si>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</si>
  <si>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</si>
  <si>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</si>
  <si>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</si>
  <si>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</si>
  <si>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</si>
  <si>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</si>
  <si>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</si>
  <si>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</si>
  <si>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</si>
  <si>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</si>
  <si>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</si>
  <si>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</si>
  <si>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</si>
  <si>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</si>
  <si>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</si>
  <si>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</si>
  <si>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</si>
  <si>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</si>
  <si>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</si>
  <si>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</si>
  <si>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</si>
  <si>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</si>
  <si>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</si>
  <si>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</si>
  <si>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</si>
  <si>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</si>
  <si>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</si>
  <si>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</si>
  <si>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</si>
  <si>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</si>
  <si>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</si>
  <si>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</si>
  <si>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</si>
  <si>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</si>
  <si>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</si>
  <si>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</si>
  <si>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</si>
  <si>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</si>
  <si>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</si>
  <si>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</si>
  <si>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</si>
  <si>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</si>
  <si>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</si>
  <si>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</si>
  <si>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</si>
  <si>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</si>
  <si>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</si>
  <si>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</si>
  <si>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</si>
  <si>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</si>
  <si>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</si>
  <si>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</si>
  <si>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</si>
  <si>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</si>
  <si>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</si>
  <si>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</si>
  <si>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</si>
  <si>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</si>
  <si>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</si>
  <si>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</si>
  <si>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</si>
  <si>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</si>
  <si>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</si>
  <si>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</si>
  <si>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</si>
  <si>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</si>
  <si>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</si>
  <si>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</si>
  <si>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</si>
  <si>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</si>
  <si>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</si>
  <si>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</si>
  <si>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</si>
  <si>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</si>
  <si>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</si>
  <si>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</si>
  <si>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</si>
  <si>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</si>
  <si>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</si>
  <si>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</si>
  <si>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</si>
  <si>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</si>
  <si>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</si>
  <si>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</si>
  <si>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</si>
  <si>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</si>
  <si>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</si>
  <si>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</si>
  <si>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</si>
  <si>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</si>
  <si>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</si>
  <si>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</si>
  <si>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</si>
  <si>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</si>
  <si>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</si>
  <si>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</si>
  <si>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</si>
  <si>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</si>
  <si>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</si>
  <si>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</si>
  <si>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</si>
  <si>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</si>
  <si>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</si>
  <si>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</si>
  <si>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</si>
  <si>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</si>
  <si>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</si>
  <si>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</si>
  <si>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</si>
  <si>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</si>
  <si>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</si>
  <si>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</si>
  <si>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</si>
  <si>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</si>
  <si>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</si>
  <si>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</si>
  <si>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</si>
  <si>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</si>
  <si>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</si>
  <si>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</si>
  <si>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</si>
  <si>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</si>
  <si>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</si>
  <si>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</si>
  <si>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</si>
  <si>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</si>
  <si>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</si>
  <si>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</si>
  <si>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</si>
  <si>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</si>
  <si>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</si>
  <si>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</si>
  <si>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</si>
  <si>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</si>
  <si>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</si>
  <si>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</si>
  <si>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</si>
  <si>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</si>
  <si>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</si>
  <si>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</si>
  <si>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</si>
  <si>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</si>
  <si>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</si>
  <si>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</si>
  <si>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</si>
  <si>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</si>
  <si>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</si>
  <si>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</si>
  <si>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</si>
  <si>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</si>
  <si>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</si>
  <si>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</si>
  <si>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</si>
  <si>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</si>
  <si>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</si>
  <si>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</si>
  <si>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</si>
  <si>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</si>
  <si>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</si>
  <si>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</si>
  <si>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</si>
  <si>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</si>
  <si>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</si>
  <si>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</si>
  <si>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</si>
  <si>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</si>
  <si>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</si>
  <si>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</si>
  <si>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</si>
  <si>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</si>
  <si>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</si>
  <si>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</si>
  <si>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</si>
  <si>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</si>
  <si>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</si>
  <si>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</si>
  <si>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</si>
  <si>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</si>
  <si>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</si>
  <si>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</si>
  <si>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</si>
  <si>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</si>
  <si>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</si>
  <si>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</si>
  <si>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</si>
  <si>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</si>
  <si>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</si>
  <si>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</si>
  <si>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</si>
  <si>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</si>
  <si>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</si>
  <si>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</si>
  <si>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</si>
  <si>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</si>
  <si>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</si>
  <si>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</si>
  <si>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</si>
  <si>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</si>
  <si>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</si>
  <si>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</si>
  <si>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</si>
  <si>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</si>
  <si>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</si>
  <si>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</si>
  <si>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</si>
  <si>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</si>
  <si>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</si>
  <si>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</si>
  <si>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</si>
  <si>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</si>
  <si>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</si>
  <si>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</si>
  <si>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</si>
  <si>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</si>
  <si>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</si>
  <si>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</si>
  <si>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</si>
  <si>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</si>
  <si>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</si>
  <si>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</si>
  <si>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</si>
  <si>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</si>
  <si>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</si>
  <si>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</si>
  <si>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</si>
  <si>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</si>
  <si>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</si>
  <si>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</si>
  <si>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</si>
  <si>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</si>
  <si>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</si>
  <si>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</si>
  <si>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</si>
  <si>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</si>
  <si>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</si>
  <si>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</si>
  <si>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</si>
  <si>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</si>
  <si>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</si>
  <si>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</si>
  <si>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</si>
  <si>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</si>
  <si>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</si>
  <si>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</si>
  <si>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</si>
  <si>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</si>
  <si>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</si>
  <si>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</si>
  <si>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</si>
  <si>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</si>
  <si>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</si>
  <si>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</si>
  <si>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</si>
  <si>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</si>
  <si>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</si>
  <si>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</si>
  <si>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</si>
  <si>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</si>
  <si>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</si>
  <si>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</si>
  <si>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</si>
  <si>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</si>
  <si>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</si>
  <si>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</si>
  <si>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</si>
  <si>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</si>
  <si>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</si>
  <si>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</si>
  <si>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</si>
  <si>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</si>
  <si>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</si>
  <si>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</si>
  <si>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</si>
  <si>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</si>
  <si>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</si>
  <si>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</si>
  <si>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</si>
  <si>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</si>
  <si>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</si>
  <si>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</si>
  <si>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</si>
  <si>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</si>
  <si>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</si>
  <si>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</si>
  <si>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</si>
  <si>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</si>
  <si>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</si>
  <si>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</si>
  <si>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</si>
  <si>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</si>
  <si>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</si>
  <si>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</si>
  <si>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</si>
  <si>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</si>
  <si>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</si>
  <si>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</si>
  <si>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</si>
  <si>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</si>
  <si>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</si>
  <si>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</si>
  <si>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</si>
  <si>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</si>
  <si>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</si>
  <si>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</si>
  <si>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</si>
  <si>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</si>
  <si>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</si>
  <si>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</si>
  <si>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</si>
  <si>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</si>
  <si>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</si>
  <si>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</si>
  <si>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</si>
  <si>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</si>
  <si>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</si>
  <si>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</si>
  <si>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</si>
  <si>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</si>
  <si>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</si>
  <si>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</si>
  <si>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</si>
  <si>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</si>
  <si>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</si>
  <si>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</si>
  <si>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</si>
  <si>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</si>
  <si>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</si>
  <si>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</si>
  <si>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</si>
  <si>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</si>
  <si>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</si>
  <si>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</si>
  <si>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</si>
  <si>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</si>
  <si>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</si>
  <si>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</si>
  <si>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</si>
  <si>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</si>
  <si>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</si>
  <si>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</si>
  <si>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</si>
  <si>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</si>
  <si>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</si>
  <si>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</si>
  <si>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</si>
  <si>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</si>
  <si>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</si>
  <si>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</si>
  <si>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</si>
  <si>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</si>
  <si>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</si>
  <si>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</si>
  <si>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</si>
  <si>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</si>
  <si>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</si>
  <si>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</si>
  <si>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</si>
  <si>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</si>
  <si>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</si>
  <si>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</si>
  <si>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</si>
  <si>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</si>
  <si>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</si>
  <si>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</si>
  <si>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</si>
  <si>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</si>
  <si>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</si>
  <si>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</si>
  <si>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</si>
  <si>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</si>
  <si>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</si>
  <si>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</si>
  <si>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</si>
  <si>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</si>
  <si>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</si>
  <si>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</si>
  <si>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</si>
  <si>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</si>
  <si>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</si>
  <si>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</si>
  <si>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</si>
  <si>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</si>
  <si>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</si>
  <si>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</si>
  <si>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</si>
  <si>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</si>
  <si>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</si>
  <si>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</si>
  <si>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</si>
  <si>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</si>
  <si>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</si>
  <si>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</si>
  <si>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</si>
  <si>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</si>
  <si>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</si>
  <si>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</si>
  <si>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</si>
  <si>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</si>
  <si>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</si>
  <si>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</si>
  <si>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</si>
  <si>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</si>
  <si>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</si>
  <si>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</si>
  <si>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</si>
  <si>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</si>
  <si>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</si>
  <si>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</si>
  <si>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</si>
  <si>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</si>
  <si>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</si>
  <si>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</si>
  <si>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</si>
  <si>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</si>
  <si>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</si>
  <si>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</si>
  <si>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</si>
  <si>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</si>
  <si>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</si>
  <si>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</si>
  <si>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</si>
  <si>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</si>
  <si>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</si>
  <si>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</si>
  <si>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</si>
  <si>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</si>
  <si>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</si>
  <si>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</si>
  <si>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</si>
  <si>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</si>
  <si>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</si>
  <si>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</si>
  <si>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</si>
  <si>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</si>
  <si>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</si>
  <si>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</si>
  <si>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</si>
  <si>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</si>
  <si>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</si>
  <si>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</si>
  <si>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</si>
  <si>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</si>
  <si>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</si>
  <si>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</si>
  <si>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</si>
  <si>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</si>
  <si>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</si>
  <si>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</si>
  <si>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</si>
  <si>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</si>
  <si>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</si>
  <si>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</si>
  <si>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</si>
  <si>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</si>
  <si>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</si>
  <si>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</si>
  <si>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</si>
  <si>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</si>
  <si>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</si>
  <si>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</si>
  <si>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</si>
  <si>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</si>
  <si>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</si>
  <si>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</si>
  <si>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</si>
  <si>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</si>
  <si>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</si>
  <si>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</si>
  <si>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</si>
  <si>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</si>
  <si>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</si>
  <si>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</si>
  <si>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</si>
  <si>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</si>
  <si>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</si>
  <si>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</si>
  <si>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</si>
  <si>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</si>
  <si>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</si>
  <si>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</si>
  <si>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</si>
  <si>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</si>
  <si>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</si>
  <si>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</si>
  <si>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</si>
  <si>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</si>
  <si>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</si>
  <si>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</si>
  <si>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</si>
  <si>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</si>
  <si>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</si>
  <si>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</si>
  <si>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</si>
  <si>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</si>
  <si>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</si>
  <si>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</si>
  <si>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</si>
  <si>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</si>
  <si>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</si>
  <si>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</si>
  <si>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</si>
  <si>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</si>
  <si>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</si>
  <si>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</si>
  <si>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</si>
  <si>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</si>
  <si>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</si>
  <si>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</si>
  <si>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</si>
  <si>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</si>
  <si>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</si>
  <si>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</si>
  <si>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</si>
  <si>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</si>
  <si>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</si>
  <si>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</si>
  <si>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</si>
  <si>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</si>
  <si>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</si>
  <si>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</si>
  <si>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</si>
  <si>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</si>
  <si>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</si>
  <si>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</si>
  <si>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</si>
  <si>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</si>
  <si>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</si>
  <si>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</si>
  <si>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</si>
  <si>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</si>
  <si>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</si>
  <si>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</si>
  <si>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</si>
  <si>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</si>
  <si>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</si>
  <si>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</si>
  <si>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</si>
  <si>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</si>
  <si>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</si>
  <si>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</si>
  <si>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</si>
  <si>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</si>
  <si>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</si>
  <si>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</si>
  <si>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</si>
  <si>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</si>
  <si>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</si>
  <si>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</si>
  <si>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</si>
  <si>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</si>
  <si>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</si>
  <si>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</si>
  <si>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</si>
  <si>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</si>
  <si>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</si>
  <si>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</si>
  <si>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</si>
  <si>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</si>
  <si>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</si>
  <si>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</si>
  <si>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</si>
  <si>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</si>
  <si>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</si>
  <si>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</si>
  <si>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</si>
  <si>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</si>
  <si>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</si>
  <si>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</si>
  <si>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</si>
  <si>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</si>
  <si>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</si>
  <si>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</si>
  <si>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</si>
  <si>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</si>
  <si>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</si>
  <si>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</si>
  <si>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</si>
  <si>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</si>
  <si>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</si>
  <si>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</si>
  <si>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</si>
  <si>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</si>
  <si>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</si>
  <si>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</si>
  <si>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</si>
  <si>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</si>
  <si>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</si>
  <si>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</si>
  <si>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</si>
  <si>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</si>
  <si>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</si>
  <si>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</si>
  <si>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</si>
  <si>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</si>
  <si>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</si>
  <si>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</si>
  <si>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</si>
  <si>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</si>
  <si>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</si>
  <si>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</si>
  <si>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</si>
  <si>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</si>
  <si>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</si>
  <si>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</si>
  <si>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</si>
  <si>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</si>
  <si>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</si>
  <si>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</si>
  <si>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</si>
  <si>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</si>
  <si>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</si>
  <si>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</si>
  <si>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</si>
  <si>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</si>
  <si>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</si>
  <si>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</si>
  <si>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</si>
  <si>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</si>
  <si>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</si>
  <si>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</si>
  <si>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</si>
  <si>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</si>
  <si>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</si>
  <si>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</si>
  <si>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</si>
  <si>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</si>
  <si>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</si>
  <si>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</si>
  <si>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</si>
  <si>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</si>
  <si>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</si>
  <si>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</si>
  <si>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</si>
  <si>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</si>
  <si>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</si>
  <si>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</si>
  <si>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</si>
  <si>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</si>
  <si>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</si>
  <si>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</si>
  <si>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</si>
  <si>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</si>
  <si>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</si>
  <si>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</si>
  <si>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</si>
  <si>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</si>
  <si>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</si>
  <si>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</si>
  <si>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</si>
  <si>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</si>
  <si>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</si>
  <si>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</si>
  <si>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</si>
  <si>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</si>
  <si>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</si>
  <si>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</si>
  <si>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</si>
  <si>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</si>
  <si>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</si>
  <si>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</si>
  <si>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</si>
  <si>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</si>
  <si>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</si>
  <si>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</si>
  <si>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</si>
  <si>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</si>
  <si>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</si>
  <si>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</si>
  <si>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</si>
  <si>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</si>
  <si>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</si>
  <si>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</si>
  <si>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</si>
  <si>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</si>
  <si>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</si>
  <si>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</si>
  <si>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</si>
  <si>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</si>
  <si>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</si>
  <si>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</si>
  <si>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</si>
  <si>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</si>
  <si>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</si>
  <si>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</si>
  <si>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</si>
  <si>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</si>
  <si>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</si>
  <si>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</si>
  <si>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</si>
  <si>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</si>
  <si>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</si>
  <si>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</si>
  <si>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</si>
  <si>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</si>
  <si>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</si>
  <si>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</si>
  <si>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</si>
  <si>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</si>
  <si>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</si>
  <si>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</si>
  <si>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</si>
  <si>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</si>
  <si>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</si>
  <si>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</si>
  <si>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</si>
  <si>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</si>
  <si>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</si>
  <si>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</si>
  <si>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</si>
  <si>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</si>
  <si>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</si>
  <si>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</si>
  <si>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</si>
  <si>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</si>
  <si>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</si>
  <si>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</si>
  <si>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</si>
  <si>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</si>
  <si>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</si>
  <si>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</si>
  <si>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</si>
  <si>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</si>
  <si>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</si>
  <si>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</si>
  <si>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</si>
  <si>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</si>
  <si>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</si>
  <si>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</si>
  <si>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</si>
  <si>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</si>
  <si>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</si>
  <si>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</si>
  <si>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</si>
  <si>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</si>
  <si>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</si>
  <si>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</si>
  <si>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</si>
  <si>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</si>
  <si>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</si>
  <si>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</si>
  <si>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</si>
  <si>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</si>
  <si>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</si>
  <si>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</si>
  <si>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</si>
  <si>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</si>
  <si>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</si>
  <si>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</si>
  <si>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</si>
  <si>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</si>
  <si>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</si>
  <si>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</si>
  <si>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</si>
  <si>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</si>
  <si>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</si>
  <si>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</si>
  <si>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</si>
  <si>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</si>
  <si>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</si>
  <si>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</si>
  <si>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</si>
  <si>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</si>
  <si>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</si>
  <si>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</si>
  <si>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</si>
  <si>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</si>
  <si>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</si>
  <si>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</si>
  <si>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</si>
  <si>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</si>
  <si>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</si>
  <si>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</si>
  <si>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</si>
  <si>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</si>
  <si>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</si>
  <si>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</si>
  <si>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</si>
  <si>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</si>
  <si>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</si>
  <si>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</si>
  <si>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</si>
  <si>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</si>
  <si>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</si>
  <si>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</si>
  <si>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</si>
  <si>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</si>
  <si>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</si>
  <si>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</si>
  <si>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</si>
  <si>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</si>
  <si>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</si>
  <si>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</si>
  <si>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</si>
  <si>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</si>
  <si>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</si>
  <si>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</si>
  <si>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</si>
  <si>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</si>
  <si>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</si>
  <si>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</si>
  <si>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</si>
  <si>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</si>
  <si>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</si>
  <si>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</si>
  <si>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</si>
  <si>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</si>
  <si>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</si>
  <si>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</si>
  <si>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</si>
  <si>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</si>
  <si>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</si>
  <si>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</si>
  <si>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</si>
  <si>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</si>
  <si>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</si>
  <si>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</si>
  <si>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</si>
  <si>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</si>
  <si>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</si>
  <si>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</si>
  <si>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</si>
  <si>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</si>
  <si>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</si>
  <si>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</si>
  <si>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</si>
  <si>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</si>
  <si>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</si>
  <si>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</si>
  <si>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</si>
  <si>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</si>
  <si>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</si>
  <si>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</si>
  <si>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</si>
  <si>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</si>
  <si>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</si>
  <si>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</si>
  <si>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</si>
  <si>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</si>
  <si>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</si>
  <si>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</si>
  <si>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</si>
  <si>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</si>
  <si>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</si>
  <si>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</si>
  <si>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</si>
  <si>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</si>
  <si>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</si>
  <si>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</si>
  <si>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</si>
  <si>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</si>
  <si>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</si>
  <si>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</si>
  <si>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</si>
  <si>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</si>
  <si>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</si>
  <si>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</si>
  <si>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</si>
  <si>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</si>
  <si>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</si>
  <si>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</si>
  <si>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</si>
  <si>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</si>
  <si>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</si>
  <si>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</si>
  <si>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</si>
  <si>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</si>
  <si>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</si>
  <si>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</si>
  <si>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</si>
  <si>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</si>
  <si>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</si>
  <si>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</si>
  <si>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</si>
  <si>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</si>
  <si>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</si>
  <si>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</si>
  <si>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</si>
  <si>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</si>
  <si>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</si>
  <si>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</si>
  <si>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</si>
  <si>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</si>
  <si>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</si>
  <si>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</si>
  <si>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</si>
  <si>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</si>
  <si>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</si>
  <si>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</si>
  <si>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</si>
  <si>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</si>
  <si>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</si>
  <si>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</si>
  <si>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</si>
  <si>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</si>
  <si>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</si>
  <si>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</si>
  <si>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</si>
  <si>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</si>
  <si>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</si>
  <si>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</si>
  <si>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</si>
  <si>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</si>
  <si>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</si>
  <si>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</si>
  <si>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</si>
  <si>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</si>
  <si>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</si>
  <si>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</si>
  <si>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</si>
  <si>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</si>
  <si>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</si>
  <si>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</si>
  <si>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</si>
  <si>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</si>
  <si>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</si>
  <si>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</si>
  <si>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</si>
  <si>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</si>
  <si>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</si>
  <si>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</si>
  <si>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</si>
  <si>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</si>
  <si>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</si>
  <si>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</si>
  <si>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</si>
  <si>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</si>
  <si>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</si>
  <si>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</si>
  <si>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</si>
  <si>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</si>
  <si>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</si>
  <si>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</si>
  <si>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</si>
  <si>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</si>
  <si>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</si>
  <si>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</si>
  <si>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</si>
  <si>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</si>
  <si>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</si>
  <si>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</si>
  <si>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</si>
  <si>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</si>
  <si>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</si>
  <si>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</si>
  <si>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</si>
  <si>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</si>
  <si>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</si>
  <si>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</si>
  <si>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</si>
  <si>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</si>
  <si>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</si>
  <si>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</si>
  <si>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</si>
  <si>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</si>
  <si>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</si>
  <si>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</si>
  <si>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</si>
  <si>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</si>
  <si>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</si>
  <si>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</si>
  <si>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</si>
  <si>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</si>
  <si>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</si>
  <si>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</si>
  <si>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</si>
  <si>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</si>
  <si>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</si>
  <si>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</si>
  <si>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</si>
  <si>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</si>
  <si>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</si>
  <si>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</si>
  <si>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</si>
  <si>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</si>
  <si>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</si>
  <si>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</si>
  <si>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</si>
  <si>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</si>
  <si>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</si>
  <si>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</si>
  <si>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</si>
  <si>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</si>
  <si>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</si>
  <si>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</si>
  <si>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</si>
  <si>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</si>
  <si>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</si>
  <si>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</si>
  <si>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</si>
  <si>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</si>
  <si>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</si>
  <si>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</si>
  <si>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</si>
  <si>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</si>
  <si>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</si>
  <si>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</si>
  <si>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</si>
  <si>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</si>
  <si>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</si>
  <si>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</si>
  <si>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</si>
  <si>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</si>
  <si>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</si>
  <si>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</si>
  <si>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</si>
  <si>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</si>
  <si>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</si>
  <si>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</si>
  <si>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</si>
  <si>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</si>
  <si>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</si>
  <si>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</si>
  <si>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</si>
  <si>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</si>
  <si>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</si>
  <si>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</si>
  <si>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</si>
  <si>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</si>
  <si>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</si>
  <si>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</si>
  <si>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</si>
  <si>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</si>
  <si>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</si>
  <si>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</si>
  <si>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</si>
  <si>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</si>
  <si>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</si>
  <si>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</si>
  <si>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</si>
  <si>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</si>
  <si>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</si>
  <si>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</si>
  <si>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</si>
  <si>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</si>
  <si>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</si>
  <si>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</si>
  <si>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</si>
  <si>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</si>
  <si>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</si>
  <si>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</si>
  <si>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</si>
  <si>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</si>
  <si>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</si>
  <si>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</si>
  <si>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</si>
  <si>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</si>
  <si>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</si>
  <si>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</si>
  <si>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</si>
  <si>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</si>
  <si>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</si>
  <si>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</si>
  <si>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</si>
  <si>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</si>
  <si>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</si>
  <si>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</si>
  <si>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</si>
  <si>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</si>
  <si>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</si>
  <si>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</si>
  <si>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</si>
  <si>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</si>
  <si>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</si>
  <si>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</si>
  <si>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</si>
  <si>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</si>
  <si>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</si>
  <si>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</si>
  <si>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</si>
  <si>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</si>
  <si>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</si>
  <si>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</si>
  <si>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</si>
  <si>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</si>
  <si>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</si>
  <si>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</si>
  <si>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</si>
  <si>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</si>
  <si>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</si>
  <si>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</si>
  <si>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</si>
  <si>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</si>
  <si>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</si>
  <si>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</si>
  <si>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</si>
  <si>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</si>
  <si>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</si>
  <si>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</si>
  <si>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</si>
  <si>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</si>
  <si>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</si>
  <si>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</si>
  <si>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</si>
  <si>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</si>
  <si>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</si>
  <si>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</si>
  <si>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</si>
  <si>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</si>
  <si>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</si>
  <si>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</si>
  <si>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</si>
  <si>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</si>
  <si>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</si>
  <si>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</si>
  <si>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</si>
  <si>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</si>
  <si>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</si>
  <si>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</si>
  <si>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</si>
  <si>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</si>
  <si>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</si>
  <si>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</si>
  <si>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</si>
  <si>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</si>
  <si>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</si>
  <si>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</si>
  <si>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</si>
  <si>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</si>
  <si>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</si>
  <si>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</si>
  <si>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</si>
  <si>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</si>
  <si>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</si>
  <si>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</si>
  <si>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</si>
  <si>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</si>
  <si>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</si>
  <si>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</si>
  <si>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</si>
  <si>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</si>
  <si>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</si>
  <si>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</si>
  <si>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</si>
  <si>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</si>
  <si>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</si>
  <si>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</si>
  <si>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</si>
  <si>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</si>
  <si>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</si>
  <si>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</si>
  <si>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</si>
  <si>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</si>
  <si>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</si>
  <si>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</si>
  <si>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</si>
  <si>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</si>
  <si>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</si>
  <si>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</si>
  <si>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</si>
  <si>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</si>
  <si>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</si>
  <si>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</si>
  <si>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</si>
  <si>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</si>
  <si>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</si>
  <si>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</si>
  <si>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</si>
  <si>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</si>
  <si>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</si>
  <si>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</si>
  <si>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</si>
  <si>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</si>
  <si>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</si>
  <si>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</si>
  <si>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</si>
  <si>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</si>
  <si>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</si>
  <si>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</si>
  <si>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</si>
  <si>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</si>
  <si>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</si>
  <si>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</si>
  <si>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</si>
  <si>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</si>
  <si>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</si>
  <si>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</si>
  <si>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</si>
  <si>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</si>
  <si>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</si>
  <si>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</si>
  <si>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</si>
  <si>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</si>
  <si>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</si>
  <si>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</si>
  <si>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</si>
  <si>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</si>
  <si>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</si>
  <si>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</si>
  <si>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</si>
  <si>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</si>
  <si>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</si>
  <si>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</si>
  <si>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</si>
  <si>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</si>
  <si>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</si>
  <si>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</si>
  <si>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</si>
  <si>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</si>
  <si>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</si>
  <si>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</si>
  <si>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</si>
  <si>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</si>
  <si>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</si>
  <si>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</si>
  <si>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</si>
  <si>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</si>
  <si>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</si>
  <si>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</si>
  <si>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</si>
  <si>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</si>
  <si>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</si>
  <si>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</si>
  <si>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</si>
  <si>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</si>
  <si>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</si>
  <si>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</si>
  <si>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</si>
  <si>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</si>
  <si>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</si>
  <si>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</si>
  <si>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</si>
  <si>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</si>
  <si>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</si>
  <si>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</si>
  <si>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</si>
  <si>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</si>
  <si>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</si>
  <si>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</si>
  <si>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</si>
  <si>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</si>
  <si>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</si>
  <si>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</si>
  <si>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</si>
  <si>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</si>
  <si>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</si>
  <si>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</si>
  <si>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</si>
  <si>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</si>
  <si>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</si>
  <si>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</si>
  <si>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</si>
  <si>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</si>
  <si>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</si>
  <si>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</si>
  <si>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</si>
  <si>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</si>
  <si>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</si>
  <si>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</si>
  <si>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</si>
  <si>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</si>
  <si>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</si>
  <si>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</si>
  <si>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</si>
  <si>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</si>
  <si>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</si>
  <si>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</si>
  <si>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</si>
  <si>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</si>
  <si>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</si>
  <si>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</si>
  <si>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</si>
  <si>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</si>
  <si>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</si>
  <si>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</si>
  <si>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</si>
  <si>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</si>
  <si>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</si>
  <si>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</si>
  <si>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</si>
  <si>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</si>
  <si>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</si>
  <si>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</si>
  <si>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</si>
  <si>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</si>
  <si>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</si>
  <si>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</si>
  <si>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</si>
  <si>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</si>
  <si>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</si>
  <si>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</si>
  <si>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</si>
  <si>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</si>
  <si>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</si>
  <si>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</si>
  <si>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</si>
  <si>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</si>
  <si>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</si>
  <si>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</si>
  <si>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</si>
  <si>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</si>
  <si>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</si>
  <si>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</si>
  <si>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</si>
  <si>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</si>
  <si>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</si>
  <si>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</si>
  <si>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</si>
  <si>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</si>
  <si>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</si>
  <si>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</si>
  <si>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</si>
  <si>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</si>
  <si>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</si>
  <si>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</si>
  <si>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</si>
  <si>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</si>
  <si>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</si>
  <si>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</si>
  <si>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</si>
  <si>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</si>
  <si>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</si>
  <si>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</si>
  <si>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</si>
  <si>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</si>
  <si>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</si>
  <si>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</si>
  <si>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</si>
  <si>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</si>
  <si>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</si>
  <si>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</si>
  <si>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</si>
  <si>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</si>
  <si>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</si>
  <si>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</si>
  <si>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</si>
  <si>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</si>
  <si>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</si>
  <si>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</si>
  <si>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</si>
  <si>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</si>
  <si>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</si>
  <si>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</si>
  <si>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</si>
  <si>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</si>
  <si>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</si>
  <si>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</si>
  <si>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</si>
  <si>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</si>
  <si>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</si>
  <si>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</si>
  <si>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</si>
  <si>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</si>
  <si>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</si>
  <si>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</si>
  <si>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</si>
  <si>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</si>
  <si>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</si>
  <si>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</si>
  <si>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</si>
  <si>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</si>
  <si>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</si>
  <si>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</si>
  <si>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</si>
  <si>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</si>
  <si>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</si>
  <si>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</si>
  <si>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</si>
  <si>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</si>
  <si>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</si>
  <si>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</si>
  <si>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</si>
  <si>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</si>
  <si>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</si>
  <si>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</si>
  <si>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</si>
  <si>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</si>
  <si>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</si>
  <si>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</si>
  <si>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</si>
  <si>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</si>
  <si>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</si>
  <si>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</si>
  <si>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</si>
  <si>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</si>
  <si>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</si>
  <si>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</si>
  <si>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</si>
  <si>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</si>
  <si>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</si>
  <si>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</si>
  <si>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</si>
  <si>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</si>
  <si>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</si>
  <si>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</si>
  <si>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</si>
  <si>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</si>
  <si>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</si>
  <si>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</si>
  <si>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</si>
  <si>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</si>
  <si>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</si>
  <si>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</si>
  <si>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</si>
  <si>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</si>
  <si>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</si>
  <si>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</si>
  <si>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</si>
  <si>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</si>
  <si>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</si>
  <si>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</si>
  <si>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</si>
  <si>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</si>
  <si>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</si>
  <si>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</si>
  <si>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</si>
  <si>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</si>
  <si>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</si>
  <si>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</si>
  <si>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</si>
  <si>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</si>
  <si>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</si>
  <si>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</si>
  <si>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</si>
  <si>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</si>
  <si>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</si>
  <si>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</si>
  <si>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</si>
  <si>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</si>
  <si>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</si>
  <si>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</si>
  <si>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</si>
  <si>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</si>
  <si>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</si>
  <si>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</si>
  <si>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</si>
  <si>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</si>
  <si>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</si>
  <si>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</si>
  <si>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</si>
  <si>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</si>
  <si>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</si>
  <si>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</si>
  <si>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</si>
  <si>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</si>
  <si>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</si>
  <si>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</si>
  <si>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</si>
  <si>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</si>
  <si>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</si>
  <si>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</si>
  <si>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</si>
  <si>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</si>
  <si>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</si>
  <si>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</si>
  <si>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</si>
  <si>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</si>
  <si>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</si>
  <si>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</si>
  <si>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</si>
  <si>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</si>
  <si>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</si>
  <si>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</si>
  <si>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</si>
  <si>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</si>
  <si>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</si>
  <si>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</si>
  <si>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</si>
  <si>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</si>
  <si>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</si>
  <si>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</si>
  <si>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</si>
  <si>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</si>
  <si>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</si>
  <si>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</si>
  <si>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</si>
  <si>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</si>
  <si>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</si>
  <si>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</si>
  <si>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</si>
  <si>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</si>
  <si>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</si>
  <si>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</si>
  <si>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</si>
  <si>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</si>
  <si>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</si>
  <si>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</si>
  <si>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</si>
  <si>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</si>
  <si>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</si>
  <si>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</si>
  <si>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</si>
  <si>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</si>
  <si>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</si>
  <si>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</si>
  <si>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</si>
  <si>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</si>
  <si>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</si>
  <si>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</si>
  <si>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</si>
  <si>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</si>
  <si>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</si>
  <si>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</si>
  <si>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</si>
  <si>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</si>
  <si>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</si>
  <si>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</si>
  <si>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</si>
  <si>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</si>
  <si>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</si>
  <si>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</si>
  <si>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</si>
  <si>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</si>
  <si>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</si>
  <si>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</si>
  <si>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</si>
  <si>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</si>
  <si>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</si>
  <si>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</si>
  <si>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</si>
  <si>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</si>
  <si>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</si>
  <si>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</si>
  <si>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</si>
  <si>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</si>
  <si>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</si>
  <si>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</si>
  <si>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</si>
  <si>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</si>
  <si>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</si>
  <si>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</si>
  <si>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</si>
  <si>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</si>
  <si>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</si>
  <si>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</si>
  <si>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</si>
  <si>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</si>
  <si>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</si>
  <si>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</si>
  <si>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</si>
  <si>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</si>
  <si>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</si>
  <si>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</si>
  <si>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</si>
  <si>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</si>
  <si>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</si>
  <si>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</si>
  <si>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</si>
  <si>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</si>
  <si>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</si>
  <si>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</si>
  <si>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</si>
  <si>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</si>
  <si>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</si>
  <si>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</si>
  <si>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</si>
  <si>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</si>
  <si>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</si>
  <si>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</si>
  <si>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</si>
  <si>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</si>
  <si>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</si>
  <si>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</si>
  <si>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</si>
  <si>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</si>
  <si>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</si>
  <si>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</si>
  <si>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</si>
  <si>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</si>
  <si>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</si>
  <si>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</si>
  <si>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</si>
  <si>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</si>
  <si>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</si>
  <si>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</si>
  <si>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</si>
  <si>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</si>
  <si>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</si>
  <si>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</si>
  <si>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</si>
  <si>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</si>
  <si>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</si>
  <si>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</si>
  <si>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</si>
  <si>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</si>
  <si>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</si>
  <si>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</si>
  <si>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</si>
  <si>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</si>
  <si>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</si>
  <si>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</si>
  <si>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</si>
  <si>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</si>
  <si>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</si>
  <si>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</si>
  <si>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</si>
  <si>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</si>
  <si>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</si>
  <si>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</si>
  <si>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</si>
  <si>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</si>
  <si>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</si>
  <si>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</si>
  <si>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</si>
  <si>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</si>
  <si>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</si>
  <si>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</si>
  <si>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</si>
  <si>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</si>
  <si>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</si>
  <si>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</si>
  <si>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</si>
  <si>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</si>
  <si>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</si>
  <si>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</si>
  <si>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</si>
  <si>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</si>
  <si>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</si>
  <si>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</si>
  <si>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</si>
  <si>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</si>
  <si>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</si>
  <si>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</si>
  <si>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</si>
  <si>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</si>
  <si>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</si>
  <si>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</si>
  <si>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</si>
  <si>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</si>
  <si>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</si>
  <si>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</si>
  <si>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</si>
  <si>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</si>
  <si>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</si>
  <si>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</si>
  <si>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</si>
  <si>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</si>
  <si>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</si>
  <si>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</si>
  <si>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</si>
  <si>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</si>
  <si>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</si>
  <si>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</si>
  <si>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</si>
  <si>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</si>
  <si>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</si>
  <si>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</si>
  <si>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</si>
  <si>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</si>
  <si>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</si>
  <si>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</si>
  <si>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</si>
  <si>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</si>
  <si>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</si>
  <si>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</si>
  <si>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</si>
  <si>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</si>
  <si>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</si>
  <si>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</si>
  <si>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</si>
  <si>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</si>
  <si>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</si>
  <si>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</si>
  <si>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</si>
  <si>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</si>
  <si>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</si>
  <si>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</si>
  <si>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</si>
  <si>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</si>
  <si>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</si>
  <si>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</si>
  <si>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</si>
  <si>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</si>
  <si>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</si>
  <si>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</si>
  <si>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</si>
  <si>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</si>
  <si>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</si>
  <si>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</si>
  <si>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</si>
  <si>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</si>
  <si>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</si>
  <si>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</si>
  <si>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</si>
  <si>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</si>
  <si>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</si>
  <si>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</si>
  <si>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</si>
  <si>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</si>
  <si>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</si>
  <si>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</si>
  <si>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</si>
  <si>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</si>
  <si>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</si>
  <si>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</si>
  <si>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</si>
  <si>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</si>
  <si>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</si>
  <si>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</si>
  <si>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</si>
  <si>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</si>
  <si>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</si>
  <si>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</si>
  <si>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</si>
  <si>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</si>
  <si>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</si>
  <si>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</si>
  <si>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</si>
  <si>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</si>
  <si>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</si>
  <si>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</si>
  <si>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</si>
  <si>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</si>
  <si>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</si>
  <si>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</si>
  <si>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</si>
  <si>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</si>
  <si>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</si>
  <si>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</si>
  <si>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</si>
  <si>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</si>
  <si>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</si>
  <si>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</si>
  <si>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</si>
  <si>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</si>
  <si>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</si>
  <si>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</si>
  <si>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</si>
  <si>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</si>
  <si>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</si>
  <si>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</si>
  <si>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</si>
  <si>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</si>
  <si>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</si>
  <si>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</si>
  <si>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</si>
  <si>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</si>
  <si>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</si>
  <si>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</si>
  <si>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</si>
  <si>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</si>
  <si>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</si>
  <si>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</si>
  <si>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</si>
  <si>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</si>
  <si>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</si>
  <si>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</si>
  <si>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</si>
  <si>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</si>
  <si>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</si>
  <si>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</si>
  <si>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</si>
  <si>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</si>
  <si>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</si>
  <si>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</si>
  <si>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</si>
  <si>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</si>
  <si>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</si>
  <si>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</si>
  <si>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</si>
  <si>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</si>
  <si>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</si>
  <si>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</si>
  <si>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</si>
  <si>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</si>
  <si>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</si>
  <si>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</si>
  <si>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</si>
  <si>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</si>
  <si>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</si>
  <si>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</si>
  <si>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</si>
  <si>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</si>
  <si>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</si>
  <si>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</si>
  <si>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</si>
  <si>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</si>
  <si>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</si>
  <si>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</si>
  <si>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</si>
  <si>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</si>
  <si>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</si>
  <si>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</si>
  <si>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</si>
  <si>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</si>
  <si>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</si>
  <si>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</si>
  <si>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</si>
  <si>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</si>
  <si>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</si>
  <si>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</si>
  <si>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</si>
  <si>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</si>
  <si>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</si>
  <si>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</si>
  <si>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</si>
  <si>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</si>
  <si>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</si>
  <si>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</si>
  <si>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</si>
  <si>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</si>
  <si>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</si>
  <si>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</si>
  <si>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</si>
  <si>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</si>
  <si>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</si>
  <si>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</si>
  <si>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</si>
  <si>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</si>
  <si>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</si>
  <si>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</si>
  <si>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</si>
  <si>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</si>
  <si>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</si>
  <si>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</si>
  <si>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</si>
  <si>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</si>
  <si>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</si>
  <si>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</si>
  <si>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</si>
  <si>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</si>
  <si>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</si>
  <si>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</si>
  <si>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</si>
  <si>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</si>
  <si>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</si>
  <si>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</si>
  <si>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</si>
  <si>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</si>
  <si>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</si>
  <si>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</si>
  <si>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</si>
  <si>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</si>
  <si>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</si>
  <si>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</si>
  <si>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</si>
  <si>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</si>
  <si>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</si>
  <si>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</si>
  <si>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</si>
  <si>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</si>
  <si>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</si>
  <si>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</si>
  <si>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</si>
  <si>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</si>
  <si>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</si>
  <si>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</si>
  <si>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</si>
  <si>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</si>
  <si>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</si>
  <si>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</si>
  <si>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</si>
  <si>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</si>
  <si>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</si>
  <si>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</si>
  <si>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</si>
  <si>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</si>
  <si>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</si>
  <si>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</si>
  <si>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</si>
  <si>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</si>
  <si>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</si>
  <si>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</si>
  <si>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</si>
  <si>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</si>
  <si>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</si>
  <si>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</si>
  <si>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</si>
  <si>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</si>
  <si>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</si>
  <si>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</si>
  <si>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</si>
  <si>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</si>
  <si>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</si>
  <si>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</si>
  <si>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</si>
  <si>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</si>
  <si>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</si>
  <si>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</si>
  <si>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</si>
  <si>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</si>
  <si>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</si>
  <si>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</si>
  <si>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</si>
  <si>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</si>
  <si>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</si>
  <si>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</si>
  <si>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</si>
  <si>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</si>
  <si>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</si>
  <si>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</si>
  <si>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</si>
  <si>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</si>
  <si>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</si>
  <si>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</si>
  <si>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</si>
  <si>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</si>
  <si>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</si>
  <si>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</si>
  <si>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</si>
  <si>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</si>
  <si>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</si>
  <si>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</si>
  <si>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</si>
  <si>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</si>
  <si>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</si>
  <si>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</si>
  <si>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</si>
  <si>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</si>
  <si>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</si>
  <si>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</si>
  <si>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</si>
  <si>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</si>
  <si>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</si>
  <si>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</si>
  <si>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</si>
  <si>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</si>
  <si>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</si>
  <si>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</si>
  <si>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</si>
  <si>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</si>
  <si>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</si>
  <si>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</si>
  <si>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</si>
  <si>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</si>
  <si>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</si>
  <si>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</si>
  <si>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</si>
  <si>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</si>
  <si>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</si>
  <si>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</si>
  <si>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</si>
  <si>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</si>
  <si>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</si>
  <si>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</si>
  <si>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</si>
  <si>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</si>
  <si>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</si>
  <si>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</si>
  <si>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</si>
  <si>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</si>
  <si>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</si>
  <si>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</si>
  <si>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</si>
  <si>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</si>
  <si>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</si>
  <si>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</si>
  <si>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</si>
  <si>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</si>
  <si>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</si>
  <si>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</si>
  <si>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</si>
  <si>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</si>
  <si>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</si>
  <si>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</si>
  <si>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</si>
  <si>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</si>
  <si>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</si>
  <si>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</si>
  <si>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</si>
  <si>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</si>
  <si>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</si>
  <si>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</si>
  <si>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</si>
  <si>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</si>
  <si>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</si>
  <si>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</si>
  <si>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</si>
  <si>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</si>
  <si>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</si>
  <si>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</si>
  <si>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</si>
  <si>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</si>
  <si>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</si>
  <si>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</si>
  <si>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</si>
  <si>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</si>
  <si>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</si>
  <si>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</si>
  <si>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</si>
  <si>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</si>
  <si>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</si>
  <si>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</si>
  <si>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</si>
  <si>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</si>
  <si>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</si>
  <si>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</si>
  <si>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</si>
  <si>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</si>
  <si>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</si>
  <si>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</si>
  <si>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</si>
  <si>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</si>
  <si>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</si>
  <si>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</si>
  <si>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</si>
  <si>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</si>
  <si>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</si>
  <si>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</si>
  <si>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</si>
  <si>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</si>
  <si>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</si>
  <si>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</si>
  <si>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</si>
  <si>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</si>
  <si>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</si>
  <si>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</si>
  <si>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</si>
  <si>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</si>
  <si>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</si>
  <si>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</si>
  <si>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</si>
  <si>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</si>
  <si>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</si>
  <si>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</si>
  <si>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</si>
  <si>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</si>
  <si>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</si>
  <si>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</si>
  <si>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</si>
  <si>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</si>
  <si>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</si>
  <si>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</si>
  <si>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</si>
  <si>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</si>
  <si>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</si>
  <si>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</si>
  <si>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</si>
  <si>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</si>
  <si>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</si>
  <si>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</si>
  <si>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</si>
  <si>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</si>
  <si>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</si>
  <si>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</si>
  <si>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</si>
  <si>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</si>
  <si>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</si>
  <si>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</si>
  <si>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</si>
  <si>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</si>
  <si>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</si>
  <si>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</si>
  <si>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</si>
  <si>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</si>
  <si>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</si>
  <si>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</si>
  <si>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</si>
  <si>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</si>
  <si>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</si>
  <si>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</si>
  <si>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</si>
  <si>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</si>
  <si>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</si>
  <si>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</si>
  <si>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</si>
  <si>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</si>
  <si>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</si>
  <si>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</si>
  <si>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</si>
  <si>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</si>
  <si>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</si>
  <si>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</si>
  <si>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</si>
  <si>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</si>
  <si>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</si>
  <si>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</si>
  <si>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</si>
  <si>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</si>
  <si>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</si>
  <si>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</si>
  <si>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</si>
  <si>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</si>
  <si>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</si>
  <si>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</si>
  <si>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</si>
  <si>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</si>
  <si>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</si>
  <si>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</si>
  <si>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</si>
  <si>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</si>
  <si>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</si>
  <si>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</si>
  <si>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</si>
  <si>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</si>
  <si>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</si>
  <si>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</si>
  <si>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</si>
  <si>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</si>
  <si>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</si>
  <si>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</si>
  <si>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</si>
  <si>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</si>
  <si>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</si>
  <si>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</si>
  <si>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</si>
  <si>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</si>
  <si>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</si>
  <si>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</si>
  <si>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</si>
  <si>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</si>
  <si>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</si>
  <si>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</si>
  <si>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</si>
  <si>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</si>
  <si>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</si>
  <si>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</si>
  <si>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</si>
  <si>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</si>
  <si>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</si>
  <si>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</si>
  <si>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</si>
  <si>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</si>
  <si>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</si>
  <si>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</si>
  <si>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</si>
  <si>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</si>
  <si>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</si>
  <si>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</si>
  <si>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</si>
  <si>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</si>
  <si>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</si>
  <si>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</si>
  <si>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</si>
  <si>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</si>
  <si>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</si>
  <si>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</si>
  <si>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</si>
  <si>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</si>
  <si>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</si>
  <si>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</si>
  <si>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</si>
  <si>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</si>
  <si>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</si>
  <si>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</si>
  <si>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</si>
  <si>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</si>
  <si>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</si>
  <si>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</si>
  <si>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</si>
  <si>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</si>
  <si>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</si>
  <si>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</si>
  <si>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</si>
  <si>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</si>
  <si>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</si>
  <si>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</si>
  <si>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</si>
  <si>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</si>
  <si>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</si>
  <si>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</si>
  <si>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</si>
  <si>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</si>
  <si>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</si>
  <si>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</si>
  <si>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</si>
  <si>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</si>
  <si>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</si>
  <si>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</si>
  <si>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</si>
  <si>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</si>
  <si>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</si>
  <si>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</si>
  <si>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</si>
  <si>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</si>
  <si>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</si>
  <si>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</si>
  <si>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</si>
  <si>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</si>
  <si>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</si>
  <si>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</si>
  <si>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</si>
  <si>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</si>
  <si>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</si>
  <si>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</si>
  <si>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</si>
  <si>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</si>
  <si>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</si>
  <si>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</si>
  <si>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</si>
  <si>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</si>
  <si>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</si>
  <si>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</si>
  <si>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</si>
  <si>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</si>
  <si>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</si>
  <si>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</si>
  <si>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</si>
  <si>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</si>
  <si>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</si>
  <si>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</si>
  <si>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</si>
  <si>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</si>
  <si>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</si>
  <si>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</si>
  <si>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</si>
  <si>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</si>
  <si>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</si>
  <si>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</si>
  <si>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</si>
  <si>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</si>
  <si>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</si>
  <si>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</si>
  <si>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</si>
  <si>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</si>
  <si>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</si>
  <si>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</si>
  <si>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</si>
  <si>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</si>
  <si>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</si>
  <si>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</si>
  <si>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</si>
  <si>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</si>
  <si>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</si>
  <si>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</si>
  <si>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</si>
  <si>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</si>
  <si>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</si>
  <si>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</si>
  <si>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</si>
  <si>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</si>
  <si>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</si>
  <si>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</si>
  <si>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</si>
  <si>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</si>
  <si>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</si>
  <si>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</si>
  <si>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</si>
  <si>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</si>
  <si>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</si>
  <si>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</si>
  <si>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</si>
  <si>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</si>
  <si>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</si>
  <si>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</si>
  <si>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</si>
  <si>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</si>
  <si>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</si>
  <si>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</si>
  <si>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</si>
  <si>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</si>
  <si>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</si>
  <si>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</si>
  <si>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</si>
  <si>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</si>
  <si>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</si>
  <si>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</si>
  <si>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</si>
  <si>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</si>
  <si>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</si>
  <si>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</si>
  <si>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</si>
  <si>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</si>
  <si>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</si>
  <si>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</si>
  <si>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</si>
  <si>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</si>
  <si>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</si>
  <si>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</si>
  <si>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</si>
  <si>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</si>
  <si>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</si>
  <si>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</si>
  <si>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</si>
  <si>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</si>
  <si>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</si>
  <si>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</si>
  <si>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</si>
  <si>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</si>
  <si>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</si>
  <si>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</si>
  <si>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</si>
  <si>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</si>
  <si>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</si>
  <si>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</si>
  <si>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</si>
  <si>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</si>
  <si>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</si>
  <si>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</si>
  <si>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</si>
  <si>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</si>
  <si>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</si>
  <si>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</si>
  <si>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</si>
  <si>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</si>
  <si>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</si>
  <si>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</si>
  <si>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</si>
  <si>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</si>
  <si>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</si>
  <si>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</si>
  <si>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</si>
  <si>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</si>
  <si>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</si>
  <si>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</si>
  <si>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</si>
  <si>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</si>
  <si>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</si>
  <si>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</si>
  <si>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</si>
  <si>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</si>
  <si>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</si>
  <si>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</si>
  <si>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</si>
  <si>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</si>
  <si>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</si>
  <si>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</si>
  <si>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</si>
  <si>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</si>
  <si>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</si>
  <si>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</si>
  <si>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</si>
  <si>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</si>
  <si>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</si>
  <si>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</si>
  <si>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</si>
  <si>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</si>
  <si>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</si>
  <si>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</si>
  <si>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</si>
  <si>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</si>
  <si>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</si>
  <si>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</si>
  <si>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</si>
  <si>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</si>
  <si>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</si>
  <si>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</si>
  <si>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</si>
  <si>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</si>
  <si>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</si>
  <si>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</si>
  <si>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</si>
  <si>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</si>
  <si>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</si>
  <si>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</si>
  <si>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</si>
  <si>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</si>
  <si>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</si>
  <si>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</si>
  <si>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</si>
  <si>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</si>
  <si>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</si>
  <si>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</si>
  <si>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</si>
  <si>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</si>
  <si>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</si>
  <si>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</si>
  <si>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</si>
  <si>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</si>
  <si>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</si>
  <si>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</si>
  <si>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</si>
  <si>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</si>
  <si>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</si>
  <si>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</si>
  <si>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</si>
  <si>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</si>
  <si>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</si>
  <si>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</si>
  <si>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</si>
  <si>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</si>
  <si>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</si>
  <si>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</si>
  <si>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</si>
  <si>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</si>
  <si>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</si>
  <si>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SgPow #BocD</t>
  </si>
  <si>
    <t>Cmlink#BocD</t>
  </si>
  <si>
    <t>Cmlink#Giro</t>
  </si>
  <si>
    <t>FWD downPayment</t>
  </si>
  <si>
    <t>Rmb10k</t>
  </si>
  <si>
    <t>grabPay top-up #Rev</t>
  </si>
  <si>
    <t>loan{boy#outside#407</t>
  </si>
  <si>
    <t>DBS108 #min2k</t>
  </si>
  <si>
    <t>gov handout}MCSA</t>
  </si>
  <si>
    <t>JPY 790</t>
  </si>
  <si>
    <t>JPY 830</t>
  </si>
  <si>
    <t>JPY 550</t>
  </si>
  <si>
    <t>JPY 648</t>
  </si>
  <si>
    <t xml:space="preserve">JPY}SGD 395 </t>
  </si>
  <si>
    <t>e$3.35ppa Oct</t>
  </si>
  <si>
    <t>e$3.4ppa 5/12</t>
  </si>
  <si>
    <t>szr</t>
  </si>
  <si>
    <t>Starhub 2/12</t>
  </si>
  <si>
    <t>cimb 30/11</t>
  </si>
  <si>
    <t xml:space="preserve">bx </t>
  </si>
  <si>
    <t>randRw fridge</t>
  </si>
  <si>
    <t>randRw punctual</t>
  </si>
  <si>
    <t>incl. Jap}SGD -ve 提现</t>
  </si>
  <si>
    <t>ATM till 1/12</t>
  </si>
  <si>
    <t>excl.JPY</t>
  </si>
  <si>
    <t>TKY turn`11</t>
  </si>
  <si>
    <t>TYX turn`16</t>
  </si>
  <si>
    <t>MCSA bonus#early Dec</t>
  </si>
  <si>
    <t>vivo7/12 #FnF</t>
  </si>
  <si>
    <t>CIMB #min1k</t>
  </si>
  <si>
    <t>eccard, citi</t>
  </si>
  <si>
    <t>ntuc dental 9/12</t>
  </si>
  <si>
    <t>SRS#min2k</t>
  </si>
  <si>
    <t>工商467.92#cigna}108</t>
  </si>
  <si>
    <t>ikea dine-in+to-go</t>
  </si>
  <si>
    <t>BurgerKing #scsc</t>
  </si>
  <si>
    <t>Disney#Klook.sg</t>
  </si>
  <si>
    <t>900!show</t>
  </si>
  <si>
    <t>JPY 987</t>
  </si>
  <si>
    <t>JPY 1200</t>
  </si>
  <si>
    <t>GBTB#scsc</t>
  </si>
  <si>
    <t>taobao#SCSC</t>
  </si>
  <si>
    <t>scsc1.5% #10/12</t>
  </si>
  <si>
    <t>FLI50|SRS8</t>
  </si>
  <si>
    <t>R.Dong meals</t>
  </si>
  <si>
    <t>86.2!show</t>
  </si>
  <si>
    <t>juice #AshS</t>
  </si>
  <si>
    <t>108{e$</t>
  </si>
  <si>
    <t>A-B=resid{twk`sMkt</t>
  </si>
  <si>
    <t>Starhub$130+normal</t>
  </si>
  <si>
    <t>Giant #scsc</t>
  </si>
  <si>
    <t>JPY 597</t>
  </si>
  <si>
    <t>SRS3k+FLI50k+60k</t>
  </si>
  <si>
    <t>{200k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</si>
</sst>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80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Font="1"/>
    <xf numFmtId="0" fontId="0" fillId="0" borderId="0" xfId="0" applyFont="1" applyFill="1" applyBorder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Border="1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/>
    <xf numFmtId="0" fontId="69" fillId="0" borderId="1" xfId="0" applyFont="1" applyBorder="1"/>
    <xf numFmtId="0" fontId="69" fillId="0" borderId="12" xfId="0" applyFont="1" applyBorder="1"/>
    <xf numFmtId="0" fontId="69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61" t="s">
        <v>91</v>
      </c>
      <c r="C1" s="761"/>
      <c r="D1" s="762" t="s">
        <v>92</v>
      </c>
      <c r="E1" s="761"/>
      <c r="F1" s="762" t="s">
        <v>93</v>
      </c>
      <c r="G1" s="761"/>
      <c r="H1" s="760" t="s">
        <v>94</v>
      </c>
      <c r="I1" s="760"/>
      <c r="J1" s="754" t="s">
        <v>92</v>
      </c>
      <c r="K1" s="755"/>
      <c r="L1" s="758" t="s">
        <v>95</v>
      </c>
      <c r="M1" s="759"/>
      <c r="N1" s="760" t="s">
        <v>96</v>
      </c>
      <c r="O1" s="760"/>
      <c r="P1" s="754" t="s">
        <v>97</v>
      </c>
      <c r="Q1" s="755"/>
      <c r="R1" s="758" t="s">
        <v>98</v>
      </c>
      <c r="S1" s="759"/>
      <c r="T1" s="744" t="s">
        <v>99</v>
      </c>
      <c r="U1" s="744"/>
      <c r="V1" s="754" t="s">
        <v>92</v>
      </c>
      <c r="W1" s="755"/>
      <c r="X1" s="750" t="s">
        <v>100</v>
      </c>
      <c r="Y1" s="751"/>
      <c r="Z1" s="744" t="s">
        <v>101</v>
      </c>
      <c r="AA1" s="744"/>
      <c r="AB1" s="748" t="s">
        <v>92</v>
      </c>
      <c r="AC1" s="749"/>
      <c r="AD1" s="756" t="s">
        <v>100</v>
      </c>
      <c r="AE1" s="757"/>
      <c r="AF1" s="744" t="s">
        <v>102</v>
      </c>
      <c r="AG1" s="744"/>
      <c r="AH1" s="748" t="s">
        <v>92</v>
      </c>
      <c r="AI1" s="749"/>
      <c r="AJ1" s="750" t="s">
        <v>103</v>
      </c>
      <c r="AK1" s="751"/>
      <c r="AL1" s="744" t="s">
        <v>104</v>
      </c>
      <c r="AM1" s="744"/>
      <c r="AN1" s="752" t="s">
        <v>92</v>
      </c>
      <c r="AO1" s="753"/>
      <c r="AP1" s="742" t="s">
        <v>105</v>
      </c>
      <c r="AQ1" s="743"/>
      <c r="AR1" s="744" t="s">
        <v>106</v>
      </c>
      <c r="AS1" s="744"/>
      <c r="AV1" s="742" t="s">
        <v>107</v>
      </c>
      <c r="AW1" s="743"/>
      <c r="AX1" s="745" t="s">
        <v>108</v>
      </c>
      <c r="AY1" s="745"/>
      <c r="AZ1" s="745"/>
      <c r="BA1" s="351"/>
      <c r="BB1" s="746">
        <v>42942</v>
      </c>
      <c r="BC1" s="747"/>
      <c r="BD1" s="74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41" t="s">
        <v>124</v>
      </c>
      <c r="U4" s="741"/>
      <c r="X4" s="432" t="s">
        <v>123</v>
      </c>
      <c r="Y4" s="458">
        <f>Y3-Y6</f>
        <v>4.9669099999591708</v>
      </c>
      <c r="Z4" s="741" t="s">
        <v>125</v>
      </c>
      <c r="AA4" s="741"/>
      <c r="AD4" s="401" t="s">
        <v>123</v>
      </c>
      <c r="AE4" s="401">
        <f>AE3-AE5</f>
        <v>-52.526899999851594</v>
      </c>
      <c r="AF4" s="741" t="s">
        <v>125</v>
      </c>
      <c r="AG4" s="741"/>
      <c r="AH4" s="69"/>
      <c r="AI4" s="69"/>
      <c r="AJ4" s="401" t="s">
        <v>123</v>
      </c>
      <c r="AK4" s="401">
        <f>AK3-AK5</f>
        <v>94.988909999992757</v>
      </c>
      <c r="AL4" s="741" t="s">
        <v>125</v>
      </c>
      <c r="AM4" s="741"/>
      <c r="AP4" s="55" t="s">
        <v>123</v>
      </c>
      <c r="AQ4" s="54">
        <f>AQ3-AQ5</f>
        <v>33.841989999942598</v>
      </c>
      <c r="AR4" s="741" t="s">
        <v>125</v>
      </c>
      <c r="AS4" s="741"/>
      <c r="AX4" s="741" t="s">
        <v>126</v>
      </c>
      <c r="AY4" s="741"/>
      <c r="BB4" s="741" t="s">
        <v>127</v>
      </c>
      <c r="BC4" s="74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41"/>
      <c r="U5" s="741"/>
      <c r="V5" s="345" t="s">
        <v>132</v>
      </c>
      <c r="W5">
        <v>2050</v>
      </c>
      <c r="X5" s="406"/>
      <c r="Z5" s="741"/>
      <c r="AA5" s="741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41"/>
      <c r="AG5" s="741"/>
      <c r="AH5" s="69"/>
      <c r="AI5" s="69"/>
      <c r="AJ5" s="401" t="s">
        <v>134</v>
      </c>
      <c r="AK5" s="459">
        <f>SUM(AK11:AK59)</f>
        <v>30858.011000000002</v>
      </c>
      <c r="AL5" s="741"/>
      <c r="AM5" s="741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41"/>
      <c r="AS5" s="741"/>
      <c r="AX5" s="741"/>
      <c r="AY5" s="741"/>
      <c r="BB5" s="741"/>
      <c r="BC5" s="741"/>
      <c r="BD5" s="736" t="s">
        <v>136</v>
      </c>
      <c r="BE5" s="736"/>
      <c r="BF5" s="736"/>
      <c r="BG5" s="736"/>
      <c r="BH5" s="736"/>
      <c r="BI5" s="736"/>
      <c r="BJ5" s="736"/>
      <c r="BK5" s="736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37" t="s">
        <v>335</v>
      </c>
      <c r="W23" s="738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39"/>
      <c r="W24" s="740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63" t="s">
        <v>524</v>
      </c>
      <c r="F38" s="764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61" t="s">
        <v>567</v>
      </c>
      <c r="C1" s="761"/>
      <c r="D1" s="756" t="s">
        <v>568</v>
      </c>
      <c r="E1" s="757"/>
      <c r="F1" s="761" t="s">
        <v>569</v>
      </c>
      <c r="G1" s="761"/>
      <c r="H1" s="770" t="s">
        <v>570</v>
      </c>
      <c r="I1" s="771"/>
      <c r="J1" s="756" t="s">
        <v>568</v>
      </c>
      <c r="K1" s="757"/>
      <c r="L1" s="761" t="s">
        <v>571</v>
      </c>
      <c r="M1" s="761"/>
      <c r="N1" s="770" t="s">
        <v>570</v>
      </c>
      <c r="O1" s="771"/>
      <c r="P1" s="756" t="s">
        <v>568</v>
      </c>
      <c r="Q1" s="757"/>
      <c r="R1" s="761" t="s">
        <v>572</v>
      </c>
      <c r="S1" s="761"/>
      <c r="T1" s="770" t="s">
        <v>570</v>
      </c>
      <c r="U1" s="771"/>
      <c r="V1" s="756" t="s">
        <v>568</v>
      </c>
      <c r="W1" s="757"/>
      <c r="X1" s="761" t="s">
        <v>573</v>
      </c>
      <c r="Y1" s="761"/>
      <c r="Z1" s="770" t="s">
        <v>570</v>
      </c>
      <c r="AA1" s="771"/>
      <c r="AB1" s="756" t="s">
        <v>568</v>
      </c>
      <c r="AC1" s="757"/>
      <c r="AD1" s="761" t="s">
        <v>574</v>
      </c>
      <c r="AE1" s="761"/>
      <c r="AF1" s="770" t="s">
        <v>570</v>
      </c>
      <c r="AG1" s="771"/>
      <c r="AH1" s="756" t="s">
        <v>568</v>
      </c>
      <c r="AI1" s="757"/>
      <c r="AJ1" s="761" t="s">
        <v>575</v>
      </c>
      <c r="AK1" s="761"/>
      <c r="AL1" s="770" t="s">
        <v>576</v>
      </c>
      <c r="AM1" s="771"/>
      <c r="AN1" s="756" t="s">
        <v>577</v>
      </c>
      <c r="AO1" s="757"/>
      <c r="AP1" s="761" t="s">
        <v>578</v>
      </c>
      <c r="AQ1" s="761"/>
      <c r="AR1" s="770" t="s">
        <v>570</v>
      </c>
      <c r="AS1" s="771"/>
      <c r="AT1" s="756" t="s">
        <v>568</v>
      </c>
      <c r="AU1" s="757"/>
      <c r="AV1" s="761" t="s">
        <v>579</v>
      </c>
      <c r="AW1" s="761"/>
      <c r="AX1" s="770" t="s">
        <v>570</v>
      </c>
      <c r="AY1" s="771"/>
      <c r="AZ1" s="756" t="s">
        <v>568</v>
      </c>
      <c r="BA1" s="757"/>
      <c r="BB1" s="761" t="s">
        <v>580</v>
      </c>
      <c r="BC1" s="761"/>
      <c r="BD1" s="770" t="s">
        <v>570</v>
      </c>
      <c r="BE1" s="771"/>
      <c r="BF1" s="756" t="s">
        <v>568</v>
      </c>
      <c r="BG1" s="757"/>
      <c r="BH1" s="761" t="s">
        <v>581</v>
      </c>
      <c r="BI1" s="761"/>
      <c r="BJ1" s="770" t="s">
        <v>570</v>
      </c>
      <c r="BK1" s="771"/>
      <c r="BL1" s="756" t="s">
        <v>568</v>
      </c>
      <c r="BM1" s="757"/>
      <c r="BN1" s="761" t="s">
        <v>582</v>
      </c>
      <c r="BO1" s="761"/>
      <c r="BP1" s="770" t="s">
        <v>570</v>
      </c>
      <c r="BQ1" s="771"/>
      <c r="BR1" s="756" t="s">
        <v>568</v>
      </c>
      <c r="BS1" s="757"/>
      <c r="BT1" s="761" t="s">
        <v>583</v>
      </c>
      <c r="BU1" s="761"/>
      <c r="BV1" s="770" t="s">
        <v>584</v>
      </c>
      <c r="BW1" s="771"/>
      <c r="BX1" s="756" t="s">
        <v>585</v>
      </c>
      <c r="BY1" s="757"/>
      <c r="BZ1" s="761" t="s">
        <v>586</v>
      </c>
      <c r="CA1" s="761"/>
      <c r="CB1" s="770" t="s">
        <v>587</v>
      </c>
      <c r="CC1" s="771"/>
      <c r="CD1" s="756" t="s">
        <v>588</v>
      </c>
      <c r="CE1" s="757"/>
      <c r="CF1" s="761" t="s">
        <v>589</v>
      </c>
      <c r="CG1" s="761"/>
      <c r="CH1" s="770" t="s">
        <v>587</v>
      </c>
      <c r="CI1" s="771"/>
      <c r="CJ1" s="756" t="s">
        <v>588</v>
      </c>
      <c r="CK1" s="757"/>
      <c r="CL1" s="761" t="s">
        <v>590</v>
      </c>
      <c r="CM1" s="761"/>
      <c r="CN1" s="770" t="s">
        <v>587</v>
      </c>
      <c r="CO1" s="771"/>
      <c r="CP1" s="756" t="s">
        <v>588</v>
      </c>
      <c r="CQ1" s="757"/>
      <c r="CR1" s="761" t="s">
        <v>591</v>
      </c>
      <c r="CS1" s="761"/>
      <c r="CT1" s="770" t="s">
        <v>587</v>
      </c>
      <c r="CU1" s="771"/>
      <c r="CV1" s="772" t="s">
        <v>588</v>
      </c>
      <c r="CW1" s="773"/>
      <c r="CX1" s="761" t="s">
        <v>592</v>
      </c>
      <c r="CY1" s="761"/>
      <c r="CZ1" s="770" t="s">
        <v>587</v>
      </c>
      <c r="DA1" s="771"/>
      <c r="DB1" s="772" t="s">
        <v>588</v>
      </c>
      <c r="DC1" s="773"/>
      <c r="DD1" s="761" t="s">
        <v>593</v>
      </c>
      <c r="DE1" s="761"/>
      <c r="DF1" s="770" t="s">
        <v>594</v>
      </c>
      <c r="DG1" s="771"/>
      <c r="DH1" s="772" t="s">
        <v>595</v>
      </c>
      <c r="DI1" s="773"/>
      <c r="DJ1" s="761" t="s">
        <v>596</v>
      </c>
      <c r="DK1" s="761"/>
      <c r="DL1" s="770" t="s">
        <v>594</v>
      </c>
      <c r="DM1" s="771"/>
      <c r="DN1" s="772" t="s">
        <v>588</v>
      </c>
      <c r="DO1" s="773"/>
      <c r="DP1" s="761" t="s">
        <v>597</v>
      </c>
      <c r="DQ1" s="761"/>
      <c r="DR1" s="770" t="s">
        <v>594</v>
      </c>
      <c r="DS1" s="771"/>
      <c r="DT1" s="772" t="s">
        <v>588</v>
      </c>
      <c r="DU1" s="773"/>
      <c r="DV1" s="761" t="s">
        <v>598</v>
      </c>
      <c r="DW1" s="761"/>
      <c r="DX1" s="770" t="s">
        <v>594</v>
      </c>
      <c r="DY1" s="771"/>
      <c r="DZ1" s="772" t="s">
        <v>588</v>
      </c>
      <c r="EA1" s="773"/>
      <c r="EB1" s="761" t="s">
        <v>599</v>
      </c>
      <c r="EC1" s="761"/>
      <c r="ED1" s="770" t="s">
        <v>594</v>
      </c>
      <c r="EE1" s="771"/>
      <c r="EF1" s="772" t="s">
        <v>588</v>
      </c>
      <c r="EG1" s="773"/>
      <c r="EH1" s="761" t="s">
        <v>600</v>
      </c>
      <c r="EI1" s="761"/>
      <c r="EJ1" s="770" t="s">
        <v>594</v>
      </c>
      <c r="EK1" s="771"/>
      <c r="EL1" s="772" t="s">
        <v>601</v>
      </c>
      <c r="EM1" s="773"/>
      <c r="EN1" s="761" t="s">
        <v>602</v>
      </c>
      <c r="EO1" s="761"/>
      <c r="EP1" s="770" t="s">
        <v>594</v>
      </c>
      <c r="EQ1" s="771"/>
      <c r="ER1" s="772" t="s">
        <v>603</v>
      </c>
      <c r="ES1" s="773"/>
      <c r="ET1" s="761" t="s">
        <v>604</v>
      </c>
      <c r="EU1" s="761"/>
      <c r="EV1" s="770" t="s">
        <v>594</v>
      </c>
      <c r="EW1" s="771"/>
      <c r="EX1" s="772" t="s">
        <v>103</v>
      </c>
      <c r="EY1" s="773"/>
      <c r="EZ1" s="761" t="s">
        <v>605</v>
      </c>
      <c r="FA1" s="761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9" t="s">
        <v>672</v>
      </c>
      <c r="CU7" s="761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9" t="s">
        <v>702</v>
      </c>
      <c r="DA8" s="761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9" t="s">
        <v>702</v>
      </c>
      <c r="DG8" s="761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9" t="s">
        <v>702</v>
      </c>
      <c r="DM8" s="761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9" t="s">
        <v>702</v>
      </c>
      <c r="DS8" s="761"/>
      <c r="DT8" s="14" t="s">
        <v>700</v>
      </c>
      <c r="DU8" s="14">
        <f>SUM(DU13:DU17)</f>
        <v>32</v>
      </c>
      <c r="DV8" s="9"/>
      <c r="DW8" s="9"/>
      <c r="DX8" s="769" t="s">
        <v>702</v>
      </c>
      <c r="DY8" s="76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9" t="s">
        <v>703</v>
      </c>
      <c r="EK8" s="76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9" t="s">
        <v>703</v>
      </c>
      <c r="EQ9" s="761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9" t="s">
        <v>703</v>
      </c>
      <c r="EW9" s="761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9" t="s">
        <v>703</v>
      </c>
      <c r="EE11" s="761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9" t="s">
        <v>702</v>
      </c>
      <c r="CU12" s="76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44" t="s">
        <v>912</v>
      </c>
      <c r="CU19" s="74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67" t="s">
        <v>943</v>
      </c>
      <c r="FA21" s="767"/>
      <c r="FC21" s="363">
        <f>FC20-FC22</f>
        <v>113457.16899999997</v>
      </c>
      <c r="FD21" s="341"/>
      <c r="FE21" s="768" t="s">
        <v>945</v>
      </c>
      <c r="FF21" s="768"/>
      <c r="FG21" s="76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67" t="s">
        <v>953</v>
      </c>
      <c r="FA22" s="767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67" t="s">
        <v>969</v>
      </c>
      <c r="FA23" s="767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67" t="s">
        <v>979</v>
      </c>
      <c r="FA24" s="767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65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66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65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66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D79"/>
  <sheetViews>
    <sheetView tabSelected="1" topLeftCell="NV1" workbookViewId="0">
      <selection activeCell="OE20" sqref="OE20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0" customWidth="1"/>
    <col min="357" max="357" width="8.7109375" style="45" customWidth="1"/>
    <col min="358" max="358" width="23.85546875" style="590" customWidth="1"/>
    <col min="359" max="359" width="8" style="590" bestFit="1" customWidth="1"/>
    <col min="360" max="360" width="18.85546875" style="590" customWidth="1"/>
    <col min="361" max="361" width="10.140625" style="590" customWidth="1"/>
    <col min="362" max="362" width="19.140625" style="622" customWidth="1"/>
    <col min="363" max="363" width="9.140625" style="45" customWidth="1"/>
    <col min="364" max="364" width="20" style="622" bestFit="1" customWidth="1"/>
    <col min="365" max="365" width="8.5703125" style="622" customWidth="1"/>
    <col min="366" max="366" width="18.85546875" style="622" customWidth="1"/>
    <col min="367" max="367" width="10.140625" style="622" customWidth="1"/>
    <col min="368" max="368" width="20.85546875" style="645" customWidth="1"/>
    <col min="369" max="369" width="9.140625" style="45" bestFit="1" customWidth="1"/>
    <col min="370" max="370" width="20" style="645" bestFit="1" customWidth="1"/>
    <col min="371" max="371" width="8" style="645" bestFit="1" customWidth="1"/>
    <col min="372" max="372" width="18.85546875" style="645" customWidth="1"/>
    <col min="373" max="373" width="10.140625" style="645" customWidth="1"/>
    <col min="374" max="374" width="20.85546875" style="663" customWidth="1"/>
    <col min="375" max="375" width="8.7109375" style="45" bestFit="1" customWidth="1"/>
    <col min="376" max="376" width="20" style="663" bestFit="1" customWidth="1"/>
    <col min="377" max="377" width="7" style="663" bestFit="1" customWidth="1"/>
    <col min="378" max="378" width="19" style="663" customWidth="1"/>
    <col min="379" max="379" width="10.140625" style="663" customWidth="1"/>
    <col min="380" max="380" width="20.85546875" style="690" customWidth="1"/>
    <col min="381" max="381" width="11.140625" style="45" bestFit="1" customWidth="1"/>
    <col min="382" max="382" width="20" style="690" bestFit="1" customWidth="1"/>
    <col min="383" max="383" width="8" style="690" bestFit="1" customWidth="1"/>
    <col min="384" max="384" width="19" style="690" customWidth="1"/>
    <col min="385" max="385" width="10.140625" style="690" customWidth="1"/>
    <col min="386" max="386" width="20.85546875" style="718" customWidth="1"/>
    <col min="387" max="387" width="9.140625" style="45" bestFit="1" customWidth="1"/>
    <col min="388" max="388" width="20" style="718" bestFit="1" customWidth="1"/>
    <col min="389" max="389" width="8.7109375" style="718" bestFit="1" customWidth="1"/>
    <col min="390" max="390" width="21" style="718" customWidth="1"/>
    <col min="391" max="391" width="10.140625" style="718" customWidth="1"/>
    <col min="392" max="392" width="7.140625" style="45" customWidth="1"/>
    <col min="393" max="393" width="8.5703125" style="14" bestFit="1" customWidth="1"/>
    <col min="394" max="16384" width="14.5703125" style="14"/>
  </cols>
  <sheetData>
    <row r="1" spans="1:394">
      <c r="A1" s="780" t="s">
        <v>1017</v>
      </c>
      <c r="B1" s="780"/>
      <c r="C1" s="752" t="s">
        <v>92</v>
      </c>
      <c r="D1" s="753"/>
      <c r="E1" s="742" t="s">
        <v>1018</v>
      </c>
      <c r="F1" s="743"/>
      <c r="G1" s="780" t="s">
        <v>1019</v>
      </c>
      <c r="H1" s="780"/>
      <c r="I1" s="752" t="s">
        <v>92</v>
      </c>
      <c r="J1" s="753"/>
      <c r="K1" s="742" t="s">
        <v>1020</v>
      </c>
      <c r="L1" s="743"/>
      <c r="M1" s="780" t="s">
        <v>1021</v>
      </c>
      <c r="N1" s="780"/>
      <c r="O1" s="752" t="s">
        <v>92</v>
      </c>
      <c r="P1" s="753"/>
      <c r="Q1" s="742" t="s">
        <v>1022</v>
      </c>
      <c r="R1" s="743"/>
      <c r="S1" s="780" t="s">
        <v>1023</v>
      </c>
      <c r="T1" s="780"/>
      <c r="U1" s="752" t="s">
        <v>92</v>
      </c>
      <c r="V1" s="753"/>
      <c r="W1" s="742" t="s">
        <v>577</v>
      </c>
      <c r="X1" s="743"/>
      <c r="Y1" s="780" t="s">
        <v>1024</v>
      </c>
      <c r="Z1" s="780"/>
      <c r="AA1" s="752" t="s">
        <v>92</v>
      </c>
      <c r="AB1" s="753"/>
      <c r="AC1" s="742" t="s">
        <v>1025</v>
      </c>
      <c r="AD1" s="743"/>
      <c r="AE1" s="780" t="s">
        <v>1026</v>
      </c>
      <c r="AF1" s="780"/>
      <c r="AG1" s="752" t="s">
        <v>92</v>
      </c>
      <c r="AH1" s="753"/>
      <c r="AI1" s="742" t="s">
        <v>1027</v>
      </c>
      <c r="AJ1" s="743"/>
      <c r="AK1" s="780" t="s">
        <v>1028</v>
      </c>
      <c r="AL1" s="780"/>
      <c r="AM1" s="752" t="s">
        <v>1029</v>
      </c>
      <c r="AN1" s="753"/>
      <c r="AO1" s="742" t="s">
        <v>1030</v>
      </c>
      <c r="AP1" s="743"/>
      <c r="AQ1" s="780" t="s">
        <v>1031</v>
      </c>
      <c r="AR1" s="780"/>
      <c r="AS1" s="752" t="s">
        <v>1029</v>
      </c>
      <c r="AT1" s="753"/>
      <c r="AU1" s="742" t="s">
        <v>1032</v>
      </c>
      <c r="AV1" s="743"/>
      <c r="AW1" s="780" t="s">
        <v>1033</v>
      </c>
      <c r="AX1" s="780"/>
      <c r="AY1" s="742" t="s">
        <v>1034</v>
      </c>
      <c r="AZ1" s="743"/>
      <c r="BA1" s="780" t="s">
        <v>1033</v>
      </c>
      <c r="BB1" s="780"/>
      <c r="BC1" s="752" t="s">
        <v>594</v>
      </c>
      <c r="BD1" s="753"/>
      <c r="BE1" s="742" t="s">
        <v>1035</v>
      </c>
      <c r="BF1" s="743"/>
      <c r="BG1" s="780" t="s">
        <v>1036</v>
      </c>
      <c r="BH1" s="780"/>
      <c r="BI1" s="752" t="s">
        <v>594</v>
      </c>
      <c r="BJ1" s="753"/>
      <c r="BK1" s="742" t="s">
        <v>1035</v>
      </c>
      <c r="BL1" s="743"/>
      <c r="BM1" s="780" t="s">
        <v>1037</v>
      </c>
      <c r="BN1" s="780"/>
      <c r="BO1" s="752" t="s">
        <v>594</v>
      </c>
      <c r="BP1" s="753"/>
      <c r="BQ1" s="742" t="s">
        <v>1038</v>
      </c>
      <c r="BR1" s="743"/>
      <c r="BS1" s="780" t="s">
        <v>1039</v>
      </c>
      <c r="BT1" s="780"/>
      <c r="BU1" s="752" t="s">
        <v>594</v>
      </c>
      <c r="BV1" s="753"/>
      <c r="BW1" s="742" t="s">
        <v>1040</v>
      </c>
      <c r="BX1" s="743"/>
      <c r="BY1" s="780" t="s">
        <v>1041</v>
      </c>
      <c r="BZ1" s="780"/>
      <c r="CA1" s="752" t="s">
        <v>594</v>
      </c>
      <c r="CB1" s="753"/>
      <c r="CC1" s="742" t="s">
        <v>1038</v>
      </c>
      <c r="CD1" s="743"/>
      <c r="CE1" s="780" t="s">
        <v>1042</v>
      </c>
      <c r="CF1" s="780"/>
      <c r="CG1" s="752" t="s">
        <v>594</v>
      </c>
      <c r="CH1" s="753"/>
      <c r="CI1" s="742" t="s">
        <v>1040</v>
      </c>
      <c r="CJ1" s="743"/>
      <c r="CK1" s="780" t="s">
        <v>1043</v>
      </c>
      <c r="CL1" s="780"/>
      <c r="CM1" s="752" t="s">
        <v>594</v>
      </c>
      <c r="CN1" s="753"/>
      <c r="CO1" s="742" t="s">
        <v>1038</v>
      </c>
      <c r="CP1" s="743"/>
      <c r="CQ1" s="780" t="s">
        <v>1044</v>
      </c>
      <c r="CR1" s="780"/>
      <c r="CS1" s="800" t="s">
        <v>594</v>
      </c>
      <c r="CT1" s="801"/>
      <c r="CU1" s="742" t="s">
        <v>1045</v>
      </c>
      <c r="CV1" s="743"/>
      <c r="CW1" s="780" t="s">
        <v>1046</v>
      </c>
      <c r="CX1" s="780"/>
      <c r="CY1" s="800" t="s">
        <v>594</v>
      </c>
      <c r="CZ1" s="801"/>
      <c r="DA1" s="742" t="s">
        <v>1047</v>
      </c>
      <c r="DB1" s="743"/>
      <c r="DC1" s="780" t="s">
        <v>1048</v>
      </c>
      <c r="DD1" s="780"/>
      <c r="DE1" s="800" t="s">
        <v>594</v>
      </c>
      <c r="DF1" s="801"/>
      <c r="DG1" s="742" t="s">
        <v>1049</v>
      </c>
      <c r="DH1" s="743"/>
      <c r="DI1" s="780" t="s">
        <v>1050</v>
      </c>
      <c r="DJ1" s="780"/>
      <c r="DK1" s="800" t="s">
        <v>594</v>
      </c>
      <c r="DL1" s="801"/>
      <c r="DM1" s="742" t="s">
        <v>1045</v>
      </c>
      <c r="DN1" s="743"/>
      <c r="DO1" s="780" t="s">
        <v>1051</v>
      </c>
      <c r="DP1" s="780"/>
      <c r="DQ1" s="800" t="s">
        <v>594</v>
      </c>
      <c r="DR1" s="801"/>
      <c r="DS1" s="742" t="s">
        <v>1052</v>
      </c>
      <c r="DT1" s="743"/>
      <c r="DU1" s="780" t="s">
        <v>1053</v>
      </c>
      <c r="DV1" s="780"/>
      <c r="DW1" s="800" t="s">
        <v>594</v>
      </c>
      <c r="DX1" s="801"/>
      <c r="DY1" s="742" t="s">
        <v>1054</v>
      </c>
      <c r="DZ1" s="743"/>
      <c r="EA1" s="774" t="s">
        <v>1055</v>
      </c>
      <c r="EB1" s="774"/>
      <c r="EC1" s="800" t="s">
        <v>594</v>
      </c>
      <c r="ED1" s="801"/>
      <c r="EE1" s="742" t="s">
        <v>1052</v>
      </c>
      <c r="EF1" s="743"/>
      <c r="EG1" s="50"/>
      <c r="EH1" s="774" t="s">
        <v>1056</v>
      </c>
      <c r="EI1" s="774"/>
      <c r="EJ1" s="800" t="s">
        <v>594</v>
      </c>
      <c r="EK1" s="801"/>
      <c r="EL1" s="742" t="s">
        <v>1057</v>
      </c>
      <c r="EM1" s="743"/>
      <c r="EN1" s="774" t="s">
        <v>1058</v>
      </c>
      <c r="EO1" s="774"/>
      <c r="EP1" s="800" t="s">
        <v>594</v>
      </c>
      <c r="EQ1" s="801"/>
      <c r="ER1" s="742" t="s">
        <v>1059</v>
      </c>
      <c r="ES1" s="743"/>
      <c r="ET1" s="774" t="s">
        <v>1060</v>
      </c>
      <c r="EU1" s="774"/>
      <c r="EV1" s="800" t="s">
        <v>594</v>
      </c>
      <c r="EW1" s="801"/>
      <c r="EX1" s="742" t="s">
        <v>1054</v>
      </c>
      <c r="EY1" s="743"/>
      <c r="EZ1" s="774" t="s">
        <v>1061</v>
      </c>
      <c r="FA1" s="774"/>
      <c r="FB1" s="800" t="s">
        <v>594</v>
      </c>
      <c r="FC1" s="801"/>
      <c r="FD1" s="742" t="s">
        <v>1047</v>
      </c>
      <c r="FE1" s="743"/>
      <c r="FF1" s="774" t="s">
        <v>1062</v>
      </c>
      <c r="FG1" s="774"/>
      <c r="FH1" s="800" t="s">
        <v>594</v>
      </c>
      <c r="FI1" s="801"/>
      <c r="FJ1" s="742" t="s">
        <v>1045</v>
      </c>
      <c r="FK1" s="743"/>
      <c r="FL1" s="774" t="s">
        <v>1063</v>
      </c>
      <c r="FM1" s="774"/>
      <c r="FN1" s="800" t="s">
        <v>594</v>
      </c>
      <c r="FO1" s="801"/>
      <c r="FP1" s="742" t="s">
        <v>1064</v>
      </c>
      <c r="FQ1" s="743"/>
      <c r="FR1" s="774" t="s">
        <v>1065</v>
      </c>
      <c r="FS1" s="774"/>
      <c r="FT1" s="800" t="s">
        <v>594</v>
      </c>
      <c r="FU1" s="801"/>
      <c r="FV1" s="742" t="s">
        <v>1064</v>
      </c>
      <c r="FW1" s="743"/>
      <c r="FX1" s="774" t="s">
        <v>1066</v>
      </c>
      <c r="FY1" s="774"/>
      <c r="FZ1" s="800" t="s">
        <v>594</v>
      </c>
      <c r="GA1" s="801"/>
      <c r="GB1" s="742" t="s">
        <v>1054</v>
      </c>
      <c r="GC1" s="743"/>
      <c r="GD1" s="774" t="s">
        <v>1067</v>
      </c>
      <c r="GE1" s="774"/>
      <c r="GF1" s="800" t="s">
        <v>594</v>
      </c>
      <c r="GG1" s="801"/>
      <c r="GH1" s="742" t="s">
        <v>1052</v>
      </c>
      <c r="GI1" s="743"/>
      <c r="GJ1" s="774" t="s">
        <v>1068</v>
      </c>
      <c r="GK1" s="774"/>
      <c r="GL1" s="800" t="s">
        <v>594</v>
      </c>
      <c r="GM1" s="801"/>
      <c r="GN1" s="742" t="s">
        <v>1052</v>
      </c>
      <c r="GO1" s="743"/>
      <c r="GP1" s="774" t="s">
        <v>1069</v>
      </c>
      <c r="GQ1" s="774"/>
      <c r="GR1" s="800" t="s">
        <v>594</v>
      </c>
      <c r="GS1" s="801"/>
      <c r="GT1" s="742" t="s">
        <v>1057</v>
      </c>
      <c r="GU1" s="743"/>
      <c r="GV1" s="774" t="s">
        <v>1070</v>
      </c>
      <c r="GW1" s="774"/>
      <c r="GX1" s="800" t="s">
        <v>594</v>
      </c>
      <c r="GY1" s="801"/>
      <c r="GZ1" s="742" t="s">
        <v>1071</v>
      </c>
      <c r="HA1" s="743"/>
      <c r="HB1" s="774" t="s">
        <v>1072</v>
      </c>
      <c r="HC1" s="774"/>
      <c r="HD1" s="800" t="s">
        <v>594</v>
      </c>
      <c r="HE1" s="801"/>
      <c r="HF1" s="742" t="s">
        <v>1059</v>
      </c>
      <c r="HG1" s="743"/>
      <c r="HH1" s="774" t="s">
        <v>1073</v>
      </c>
      <c r="HI1" s="774"/>
      <c r="HJ1" s="800" t="s">
        <v>594</v>
      </c>
      <c r="HK1" s="801"/>
      <c r="HL1" s="742" t="s">
        <v>1045</v>
      </c>
      <c r="HM1" s="743"/>
      <c r="HN1" s="774" t="s">
        <v>1074</v>
      </c>
      <c r="HO1" s="774"/>
      <c r="HP1" s="800" t="s">
        <v>594</v>
      </c>
      <c r="HQ1" s="801"/>
      <c r="HR1" s="742" t="s">
        <v>1045</v>
      </c>
      <c r="HS1" s="743"/>
      <c r="HT1" s="774" t="s">
        <v>1075</v>
      </c>
      <c r="HU1" s="774"/>
      <c r="HV1" s="800" t="s">
        <v>594</v>
      </c>
      <c r="HW1" s="801"/>
      <c r="HX1" s="742" t="s">
        <v>1054</v>
      </c>
      <c r="HY1" s="743"/>
      <c r="HZ1" s="774" t="s">
        <v>1076</v>
      </c>
      <c r="IA1" s="774"/>
      <c r="IB1" s="800" t="s">
        <v>594</v>
      </c>
      <c r="IC1" s="801"/>
      <c r="ID1" s="742" t="s">
        <v>1059</v>
      </c>
      <c r="IE1" s="743"/>
      <c r="IF1" s="774" t="s">
        <v>1077</v>
      </c>
      <c r="IG1" s="774"/>
      <c r="IH1" s="800" t="s">
        <v>594</v>
      </c>
      <c r="II1" s="801"/>
      <c r="IJ1" s="742" t="s">
        <v>1052</v>
      </c>
      <c r="IK1" s="743"/>
      <c r="IL1" s="774" t="s">
        <v>1078</v>
      </c>
      <c r="IM1" s="774"/>
      <c r="IN1" s="800" t="s">
        <v>594</v>
      </c>
      <c r="IO1" s="801"/>
      <c r="IP1" s="742" t="s">
        <v>1054</v>
      </c>
      <c r="IQ1" s="743"/>
      <c r="IR1" s="774" t="s">
        <v>1079</v>
      </c>
      <c r="IS1" s="774"/>
      <c r="IT1" s="800" t="s">
        <v>594</v>
      </c>
      <c r="IU1" s="801"/>
      <c r="IV1" s="742" t="s">
        <v>1080</v>
      </c>
      <c r="IW1" s="743"/>
      <c r="IX1" s="774" t="s">
        <v>1081</v>
      </c>
      <c r="IY1" s="774"/>
      <c r="IZ1" s="800" t="s">
        <v>594</v>
      </c>
      <c r="JA1" s="801"/>
      <c r="JB1" s="742" t="s">
        <v>1064</v>
      </c>
      <c r="JC1" s="743"/>
      <c r="JD1" s="774" t="s">
        <v>1082</v>
      </c>
      <c r="JE1" s="774"/>
      <c r="JF1" s="800" t="s">
        <v>594</v>
      </c>
      <c r="JG1" s="801"/>
      <c r="JH1" s="742" t="s">
        <v>1080</v>
      </c>
      <c r="JI1" s="743"/>
      <c r="JJ1" s="774" t="s">
        <v>1083</v>
      </c>
      <c r="JK1" s="774"/>
      <c r="JL1" s="575" t="s">
        <v>594</v>
      </c>
      <c r="JM1" s="107"/>
      <c r="JN1" s="541" t="s">
        <v>1080</v>
      </c>
      <c r="JO1" s="50"/>
      <c r="JP1" s="774" t="s">
        <v>1084</v>
      </c>
      <c r="JQ1" s="774"/>
      <c r="JR1" s="575" t="s">
        <v>594</v>
      </c>
      <c r="JS1" s="107"/>
      <c r="JT1" s="541" t="s">
        <v>1057</v>
      </c>
      <c r="JU1" s="50"/>
      <c r="JV1" s="774" t="s">
        <v>1085</v>
      </c>
      <c r="JW1" s="774"/>
      <c r="JX1" s="575" t="s">
        <v>594</v>
      </c>
      <c r="JY1" s="107"/>
      <c r="JZ1" s="541" t="s">
        <v>1086</v>
      </c>
      <c r="KA1" s="50"/>
      <c r="KB1" s="774" t="s">
        <v>1087</v>
      </c>
      <c r="KC1" s="774"/>
      <c r="KD1" s="575" t="s">
        <v>594</v>
      </c>
      <c r="KE1" s="107"/>
      <c r="KF1" s="541" t="s">
        <v>1045</v>
      </c>
      <c r="KG1" s="50"/>
      <c r="KH1" s="774" t="s">
        <v>1088</v>
      </c>
      <c r="KI1" s="774"/>
      <c r="KJ1" s="575" t="s">
        <v>594</v>
      </c>
      <c r="KK1" s="107"/>
      <c r="KL1" s="541" t="s">
        <v>1052</v>
      </c>
      <c r="KM1" s="50"/>
      <c r="KN1" s="774" t="s">
        <v>1089</v>
      </c>
      <c r="KO1" s="774"/>
      <c r="KP1" s="575" t="s">
        <v>594</v>
      </c>
      <c r="KQ1" s="107"/>
      <c r="KR1" s="541" t="s">
        <v>1052</v>
      </c>
      <c r="KS1" s="50"/>
      <c r="KT1" s="774" t="s">
        <v>1090</v>
      </c>
      <c r="KU1" s="774"/>
      <c r="KV1" s="575" t="s">
        <v>594</v>
      </c>
      <c r="KW1" s="107"/>
      <c r="KX1" s="541" t="s">
        <v>1052</v>
      </c>
      <c r="KY1" s="50"/>
      <c r="KZ1" s="774" t="s">
        <v>1091</v>
      </c>
      <c r="LA1" s="774"/>
      <c r="LB1" s="575" t="s">
        <v>594</v>
      </c>
      <c r="LC1" s="107"/>
      <c r="LD1" s="725" t="s">
        <v>1059</v>
      </c>
      <c r="LE1" s="50"/>
      <c r="LF1" s="774" t="s">
        <v>1092</v>
      </c>
      <c r="LG1" s="774"/>
      <c r="LH1" s="575" t="s">
        <v>594</v>
      </c>
      <c r="LI1" s="107"/>
      <c r="LJ1" s="725" t="s">
        <v>1057</v>
      </c>
      <c r="LK1" s="50"/>
      <c r="LL1" s="774" t="s">
        <v>1093</v>
      </c>
      <c r="LM1" s="774"/>
      <c r="LN1" s="575" t="s">
        <v>594</v>
      </c>
      <c r="LO1" s="305"/>
      <c r="LP1" s="725" t="s">
        <v>1059</v>
      </c>
      <c r="LQ1" s="50"/>
      <c r="LR1" s="774" t="s">
        <v>1094</v>
      </c>
      <c r="LS1" s="774"/>
      <c r="LT1" s="575" t="s">
        <v>594</v>
      </c>
      <c r="LU1" s="305"/>
      <c r="LV1" s="541" t="s">
        <v>1064</v>
      </c>
      <c r="LW1" s="50"/>
      <c r="LX1" s="774" t="s">
        <v>1095</v>
      </c>
      <c r="LY1" s="774"/>
      <c r="LZ1" s="575" t="s">
        <v>594</v>
      </c>
      <c r="MA1" s="305"/>
      <c r="MB1" s="725" t="s">
        <v>1057</v>
      </c>
      <c r="MC1" s="50"/>
      <c r="MD1" s="796" t="s">
        <v>1096</v>
      </c>
      <c r="ME1" s="774"/>
      <c r="MF1" s="575" t="s">
        <v>594</v>
      </c>
      <c r="MG1" s="305"/>
      <c r="MH1" s="725" t="s">
        <v>1045</v>
      </c>
      <c r="MI1" s="50"/>
      <c r="MJ1" s="796" t="s">
        <v>1097</v>
      </c>
      <c r="MK1" s="774"/>
      <c r="ML1" s="575" t="s">
        <v>594</v>
      </c>
      <c r="MM1" s="305"/>
      <c r="MN1" s="725" t="s">
        <v>1064</v>
      </c>
      <c r="MO1" s="50"/>
      <c r="MP1" s="774" t="s">
        <v>3408</v>
      </c>
      <c r="MQ1" s="774"/>
      <c r="MR1" s="588" t="s">
        <v>594</v>
      </c>
      <c r="MS1" s="305"/>
      <c r="MT1" s="725" t="s">
        <v>1057</v>
      </c>
      <c r="MU1" s="586"/>
      <c r="MV1" s="774" t="s">
        <v>3445</v>
      </c>
      <c r="MW1" s="774"/>
      <c r="MX1" s="620" t="s">
        <v>594</v>
      </c>
      <c r="MY1" s="305"/>
      <c r="MZ1" s="725" t="s">
        <v>1052</v>
      </c>
      <c r="NA1" s="618"/>
      <c r="NB1" s="774" t="s">
        <v>3509</v>
      </c>
      <c r="NC1" s="774"/>
      <c r="ND1" s="648" t="s">
        <v>594</v>
      </c>
      <c r="NE1" s="305"/>
      <c r="NF1" s="659" t="s">
        <v>1045</v>
      </c>
      <c r="NG1" s="639"/>
      <c r="NH1" s="774" t="s">
        <v>3547</v>
      </c>
      <c r="NI1" s="774"/>
      <c r="NJ1" s="662" t="s">
        <v>594</v>
      </c>
      <c r="NK1" s="305"/>
      <c r="NL1" s="725" t="s">
        <v>1047</v>
      </c>
      <c r="NM1" s="660"/>
      <c r="NN1" s="774" t="s">
        <v>3591</v>
      </c>
      <c r="NO1" s="774"/>
      <c r="NP1" s="693" t="s">
        <v>594</v>
      </c>
      <c r="NQ1" s="305"/>
      <c r="NR1" s="725" t="s">
        <v>1064</v>
      </c>
      <c r="NS1" s="684"/>
      <c r="NT1" s="774" t="s">
        <v>3631</v>
      </c>
      <c r="NU1" s="774"/>
      <c r="NV1" s="721" t="s">
        <v>594</v>
      </c>
      <c r="NW1" s="305"/>
      <c r="NX1" s="711" t="s">
        <v>1080</v>
      </c>
      <c r="NY1" s="712"/>
      <c r="NZ1" s="774" t="s">
        <v>3451</v>
      </c>
      <c r="OA1" s="774"/>
    </row>
    <row r="2" spans="1:394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0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0" t="s">
        <v>1108</v>
      </c>
      <c r="MW2" s="47">
        <f>SUM(MW6:MW36)</f>
        <v>328515.84100000001</v>
      </c>
      <c r="MX2" s="622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2" t="s">
        <v>1108</v>
      </c>
      <c r="NC2" s="47">
        <f>SUM(NC8:NC34)</f>
        <v>344075.64</v>
      </c>
      <c r="ND2" s="645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5" t="s">
        <v>1108</v>
      </c>
      <c r="NI2" s="47">
        <f>SUM(NI7:NI30)</f>
        <v>324913.81</v>
      </c>
      <c r="NJ2" s="663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3" t="s">
        <v>1108</v>
      </c>
      <c r="NO2" s="47">
        <f>SUM(NO9:NO35)</f>
        <v>352551.66000000003</v>
      </c>
      <c r="NP2" s="690" t="s">
        <v>1104</v>
      </c>
      <c r="NQ2" s="251">
        <f>SUM(NQ4:NQ21)</f>
        <v>25979.960000000003</v>
      </c>
      <c r="NR2" s="72" t="s">
        <v>116</v>
      </c>
      <c r="NS2" s="315">
        <f>NQ2+NO2-NU2</f>
        <v>80131.360000000044</v>
      </c>
      <c r="NT2" s="690" t="s">
        <v>1108</v>
      </c>
      <c r="NU2" s="47">
        <f>SUM(NU4:NU32)</f>
        <v>298400.26</v>
      </c>
      <c r="NV2" s="718" t="s">
        <v>1104</v>
      </c>
      <c r="NW2" s="251">
        <f>SUM(NW4:NW22)</f>
        <v>3426.39</v>
      </c>
      <c r="NX2" s="72" t="s">
        <v>116</v>
      </c>
      <c r="NY2" s="315">
        <f>NW2+NU2-OA2</f>
        <v>11970.559999999998</v>
      </c>
      <c r="NZ2" s="718" t="s">
        <v>1108</v>
      </c>
      <c r="OA2" s="47">
        <f>SUM(OA4:OA36)</f>
        <v>289856.09000000003</v>
      </c>
    </row>
    <row r="3" spans="1:394">
      <c r="A3" s="779" t="s">
        <v>1109</v>
      </c>
      <c r="B3" s="779"/>
      <c r="E3" s="55" t="s">
        <v>123</v>
      </c>
      <c r="F3" s="54">
        <f>F2-F4</f>
        <v>17</v>
      </c>
      <c r="G3" s="779" t="s">
        <v>1109</v>
      </c>
      <c r="H3" s="779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0" t="s">
        <v>3456</v>
      </c>
      <c r="MU3" s="93">
        <f>MU2-MS34-MS33</f>
        <v>4710.650000000036</v>
      </c>
      <c r="MV3" s="590" t="s">
        <v>1134</v>
      </c>
      <c r="MW3" s="47">
        <f>SUM(MW12:MW13)</f>
        <v>-176810</v>
      </c>
      <c r="MY3" s="251"/>
      <c r="MZ3" s="629" t="s">
        <v>3456</v>
      </c>
      <c r="NA3" s="93">
        <f>NA2-MY30-MY29</f>
        <v>3374.3319999999694</v>
      </c>
      <c r="NB3" s="622" t="s">
        <v>3481</v>
      </c>
      <c r="NC3" s="622" t="s">
        <v>3482</v>
      </c>
      <c r="NE3" s="251"/>
      <c r="NF3" s="645" t="s">
        <v>3456</v>
      </c>
      <c r="NG3" s="93">
        <f>NG2-NE27-NE26</f>
        <v>6463.2910000000265</v>
      </c>
      <c r="NH3" s="645" t="s">
        <v>3481</v>
      </c>
      <c r="NI3" s="645" t="s">
        <v>3558</v>
      </c>
      <c r="NJ3" s="663" t="s">
        <v>1131</v>
      </c>
      <c r="NK3" s="121">
        <v>18607.38</v>
      </c>
      <c r="NL3" s="663" t="s">
        <v>3456</v>
      </c>
      <c r="NM3" s="93">
        <f>NM2-NK25-NK24</f>
        <v>2842.2909999999406</v>
      </c>
      <c r="NN3" s="663" t="s">
        <v>3481</v>
      </c>
      <c r="NO3" s="596" t="s">
        <v>3600</v>
      </c>
      <c r="NQ3" s="251"/>
      <c r="NR3" s="690" t="s">
        <v>3456</v>
      </c>
      <c r="NS3" s="93">
        <f>NS2-NQ31-NQ30</f>
        <v>3331.1300000000447</v>
      </c>
      <c r="NT3" s="690" t="s">
        <v>3481</v>
      </c>
      <c r="NU3" s="596" t="s">
        <v>3677</v>
      </c>
      <c r="NW3" s="251"/>
      <c r="NX3" s="718" t="s">
        <v>3456</v>
      </c>
      <c r="NY3" s="93">
        <f>NY2-NW39-NW38</f>
        <v>2261.5599999999977</v>
      </c>
      <c r="NZ3" s="718" t="s">
        <v>3481</v>
      </c>
      <c r="OA3" s="596" t="s">
        <v>3686</v>
      </c>
      <c r="OB3" s="24">
        <v>45637</v>
      </c>
    </row>
    <row r="4" spans="1:394" ht="12.75" customHeight="1" thickBot="1">
      <c r="A4" s="779"/>
      <c r="B4" s="779"/>
      <c r="E4" s="55" t="s">
        <v>134</v>
      </c>
      <c r="F4" s="54">
        <f>SUM(F14:F57)</f>
        <v>12750</v>
      </c>
      <c r="G4" s="779"/>
      <c r="H4" s="779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8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09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0" t="s">
        <v>1131</v>
      </c>
      <c r="MS4" s="121">
        <v>18611.73</v>
      </c>
      <c r="MT4" s="590" t="s">
        <v>3455</v>
      </c>
      <c r="MU4" s="331">
        <f>MU2-MU5</f>
        <v>0.45000000003710738</v>
      </c>
      <c r="MV4" s="38">
        <v>5000</v>
      </c>
      <c r="MW4" s="39">
        <v>45524</v>
      </c>
      <c r="MX4" s="622" t="s">
        <v>1131</v>
      </c>
      <c r="MY4" s="121">
        <v>18611.73</v>
      </c>
      <c r="MZ4" s="629" t="s">
        <v>3455</v>
      </c>
      <c r="NA4" s="331">
        <f>NA2-NA5</f>
        <v>-1.8000000030951924E-2</v>
      </c>
      <c r="NB4" s="294">
        <v>5000</v>
      </c>
      <c r="NC4" s="295">
        <v>45538</v>
      </c>
      <c r="ND4" s="645" t="s">
        <v>1131</v>
      </c>
      <c r="NE4" s="121">
        <v>18611.73</v>
      </c>
      <c r="NF4" s="645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3" t="s">
        <v>3455</v>
      </c>
      <c r="NM4" s="331">
        <f>NM2-NM5</f>
        <v>7.0999999938976543E-2</v>
      </c>
      <c r="NN4" s="294">
        <v>6000</v>
      </c>
      <c r="NO4" s="295">
        <v>45608</v>
      </c>
      <c r="NP4" s="690" t="s">
        <v>1131</v>
      </c>
      <c r="NQ4" s="121">
        <v>18607.38</v>
      </c>
      <c r="NR4" s="690" t="s">
        <v>3455</v>
      </c>
      <c r="NS4" s="331">
        <f>NS2-NS5</f>
        <v>-0.34999999997671694</v>
      </c>
      <c r="NT4" s="708">
        <v>45636</v>
      </c>
      <c r="NU4" s="95">
        <v>6000</v>
      </c>
      <c r="NV4" s="718" t="s">
        <v>1131</v>
      </c>
      <c r="NW4" s="121"/>
      <c r="NX4" s="718" t="s">
        <v>3682</v>
      </c>
      <c r="NY4" s="331">
        <f>NY2-NY5</f>
        <v>-0.26000000000385626</v>
      </c>
      <c r="NZ4" s="708">
        <v>45650</v>
      </c>
      <c r="OA4" s="95">
        <v>8000</v>
      </c>
    </row>
    <row r="5" spans="1:394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8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0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2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5" t="s">
        <v>134</v>
      </c>
      <c r="NG5" s="93">
        <f>SUM(NG6:NG38)</f>
        <v>50451.970000000008</v>
      </c>
      <c r="NH5" s="38">
        <v>5000</v>
      </c>
      <c r="NI5" s="39">
        <v>45594</v>
      </c>
      <c r="NJ5" s="596" t="s">
        <v>3548</v>
      </c>
      <c r="NK5" s="606">
        <v>121</v>
      </c>
      <c r="NL5" s="663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0" t="s">
        <v>134</v>
      </c>
      <c r="NS5" s="93">
        <f>SUM(NS6:NS42)</f>
        <v>80131.710000000021</v>
      </c>
      <c r="NT5" s="709">
        <v>45650</v>
      </c>
      <c r="NU5" s="321">
        <v>8000</v>
      </c>
      <c r="NV5" s="583" t="s">
        <v>1148</v>
      </c>
      <c r="NW5" s="121">
        <v>-200</v>
      </c>
      <c r="NX5" s="718" t="s">
        <v>134</v>
      </c>
      <c r="NY5" s="93">
        <f>SUM(NY6:NY54)</f>
        <v>11970.820000000002</v>
      </c>
      <c r="NZ5" s="709">
        <v>45664</v>
      </c>
      <c r="OA5" s="321">
        <v>12000</v>
      </c>
    </row>
    <row r="6" spans="1:394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3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2"/>
      <c r="NF6" s="656" t="s">
        <v>3616</v>
      </c>
      <c r="NG6" s="45">
        <v>5000</v>
      </c>
      <c r="NH6" s="38">
        <v>6000</v>
      </c>
      <c r="NI6" s="39">
        <v>45608</v>
      </c>
      <c r="NJ6" s="596" t="s">
        <v>3570</v>
      </c>
      <c r="NK6" s="606">
        <v>200</v>
      </c>
      <c r="NL6" s="656" t="s">
        <v>3551</v>
      </c>
      <c r="NM6" s="45">
        <v>1900.1</v>
      </c>
      <c r="NN6" s="38">
        <v>8000</v>
      </c>
      <c r="NO6" s="39">
        <v>45650</v>
      </c>
      <c r="NP6" s="690" t="s">
        <v>3613</v>
      </c>
      <c r="NQ6" s="606"/>
      <c r="NR6" s="656" t="s">
        <v>3551</v>
      </c>
      <c r="NS6" s="45">
        <v>1900.11</v>
      </c>
      <c r="NT6" s="709">
        <v>45664</v>
      </c>
      <c r="NU6" s="321">
        <v>12000</v>
      </c>
      <c r="NV6" s="583" t="s">
        <v>3642</v>
      </c>
      <c r="NW6" s="121">
        <v>200</v>
      </c>
      <c r="NX6" s="656" t="s">
        <v>3551</v>
      </c>
      <c r="NY6" s="45"/>
      <c r="NZ6" s="710">
        <v>45678</v>
      </c>
      <c r="OA6" s="296">
        <v>18000</v>
      </c>
    </row>
    <row r="7" spans="1:394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4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7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3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4" t="s">
        <v>3484</v>
      </c>
      <c r="NA7" s="45">
        <v>59.57</v>
      </c>
      <c r="NB7" s="38">
        <v>8000</v>
      </c>
      <c r="NC7" s="39">
        <v>45580</v>
      </c>
      <c r="ND7" s="596" t="s">
        <v>3526</v>
      </c>
      <c r="NE7" s="45">
        <v>3960.9</v>
      </c>
      <c r="NF7" s="658" t="s">
        <v>3538</v>
      </c>
      <c r="NG7" s="45">
        <v>12985</v>
      </c>
      <c r="NH7" s="40" t="s">
        <v>1187</v>
      </c>
      <c r="NI7" s="296">
        <v>77000</v>
      </c>
      <c r="NJ7" s="697"/>
      <c r="NL7" s="658" t="s">
        <v>3615</v>
      </c>
      <c r="NM7" s="45">
        <v>53.62</v>
      </c>
      <c r="NN7" s="38">
        <v>12000</v>
      </c>
      <c r="NO7" s="39">
        <v>45664</v>
      </c>
      <c r="NP7" s="698" t="s">
        <v>3598</v>
      </c>
      <c r="NQ7" s="45">
        <v>1840</v>
      </c>
      <c r="NR7" s="656" t="s">
        <v>3551</v>
      </c>
      <c r="NS7" s="45">
        <v>1900.12</v>
      </c>
      <c r="NT7" s="710">
        <v>45678</v>
      </c>
      <c r="NU7" s="296">
        <v>18000</v>
      </c>
      <c r="NV7" s="583" t="s">
        <v>3647</v>
      </c>
      <c r="NW7" s="606">
        <v>400</v>
      </c>
      <c r="NX7" s="656" t="s">
        <v>3654</v>
      </c>
      <c r="NY7" s="45">
        <v>4</v>
      </c>
      <c r="NZ7" s="719" t="s">
        <v>3640</v>
      </c>
      <c r="OA7" s="47">
        <v>-4000</v>
      </c>
      <c r="OB7" s="333"/>
    </row>
    <row r="8" spans="1:394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4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1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4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6">
        <v>46.85</v>
      </c>
      <c r="NB8" s="38" t="s">
        <v>1187</v>
      </c>
      <c r="NC8" s="321">
        <v>94000</v>
      </c>
      <c r="ND8" s="596" t="s">
        <v>3537</v>
      </c>
      <c r="NE8" s="606">
        <v>2943</v>
      </c>
      <c r="NF8" s="658" t="s">
        <v>3539</v>
      </c>
      <c r="NG8" s="45">
        <f>13002*2</f>
        <v>26004</v>
      </c>
      <c r="NH8" s="646" t="s">
        <v>1220</v>
      </c>
      <c r="NI8" s="47">
        <v>-3000</v>
      </c>
      <c r="NJ8" s="663" t="s">
        <v>3592</v>
      </c>
      <c r="NK8" s="251"/>
      <c r="NL8" s="596" t="s">
        <v>1306</v>
      </c>
      <c r="NM8" s="663">
        <v>17.05</v>
      </c>
      <c r="NN8" s="38">
        <v>18000</v>
      </c>
      <c r="NO8" s="39">
        <v>45678</v>
      </c>
      <c r="NP8" s="700" t="s">
        <v>3602</v>
      </c>
      <c r="NQ8" s="45">
        <f>1850*2</f>
        <v>3700</v>
      </c>
      <c r="NR8" s="658" t="s">
        <v>1277</v>
      </c>
      <c r="NS8" s="45">
        <v>1000</v>
      </c>
      <c r="NT8" s="691" t="s">
        <v>1220</v>
      </c>
      <c r="NU8" s="47">
        <v>-3000</v>
      </c>
      <c r="NV8" s="583" t="s">
        <v>3667</v>
      </c>
      <c r="NW8" s="45" t="s">
        <v>3679</v>
      </c>
      <c r="NX8" s="656" t="s">
        <v>3655</v>
      </c>
      <c r="NY8" s="45">
        <v>5</v>
      </c>
      <c r="NZ8" s="713" t="s">
        <v>3498</v>
      </c>
      <c r="OA8" s="96">
        <v>-100000</v>
      </c>
      <c r="OB8" s="333"/>
    </row>
    <row r="9" spans="1:394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1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1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4" t="s">
        <v>1326</v>
      </c>
      <c r="MW9" s="235">
        <v>50000</v>
      </c>
      <c r="MX9" s="583"/>
      <c r="MY9" s="121"/>
      <c r="MZ9" s="120" t="s">
        <v>3515</v>
      </c>
      <c r="NA9" s="637">
        <v>30.68</v>
      </c>
      <c r="NB9" s="257" t="s">
        <v>1231</v>
      </c>
      <c r="NC9" s="296">
        <v>0</v>
      </c>
      <c r="ND9" s="650" t="s">
        <v>3613</v>
      </c>
      <c r="NF9" s="149" t="s">
        <v>3517</v>
      </c>
      <c r="NG9" s="45">
        <v>42.12</v>
      </c>
      <c r="NH9" s="640" t="s">
        <v>3498</v>
      </c>
      <c r="NI9" s="96">
        <v>-92000</v>
      </c>
      <c r="NJ9" s="663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687"/>
      <c r="NR9" s="658" t="s">
        <v>3637</v>
      </c>
      <c r="NS9" s="45">
        <v>72000</v>
      </c>
      <c r="NT9" s="685" t="s">
        <v>3498</v>
      </c>
      <c r="NU9" s="96">
        <v>-100000</v>
      </c>
      <c r="NV9" s="583"/>
      <c r="NX9" s="656" t="s">
        <v>3659</v>
      </c>
      <c r="NY9" s="45">
        <v>1100</v>
      </c>
      <c r="NZ9" s="680" t="s">
        <v>3663</v>
      </c>
      <c r="OA9" s="96">
        <v>201998</v>
      </c>
      <c r="OB9" s="333" t="s">
        <v>3687</v>
      </c>
      <c r="OD9" s="47"/>
    </row>
    <row r="10" spans="1:394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2">
        <v>1476</v>
      </c>
      <c r="MP10" s="65" t="s">
        <v>1326</v>
      </c>
      <c r="MQ10" s="235">
        <v>150000</v>
      </c>
      <c r="MR10" s="590" t="s">
        <v>1268</v>
      </c>
      <c r="MS10" s="251"/>
      <c r="MT10" s="159" t="s">
        <v>3493</v>
      </c>
      <c r="MU10" s="59">
        <v>736.62</v>
      </c>
      <c r="MV10" s="610" t="s">
        <v>3420</v>
      </c>
      <c r="MW10" s="47">
        <f>10000+20000</f>
        <v>30000</v>
      </c>
      <c r="MX10" s="622" t="s">
        <v>1268</v>
      </c>
      <c r="MY10" s="251"/>
      <c r="MZ10" s="149" t="s">
        <v>3495</v>
      </c>
      <c r="NA10" s="45">
        <v>39.6</v>
      </c>
      <c r="NB10" s="626" t="s">
        <v>1220</v>
      </c>
      <c r="NC10" s="47">
        <v>-4000</v>
      </c>
      <c r="ND10" s="645" t="s">
        <v>3556</v>
      </c>
      <c r="NE10" s="121">
        <f>1820*3</f>
        <v>5460</v>
      </c>
      <c r="NF10" s="149" t="s">
        <v>3529</v>
      </c>
      <c r="NG10" s="45">
        <v>200</v>
      </c>
      <c r="NH10" s="646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6" t="s">
        <v>1220</v>
      </c>
      <c r="NO10" s="47">
        <v>-3000</v>
      </c>
      <c r="NP10" s="695" t="s">
        <v>3592</v>
      </c>
      <c r="NQ10" s="251"/>
      <c r="NR10" s="596" t="s">
        <v>3620</v>
      </c>
      <c r="NS10" s="690">
        <v>293.85000000000002</v>
      </c>
      <c r="NT10" s="93" t="s">
        <v>1537</v>
      </c>
      <c r="NU10" s="96">
        <v>1000</v>
      </c>
      <c r="NV10" s="718" t="s">
        <v>3613</v>
      </c>
      <c r="NW10" s="606"/>
      <c r="NX10" s="656" t="s">
        <v>3660</v>
      </c>
      <c r="NY10" s="45">
        <v>1600</v>
      </c>
      <c r="NZ10" s="719" t="s">
        <v>1540</v>
      </c>
      <c r="OA10" s="47">
        <v>47002</v>
      </c>
      <c r="OB10" s="603">
        <v>45643</v>
      </c>
      <c r="OC10" s="47"/>
    </row>
    <row r="11" spans="1:394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0" t="s">
        <v>3423</v>
      </c>
      <c r="MS11" s="251">
        <v>62.000999999999998</v>
      </c>
      <c r="MT11" s="159" t="s">
        <v>3444</v>
      </c>
      <c r="MU11" s="45">
        <v>8000</v>
      </c>
      <c r="MV11" s="594" t="s">
        <v>3435</v>
      </c>
      <c r="MW11" s="47">
        <v>30000</v>
      </c>
      <c r="MX11" s="622" t="s">
        <v>3423</v>
      </c>
      <c r="MY11" s="251">
        <f>69.7+0.6</f>
        <v>70.3</v>
      </c>
      <c r="MZ11" s="149" t="s">
        <v>3474</v>
      </c>
      <c r="NA11" s="48">
        <v>10.9</v>
      </c>
      <c r="NB11" s="628" t="s">
        <v>3498</v>
      </c>
      <c r="NC11" s="96">
        <v>-92000</v>
      </c>
      <c r="ND11" s="706"/>
      <c r="NE11" s="121"/>
      <c r="NF11" s="149" t="s">
        <v>3541</v>
      </c>
      <c r="NG11" s="59">
        <v>71.599999999999994</v>
      </c>
      <c r="NH11" s="657" t="s">
        <v>3530</v>
      </c>
      <c r="NI11" s="47">
        <v>5000</v>
      </c>
      <c r="NJ11" s="664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5" t="s">
        <v>3498</v>
      </c>
      <c r="NO11" s="96">
        <v>-102000</v>
      </c>
      <c r="NP11" s="690" t="s">
        <v>3423</v>
      </c>
      <c r="NQ11" s="251">
        <f>55.85+2.07</f>
        <v>57.92</v>
      </c>
      <c r="NR11" s="149" t="s">
        <v>3517</v>
      </c>
      <c r="NS11" s="45">
        <v>60.83</v>
      </c>
      <c r="NT11" s="691" t="s">
        <v>1540</v>
      </c>
      <c r="NU11" s="47">
        <v>251009</v>
      </c>
      <c r="NV11" s="722" t="s">
        <v>3638</v>
      </c>
      <c r="NW11" s="45">
        <v>1840</v>
      </c>
      <c r="NX11" s="658" t="s">
        <v>1277</v>
      </c>
      <c r="NY11" s="606">
        <v>7000</v>
      </c>
      <c r="NZ11" s="719" t="s">
        <v>3597</v>
      </c>
      <c r="OA11" s="617">
        <v>100077</v>
      </c>
      <c r="OB11" s="603">
        <v>45635</v>
      </c>
      <c r="OC11" s="617"/>
    </row>
    <row r="12" spans="1:394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1"/>
      <c r="MS12" s="251"/>
      <c r="MT12" s="120" t="s">
        <v>3441</v>
      </c>
      <c r="MU12" s="58">
        <v>133.52000000000001</v>
      </c>
      <c r="MV12" s="596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6" t="s">
        <v>3483</v>
      </c>
      <c r="NC12" s="47">
        <v>30000</v>
      </c>
      <c r="ND12" s="645" t="s">
        <v>1268</v>
      </c>
      <c r="NE12" s="251"/>
      <c r="NF12" s="149" t="s">
        <v>3594</v>
      </c>
      <c r="NG12" s="48">
        <f>91.72+10.9</f>
        <v>102.62</v>
      </c>
      <c r="NH12" s="646" t="s">
        <v>3531</v>
      </c>
      <c r="NI12" s="47">
        <v>204003</v>
      </c>
      <c r="NJ12" s="670" t="s">
        <v>3554</v>
      </c>
      <c r="NK12" s="584">
        <v>67.599999999999994</v>
      </c>
      <c r="NL12" s="682" t="s">
        <v>3581</v>
      </c>
      <c r="NM12" s="696">
        <v>286.05</v>
      </c>
      <c r="NN12" s="666" t="s">
        <v>3560</v>
      </c>
      <c r="NO12" s="47">
        <v>297460</v>
      </c>
      <c r="NP12" s="687" t="s">
        <v>1381</v>
      </c>
      <c r="NQ12" s="251">
        <v>4.8099999999999996</v>
      </c>
      <c r="NR12" s="149" t="s">
        <v>3595</v>
      </c>
      <c r="NS12" s="596">
        <v>81.849999999999994</v>
      </c>
      <c r="NT12" s="691" t="s">
        <v>3597</v>
      </c>
      <c r="NU12" s="617">
        <v>101321</v>
      </c>
      <c r="NX12" s="658" t="s">
        <v>3632</v>
      </c>
      <c r="NY12" s="45"/>
      <c r="NZ12" s="719" t="s">
        <v>1482</v>
      </c>
      <c r="OA12" s="617">
        <v>0</v>
      </c>
      <c r="OB12" s="603">
        <v>45637</v>
      </c>
    </row>
    <row r="13" spans="1:394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1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0" t="s">
        <v>1548</v>
      </c>
      <c r="MS13" s="251"/>
      <c r="MT13" s="120" t="s">
        <v>3440</v>
      </c>
      <c r="MU13" s="59">
        <v>180.46</v>
      </c>
      <c r="MV13" s="596" t="s">
        <v>3418</v>
      </c>
      <c r="MW13" s="47">
        <v>-113000</v>
      </c>
      <c r="MX13" s="623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6" t="s">
        <v>3417</v>
      </c>
      <c r="NC13" s="581" t="s">
        <v>1952</v>
      </c>
      <c r="ND13" s="645" t="s">
        <v>3423</v>
      </c>
      <c r="NE13" s="251">
        <v>71.001000000000005</v>
      </c>
      <c r="NF13" s="149" t="s">
        <v>1547</v>
      </c>
      <c r="NG13" s="45">
        <f>24+5</f>
        <v>29</v>
      </c>
      <c r="NH13" s="646" t="s">
        <v>3522</v>
      </c>
      <c r="NI13" s="617">
        <v>100722</v>
      </c>
      <c r="NJ13" s="665" t="s">
        <v>1786</v>
      </c>
      <c r="NK13" s="251">
        <f>35.99+64.79+179.96</f>
        <v>280.74</v>
      </c>
      <c r="NL13" s="149" t="s">
        <v>1547</v>
      </c>
      <c r="NM13" s="59">
        <v>5</v>
      </c>
      <c r="NN13" s="666" t="s">
        <v>3522</v>
      </c>
      <c r="NO13" s="617">
        <v>101021</v>
      </c>
      <c r="NP13" s="704" t="s">
        <v>3610</v>
      </c>
      <c r="NQ13" s="251">
        <v>558.57000000000005</v>
      </c>
      <c r="NR13" s="149" t="s">
        <v>3541</v>
      </c>
      <c r="NS13" s="59">
        <v>71.599999999999994</v>
      </c>
      <c r="NT13" s="691" t="s">
        <v>1482</v>
      </c>
      <c r="NU13" s="617">
        <v>0</v>
      </c>
      <c r="NV13" s="715"/>
      <c r="NX13" s="596" t="s">
        <v>3653</v>
      </c>
      <c r="NZ13" s="719" t="s">
        <v>3533</v>
      </c>
      <c r="OA13" s="617">
        <v>13</v>
      </c>
      <c r="OB13" s="603">
        <v>45634</v>
      </c>
    </row>
    <row r="14" spans="1:394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97" t="s">
        <v>1631</v>
      </c>
      <c r="DP14" s="798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74" t="s">
        <v>1649</v>
      </c>
      <c r="HK14" s="774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6" t="s">
        <v>3430</v>
      </c>
      <c r="MS14" s="251">
        <v>132.44999999999999</v>
      </c>
      <c r="MT14" s="149" t="s">
        <v>1678</v>
      </c>
      <c r="MU14" s="45">
        <v>73.400000000000006</v>
      </c>
      <c r="MV14" s="594" t="s">
        <v>1220</v>
      </c>
      <c r="MW14" s="47">
        <v>-4000</v>
      </c>
      <c r="MX14" s="622" t="s">
        <v>1548</v>
      </c>
      <c r="MY14" s="251"/>
      <c r="MZ14" s="149" t="s">
        <v>1675</v>
      </c>
      <c r="NA14" s="45">
        <f>18.83+10+14.95+10+10+13.86+15.08+17.6</f>
        <v>110.32</v>
      </c>
      <c r="NB14" s="596" t="s">
        <v>3418</v>
      </c>
      <c r="NC14" s="581" t="s">
        <v>1952</v>
      </c>
      <c r="ND14" s="642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7" t="s">
        <v>3533</v>
      </c>
      <c r="NI14" s="617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1" t="s">
        <v>1482</v>
      </c>
      <c r="NO14" s="617">
        <v>0</v>
      </c>
      <c r="NP14" s="687" t="s">
        <v>3609</v>
      </c>
      <c r="NQ14" s="584">
        <v>284.45999999999998</v>
      </c>
      <c r="NR14" s="149" t="s">
        <v>3605</v>
      </c>
      <c r="NS14" s="48">
        <v>10.9</v>
      </c>
      <c r="NT14" s="691" t="s">
        <v>3533</v>
      </c>
      <c r="NU14" s="617">
        <v>13</v>
      </c>
      <c r="NV14" s="718" t="s">
        <v>3592</v>
      </c>
      <c r="NW14" s="251"/>
      <c r="NX14" s="682" t="s">
        <v>3517</v>
      </c>
      <c r="NY14" s="45">
        <v>150</v>
      </c>
      <c r="NZ14" s="716" t="s">
        <v>1670</v>
      </c>
      <c r="OA14" s="246"/>
      <c r="OB14" s="333"/>
    </row>
    <row r="15" spans="1:394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99" t="s">
        <v>1605</v>
      </c>
      <c r="KE15" s="799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6" t="s">
        <v>3431</v>
      </c>
      <c r="MS15" s="251">
        <v>118.69</v>
      </c>
      <c r="MT15" s="149" t="s">
        <v>1487</v>
      </c>
      <c r="MU15" s="48">
        <f>153.26+10.9</f>
        <v>164.16</v>
      </c>
      <c r="MV15" s="592" t="s">
        <v>3465</v>
      </c>
      <c r="MW15" s="96">
        <v>-92000</v>
      </c>
      <c r="MX15" s="624" t="s">
        <v>3427</v>
      </c>
      <c r="MY15" s="251">
        <f>212.33+76.44+42.47</f>
        <v>331.24</v>
      </c>
      <c r="MZ15" s="597" t="s">
        <v>3489</v>
      </c>
      <c r="NA15" s="45">
        <v>30</v>
      </c>
      <c r="NB15" s="626" t="s">
        <v>3496</v>
      </c>
      <c r="NC15" s="47">
        <v>208005</v>
      </c>
      <c r="ND15" s="655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3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6" t="s">
        <v>3533</v>
      </c>
      <c r="NO15" s="617">
        <v>13</v>
      </c>
      <c r="NP15" s="635" t="s">
        <v>3599</v>
      </c>
      <c r="NQ15" s="251">
        <f>212.33+76.44+42.47</f>
        <v>331.24</v>
      </c>
      <c r="NR15" s="149" t="s">
        <v>1547</v>
      </c>
      <c r="NS15" s="59">
        <f>7.6+5</f>
        <v>12.6</v>
      </c>
      <c r="NT15" s="688" t="s">
        <v>1670</v>
      </c>
      <c r="NU15" s="246"/>
      <c r="NV15" s="718" t="s">
        <v>3423</v>
      </c>
      <c r="NW15" s="251">
        <f>78.59+0.19</f>
        <v>78.78</v>
      </c>
      <c r="NX15" s="682" t="s">
        <v>3634</v>
      </c>
      <c r="NY15" s="596">
        <v>300</v>
      </c>
      <c r="NZ15" s="635" t="s">
        <v>3478</v>
      </c>
      <c r="OA15" s="96">
        <v>-860</v>
      </c>
      <c r="OB15" s="333">
        <v>45636</v>
      </c>
      <c r="OC15" s="96"/>
    </row>
    <row r="16" spans="1:394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2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4" t="s">
        <v>1482</v>
      </c>
      <c r="MW16" s="45">
        <v>0</v>
      </c>
      <c r="MX16" s="46" t="s">
        <v>3563</v>
      </c>
      <c r="MY16" s="45">
        <f>34.21+0.66</f>
        <v>34.869999999999997</v>
      </c>
      <c r="MZ16" s="597" t="s">
        <v>3453</v>
      </c>
      <c r="NA16" s="45">
        <v>4</v>
      </c>
      <c r="NB16" s="626" t="s">
        <v>1606</v>
      </c>
      <c r="NC16" s="47">
        <v>100686</v>
      </c>
      <c r="ND16" s="645" t="s">
        <v>1548</v>
      </c>
      <c r="NE16" s="251"/>
      <c r="NF16" s="597" t="s">
        <v>3536</v>
      </c>
      <c r="NG16" s="45">
        <v>10</v>
      </c>
      <c r="NH16" s="635" t="s">
        <v>3478</v>
      </c>
      <c r="NI16" s="96">
        <v>-1486</v>
      </c>
      <c r="NJ16" s="46" t="s">
        <v>3584</v>
      </c>
      <c r="NK16" s="45">
        <v>11.23</v>
      </c>
      <c r="NL16" s="597" t="s">
        <v>3577</v>
      </c>
      <c r="NM16" s="45">
        <v>20</v>
      </c>
      <c r="NN16" s="667" t="s">
        <v>1670</v>
      </c>
      <c r="NO16" s="246"/>
      <c r="NP16" s="46" t="s">
        <v>3630</v>
      </c>
      <c r="NQ16" s="251">
        <v>33.130000000000003</v>
      </c>
      <c r="NR16" s="149" t="s">
        <v>1612</v>
      </c>
      <c r="NS16" s="45">
        <f>13.57+9+9</f>
        <v>31.57</v>
      </c>
      <c r="NT16" s="635" t="s">
        <v>3478</v>
      </c>
      <c r="NU16" s="96">
        <v>-506</v>
      </c>
      <c r="NV16" s="715" t="s">
        <v>3676</v>
      </c>
      <c r="NW16" s="251">
        <v>70.22</v>
      </c>
      <c r="NX16" s="149" t="s">
        <v>3541</v>
      </c>
      <c r="NY16" s="59"/>
      <c r="NZ16" s="634">
        <v>43.87</v>
      </c>
      <c r="OA16" s="632"/>
      <c r="OB16" s="333"/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4" t="s">
        <v>1606</v>
      </c>
      <c r="MW17" s="47">
        <v>101741</v>
      </c>
      <c r="MX17" s="46" t="s">
        <v>3468</v>
      </c>
      <c r="MY17" s="251">
        <f>746.61+10.67</f>
        <v>757.28</v>
      </c>
      <c r="MZ17" s="597" t="s">
        <v>3507</v>
      </c>
      <c r="NA17" s="45">
        <v>17.11</v>
      </c>
      <c r="NB17" s="625" t="s">
        <v>1670</v>
      </c>
      <c r="NC17" s="246"/>
      <c r="ND17" s="640" t="s">
        <v>3510</v>
      </c>
      <c r="NE17" s="251">
        <f>206.48+74.33+41.3</f>
        <v>322.11</v>
      </c>
      <c r="NF17" s="597" t="s">
        <v>3453</v>
      </c>
      <c r="NG17" s="45">
        <f>1+7+1+5+10</f>
        <v>24</v>
      </c>
      <c r="NH17" s="644" t="s">
        <v>1787</v>
      </c>
      <c r="NI17" s="581">
        <v>0</v>
      </c>
      <c r="NJ17" s="678" t="s">
        <v>3557</v>
      </c>
      <c r="NK17" s="669">
        <v>293.58999999999997</v>
      </c>
      <c r="NL17" s="597" t="s">
        <v>3565</v>
      </c>
      <c r="NM17" s="45">
        <f>22.6+15.7+21.7+30.5+30.8</f>
        <v>121.3</v>
      </c>
      <c r="NN17" s="635" t="s">
        <v>3478</v>
      </c>
      <c r="NO17" s="96">
        <v>-952</v>
      </c>
      <c r="NP17" s="46" t="s">
        <v>3627</v>
      </c>
      <c r="NQ17" s="45">
        <v>9.43</v>
      </c>
      <c r="NR17" s="149" t="s">
        <v>1675</v>
      </c>
      <c r="NS17" s="45">
        <f>2.13+15.29+17.7+15.2+17.87+10+15.23+5.87</f>
        <v>99.29</v>
      </c>
      <c r="NT17" s="634"/>
      <c r="NU17" s="632"/>
      <c r="NV17" s="635" t="s">
        <v>3661</v>
      </c>
      <c r="NW17" s="251">
        <f>205.48+73.97+41.1</f>
        <v>320.55</v>
      </c>
      <c r="NX17" s="149" t="s">
        <v>3635</v>
      </c>
      <c r="NY17" s="48">
        <f>20+20+13</f>
        <v>53</v>
      </c>
      <c r="NZ17" s="717" t="s">
        <v>1787</v>
      </c>
      <c r="OA17" s="581">
        <v>50</v>
      </c>
      <c r="OB17" s="603">
        <v>45636</v>
      </c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97" t="s">
        <v>1863</v>
      </c>
      <c r="DJ18" s="798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7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4" t="s">
        <v>1540</v>
      </c>
      <c r="MW18" s="47">
        <v>194001</v>
      </c>
      <c r="MX18" s="596" t="s">
        <v>3477</v>
      </c>
      <c r="MY18" s="45">
        <v>11.93</v>
      </c>
      <c r="MZ18" s="597" t="s">
        <v>2582</v>
      </c>
      <c r="NA18" s="45">
        <v>80</v>
      </c>
      <c r="NB18" s="635" t="s">
        <v>3478</v>
      </c>
      <c r="NC18" s="96">
        <v>-1807</v>
      </c>
      <c r="ND18" s="46" t="s">
        <v>1677</v>
      </c>
      <c r="NE18" s="45">
        <f>32.87+0.59</f>
        <v>33.46</v>
      </c>
      <c r="NF18" s="597" t="s">
        <v>3552</v>
      </c>
      <c r="NG18" s="45">
        <v>2270</v>
      </c>
      <c r="NH18" s="642" t="s">
        <v>3524</v>
      </c>
      <c r="NI18" s="649">
        <f>NH19-0.99*195000</f>
        <v>-2206</v>
      </c>
      <c r="NJ18" s="672" t="s">
        <v>3614</v>
      </c>
      <c r="NL18" s="597" t="s">
        <v>3567</v>
      </c>
      <c r="NM18" s="45">
        <v>33.4</v>
      </c>
      <c r="NN18" s="634">
        <v>23.73</v>
      </c>
      <c r="NO18" s="632"/>
      <c r="NP18" s="46" t="s">
        <v>3648</v>
      </c>
      <c r="NQ18" s="45">
        <v>741.19</v>
      </c>
      <c r="NR18" s="597" t="s">
        <v>3601</v>
      </c>
      <c r="NS18" s="45">
        <f>10+10+10</f>
        <v>30</v>
      </c>
      <c r="NT18" s="689" t="s">
        <v>1787</v>
      </c>
      <c r="NU18" s="581">
        <v>20</v>
      </c>
      <c r="NV18" s="46" t="s">
        <v>3649</v>
      </c>
      <c r="NW18" s="45">
        <v>632.14</v>
      </c>
      <c r="NX18" s="149" t="s">
        <v>3636</v>
      </c>
      <c r="NY18" s="48">
        <f>10.9+5.63</f>
        <v>16.53</v>
      </c>
      <c r="NZ18" s="715" t="s">
        <v>1845</v>
      </c>
      <c r="OA18" s="649">
        <f>NZ19-0.99*195000</f>
        <v>-254</v>
      </c>
      <c r="OB18" s="333"/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5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3" t="s">
        <v>1670</v>
      </c>
      <c r="MW19" s="246"/>
      <c r="MX19" s="621" t="s">
        <v>1605</v>
      </c>
      <c r="MY19" s="621"/>
      <c r="MZ19" s="597" t="s">
        <v>3473</v>
      </c>
      <c r="NA19" s="45">
        <v>98.8</v>
      </c>
      <c r="NB19" s="634">
        <v>16</v>
      </c>
      <c r="NC19" s="632" t="s">
        <v>3518</v>
      </c>
      <c r="ND19" s="647" t="s">
        <v>3564</v>
      </c>
      <c r="NE19" s="647"/>
      <c r="NF19" s="597" t="s">
        <v>2071</v>
      </c>
      <c r="NG19" s="45">
        <v>115</v>
      </c>
      <c r="NH19" s="285">
        <v>190844</v>
      </c>
      <c r="NI19" s="42" t="s">
        <v>2038</v>
      </c>
      <c r="NJ19" s="672" t="s">
        <v>3549</v>
      </c>
      <c r="NK19" s="121">
        <f>1820</f>
        <v>1820</v>
      </c>
      <c r="NL19" s="597" t="s">
        <v>3582</v>
      </c>
      <c r="NM19" s="45">
        <v>29.9</v>
      </c>
      <c r="NN19" s="604" t="s">
        <v>2836</v>
      </c>
      <c r="NO19" s="632">
        <v>0</v>
      </c>
      <c r="NP19" s="596" t="s">
        <v>3477</v>
      </c>
      <c r="NR19" s="597" t="s">
        <v>3623</v>
      </c>
      <c r="NS19" s="182">
        <v>995</v>
      </c>
      <c r="NT19" s="687" t="s">
        <v>1845</v>
      </c>
      <c r="NU19" s="649">
        <f>NT20-0.99*195000</f>
        <v>-3867</v>
      </c>
      <c r="NV19" s="633" t="s">
        <v>3652</v>
      </c>
      <c r="NW19" s="45">
        <v>84.7</v>
      </c>
      <c r="NX19" s="682" t="s">
        <v>3651</v>
      </c>
      <c r="NY19" s="696">
        <v>111.61</v>
      </c>
      <c r="NZ19" s="285">
        <v>192796</v>
      </c>
      <c r="OA19" s="42" t="s">
        <v>2038</v>
      </c>
      <c r="OB19" s="333">
        <v>45641</v>
      </c>
      <c r="OC19" s="285"/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2" t="s">
        <v>1728</v>
      </c>
      <c r="MW20" s="96">
        <v>-1751</v>
      </c>
      <c r="MX20" s="582" t="s">
        <v>3480</v>
      </c>
      <c r="MY20" s="325">
        <v>94.9</v>
      </c>
      <c r="MZ20" s="597" t="s">
        <v>3513</v>
      </c>
      <c r="NA20" s="606">
        <v>29.6</v>
      </c>
      <c r="NB20" s="627" t="s">
        <v>1787</v>
      </c>
      <c r="NC20" s="581">
        <v>-40</v>
      </c>
      <c r="ND20" s="676"/>
      <c r="NE20" s="676"/>
      <c r="NF20" s="597" t="s">
        <v>3519</v>
      </c>
      <c r="NG20" s="606">
        <f>15+14.3</f>
        <v>29.3</v>
      </c>
      <c r="NH20" s="642" t="s">
        <v>2087</v>
      </c>
      <c r="NI20" s="653">
        <v>2600</v>
      </c>
      <c r="NJ20" s="674" t="s">
        <v>3559</v>
      </c>
      <c r="NK20" s="121">
        <f>1830*4</f>
        <v>7320</v>
      </c>
      <c r="NL20" s="597" t="s">
        <v>3566</v>
      </c>
      <c r="NM20" s="606">
        <v>36.9</v>
      </c>
      <c r="NN20" s="668" t="s">
        <v>1787</v>
      </c>
      <c r="NO20" s="581">
        <v>30</v>
      </c>
      <c r="NP20" s="633" t="s">
        <v>3476</v>
      </c>
      <c r="NQ20" s="45">
        <v>11.83</v>
      </c>
      <c r="NR20" s="597" t="s">
        <v>3622</v>
      </c>
      <c r="NS20" s="45">
        <v>30.5</v>
      </c>
      <c r="NT20" s="285">
        <v>189183</v>
      </c>
      <c r="NU20" s="596" t="s">
        <v>3658</v>
      </c>
      <c r="NV20" s="596" t="s">
        <v>3477</v>
      </c>
      <c r="NX20" s="682" t="s">
        <v>3683</v>
      </c>
      <c r="NY20" s="696"/>
      <c r="NZ20" s="715" t="s">
        <v>2087</v>
      </c>
      <c r="OA20" s="617">
        <v>2600</v>
      </c>
      <c r="OB20" s="333">
        <v>45626</v>
      </c>
      <c r="OC20" s="735"/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95" t="s">
        <v>330</v>
      </c>
      <c r="N21" s="795"/>
      <c r="Q21" s="60" t="s">
        <v>355</v>
      </c>
      <c r="S21" s="795" t="s">
        <v>330</v>
      </c>
      <c r="T21" s="795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77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7" t="s">
        <v>3448</v>
      </c>
      <c r="MU21" s="45">
        <v>60</v>
      </c>
      <c r="MV21" s="595" t="s">
        <v>1787</v>
      </c>
      <c r="MW21" s="581">
        <v>10.000999999999999</v>
      </c>
      <c r="MX21" s="605" t="s">
        <v>3490</v>
      </c>
      <c r="MY21" s="45">
        <v>81.81</v>
      </c>
      <c r="MZ21" s="597" t="s">
        <v>3485</v>
      </c>
      <c r="NA21" s="58">
        <v>30.5</v>
      </c>
      <c r="NB21" s="623" t="s">
        <v>3469</v>
      </c>
      <c r="NC21" s="47">
        <v>-306</v>
      </c>
      <c r="ND21" s="775" t="s">
        <v>3569</v>
      </c>
      <c r="NE21" s="775"/>
      <c r="NF21" s="597" t="s">
        <v>3523</v>
      </c>
      <c r="NG21" s="45">
        <v>16.7</v>
      </c>
      <c r="NH21" s="646" t="s">
        <v>3521</v>
      </c>
      <c r="NI21" s="47">
        <v>608</v>
      </c>
      <c r="NJ21" s="683" t="s">
        <v>3583</v>
      </c>
      <c r="NK21" s="45">
        <f>1840*2</f>
        <v>3680</v>
      </c>
      <c r="NL21" s="597" t="s">
        <v>3571</v>
      </c>
      <c r="NM21" s="45">
        <v>37.89</v>
      </c>
      <c r="NN21" s="664" t="s">
        <v>3524</v>
      </c>
      <c r="NO21" s="649">
        <f>NN22-0.99*195000</f>
        <v>-333</v>
      </c>
      <c r="NP21" s="692" t="s">
        <v>1605</v>
      </c>
      <c r="NQ21" s="692"/>
      <c r="NR21" s="597" t="s">
        <v>3567</v>
      </c>
      <c r="NS21" s="45">
        <v>31.1</v>
      </c>
      <c r="NT21" s="687" t="s">
        <v>2087</v>
      </c>
      <c r="NU21" s="617">
        <v>2600</v>
      </c>
      <c r="NV21" s="633" t="s">
        <v>3476</v>
      </c>
      <c r="NX21" s="149" t="s">
        <v>1547</v>
      </c>
      <c r="NY21" s="59">
        <v>8.6</v>
      </c>
      <c r="NZ21" s="719" t="s">
        <v>3521</v>
      </c>
      <c r="OA21" s="47">
        <v>549</v>
      </c>
      <c r="OB21" s="333">
        <v>45638</v>
      </c>
      <c r="OC21" s="47"/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81" t="s">
        <v>2091</v>
      </c>
      <c r="N22" s="781"/>
      <c r="Q22" s="60" t="s">
        <v>364</v>
      </c>
      <c r="S22" s="781" t="s">
        <v>2091</v>
      </c>
      <c r="T22" s="781"/>
      <c r="W22" s="68" t="s">
        <v>1736</v>
      </c>
      <c r="X22" s="14">
        <v>0</v>
      </c>
      <c r="Y22" s="795" t="s">
        <v>330</v>
      </c>
      <c r="Z22" s="795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77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80" t="s">
        <v>2117</v>
      </c>
      <c r="IU22" s="780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7" t="s">
        <v>3466</v>
      </c>
      <c r="MU22" s="45">
        <f>1.5+10</f>
        <v>11.5</v>
      </c>
      <c r="MV22" s="591" t="s">
        <v>1845</v>
      </c>
      <c r="MW22" s="47">
        <f>MV23-0.99*195000</f>
        <v>1</v>
      </c>
      <c r="MX22" s="582" t="s">
        <v>3479</v>
      </c>
      <c r="MY22" s="325">
        <v>101.1</v>
      </c>
      <c r="MZ22" s="597" t="s">
        <v>3497</v>
      </c>
      <c r="NA22" s="45">
        <f>30.5*2</f>
        <v>61</v>
      </c>
      <c r="NB22" s="285">
        <v>192745</v>
      </c>
      <c r="NC22" s="42" t="s">
        <v>2038</v>
      </c>
      <c r="ND22" s="775"/>
      <c r="NE22" s="775"/>
      <c r="NF22" s="597" t="s">
        <v>2783</v>
      </c>
      <c r="NG22" s="58">
        <f>34.5+30.5+32.5+36</f>
        <v>133.5</v>
      </c>
      <c r="NH22" s="646" t="s">
        <v>3425</v>
      </c>
      <c r="NI22" s="47">
        <v>528</v>
      </c>
      <c r="NJ22" s="326"/>
      <c r="NK22" s="325"/>
      <c r="NL22" s="597" t="s">
        <v>3579</v>
      </c>
      <c r="NM22" s="59">
        <v>43.7</v>
      </c>
      <c r="NN22" s="285">
        <v>192717</v>
      </c>
      <c r="NO22" s="42" t="s">
        <v>2038</v>
      </c>
      <c r="NP22" s="707"/>
      <c r="NQ22" s="707"/>
      <c r="NR22" s="597" t="s">
        <v>3446</v>
      </c>
      <c r="NS22" s="45">
        <f>26.26+40.53</f>
        <v>66.790000000000006</v>
      </c>
      <c r="NT22" s="691" t="s">
        <v>3521</v>
      </c>
      <c r="NU22" s="47">
        <v>893</v>
      </c>
      <c r="NV22" s="720" t="s">
        <v>1605</v>
      </c>
      <c r="NW22" s="720"/>
      <c r="NX22" s="149" t="s">
        <v>1612</v>
      </c>
      <c r="NY22" s="45">
        <f>13.53</f>
        <v>13.53</v>
      </c>
      <c r="NZ22" s="719" t="s">
        <v>3641</v>
      </c>
      <c r="OA22" s="47">
        <v>1930</v>
      </c>
      <c r="OB22" s="603">
        <v>45636</v>
      </c>
      <c r="OC22" s="47"/>
    </row>
    <row r="23" spans="1:393">
      <c r="A23" s="795" t="s">
        <v>330</v>
      </c>
      <c r="B23" s="795"/>
      <c r="E23" s="562" t="s">
        <v>402</v>
      </c>
      <c r="F23" s="60"/>
      <c r="G23" s="795" t="s">
        <v>330</v>
      </c>
      <c r="H23" s="795"/>
      <c r="K23" s="68" t="s">
        <v>1736</v>
      </c>
      <c r="L23" s="14">
        <v>0</v>
      </c>
      <c r="M23" s="787"/>
      <c r="N23" s="787"/>
      <c r="Q23" s="60" t="s">
        <v>1916</v>
      </c>
      <c r="S23" s="787"/>
      <c r="T23" s="787"/>
      <c r="W23" s="68" t="s">
        <v>1518</v>
      </c>
      <c r="X23" s="63">
        <v>0</v>
      </c>
      <c r="Y23" s="781" t="s">
        <v>2091</v>
      </c>
      <c r="Z23" s="781"/>
      <c r="AE23" s="795" t="s">
        <v>330</v>
      </c>
      <c r="AF23" s="795"/>
      <c r="AK23" s="795" t="s">
        <v>330</v>
      </c>
      <c r="AL23" s="795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92" t="s">
        <v>2149</v>
      </c>
      <c r="EF23" s="792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77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77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80" t="s">
        <v>2117</v>
      </c>
      <c r="HK23" s="780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80" t="s">
        <v>2117</v>
      </c>
      <c r="HW23" s="780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7" t="s">
        <v>3411</v>
      </c>
      <c r="MU23" s="606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7" t="s">
        <v>3499</v>
      </c>
      <c r="NA23" s="45">
        <f>5.6+38.97</f>
        <v>44.57</v>
      </c>
      <c r="NB23" s="623" t="s">
        <v>2087</v>
      </c>
      <c r="NC23" s="47">
        <v>2600</v>
      </c>
      <c r="ND23" s="677"/>
      <c r="NE23" s="677"/>
      <c r="NF23" s="597" t="s">
        <v>3542</v>
      </c>
      <c r="NG23" s="59">
        <f>35.7+7.7</f>
        <v>43.400000000000006</v>
      </c>
      <c r="NH23" s="646" t="s">
        <v>3403</v>
      </c>
      <c r="NI23" s="47">
        <v>10</v>
      </c>
      <c r="NJ23" s="661" t="s">
        <v>2221</v>
      </c>
      <c r="NK23" s="309"/>
      <c r="NL23" s="631" t="s">
        <v>3550</v>
      </c>
      <c r="NM23" s="45"/>
      <c r="NN23" s="664" t="s">
        <v>2087</v>
      </c>
      <c r="NO23" s="617">
        <v>2600</v>
      </c>
      <c r="NP23" s="720"/>
      <c r="NQ23" s="720"/>
      <c r="NR23" s="597" t="s">
        <v>3603</v>
      </c>
      <c r="NS23" s="606">
        <f>34.7+18.8</f>
        <v>53.5</v>
      </c>
      <c r="NT23" s="691" t="s">
        <v>3425</v>
      </c>
      <c r="NU23" s="47">
        <v>2135</v>
      </c>
      <c r="NV23" s="726"/>
      <c r="NW23" s="726"/>
      <c r="NX23" s="149" t="s">
        <v>1675</v>
      </c>
      <c r="NY23" s="45">
        <f>15.34+18.1</f>
        <v>33.44</v>
      </c>
      <c r="NZ23" s="719" t="s">
        <v>3403</v>
      </c>
      <c r="OA23" s="47">
        <v>10</v>
      </c>
      <c r="OB23" s="333">
        <v>45635</v>
      </c>
    </row>
    <row r="24" spans="1:393">
      <c r="A24" s="781" t="s">
        <v>2091</v>
      </c>
      <c r="B24" s="781"/>
      <c r="E24" s="562" t="s">
        <v>271</v>
      </c>
      <c r="F24" s="60"/>
      <c r="G24" s="781" t="s">
        <v>2091</v>
      </c>
      <c r="H24" s="781"/>
      <c r="K24" s="68" t="s">
        <v>1518</v>
      </c>
      <c r="L24" s="63">
        <v>0</v>
      </c>
      <c r="M24" s="787"/>
      <c r="N24" s="787"/>
      <c r="Q24" s="68" t="s">
        <v>1617</v>
      </c>
      <c r="R24" s="14">
        <v>0</v>
      </c>
      <c r="S24" s="787"/>
      <c r="T24" s="787"/>
      <c r="W24" s="68" t="s">
        <v>2183</v>
      </c>
      <c r="X24" s="14">
        <v>910.17</v>
      </c>
      <c r="Y24" s="787"/>
      <c r="Z24" s="787"/>
      <c r="AC24" s="75" t="s">
        <v>2184</v>
      </c>
      <c r="AD24" s="14">
        <v>90</v>
      </c>
      <c r="AE24" s="781" t="s">
        <v>2091</v>
      </c>
      <c r="AF24" s="781"/>
      <c r="AI24" s="74" t="s">
        <v>2185</v>
      </c>
      <c r="AJ24" s="14">
        <v>30</v>
      </c>
      <c r="AK24" s="781" t="s">
        <v>2091</v>
      </c>
      <c r="AL24" s="781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81"/>
      <c r="BH24" s="781"/>
      <c r="BK24" s="91" t="s">
        <v>2187</v>
      </c>
      <c r="BL24" s="63">
        <v>48.54</v>
      </c>
      <c r="BM24" s="781"/>
      <c r="BN24" s="781"/>
      <c r="BQ24" s="91" t="s">
        <v>1918</v>
      </c>
      <c r="BR24" s="63">
        <v>50.15</v>
      </c>
      <c r="BS24" s="781" t="s">
        <v>2188</v>
      </c>
      <c r="BT24" s="781"/>
      <c r="BW24" s="91" t="s">
        <v>1918</v>
      </c>
      <c r="BX24" s="63">
        <v>48.54</v>
      </c>
      <c r="BY24" s="781"/>
      <c r="BZ24" s="781"/>
      <c r="CC24" s="91" t="s">
        <v>1918</v>
      </c>
      <c r="CD24" s="63">
        <v>142.91</v>
      </c>
      <c r="CE24" s="781"/>
      <c r="CF24" s="781"/>
      <c r="CI24" s="91" t="s">
        <v>2189</v>
      </c>
      <c r="CJ24" s="63">
        <v>35.049999999999997</v>
      </c>
      <c r="CK24" s="787"/>
      <c r="CL24" s="787"/>
      <c r="CO24" s="91" t="s">
        <v>1866</v>
      </c>
      <c r="CP24" s="63">
        <v>153.41</v>
      </c>
      <c r="CQ24" s="787" t="s">
        <v>2190</v>
      </c>
      <c r="CR24" s="787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77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7" t="s">
        <v>3422</v>
      </c>
      <c r="MU24" s="45">
        <v>17.100000000000001</v>
      </c>
      <c r="MV24" s="591" t="s">
        <v>2087</v>
      </c>
      <c r="MW24" s="47">
        <v>2600</v>
      </c>
      <c r="MX24" s="317" t="s">
        <v>3491</v>
      </c>
      <c r="MY24" s="325">
        <f>43.21+28.21+36.83</f>
        <v>108.25</v>
      </c>
      <c r="MZ24" s="597" t="s">
        <v>3500</v>
      </c>
      <c r="NA24" s="45">
        <v>8.4</v>
      </c>
      <c r="NB24" s="626" t="s">
        <v>3436</v>
      </c>
      <c r="NC24" s="47">
        <v>966</v>
      </c>
      <c r="ND24" s="326"/>
      <c r="NE24" s="325"/>
      <c r="NF24" s="597" t="s">
        <v>3543</v>
      </c>
      <c r="NG24" s="59">
        <v>72.66</v>
      </c>
      <c r="NH24" s="640" t="s">
        <v>2176</v>
      </c>
      <c r="NI24" s="47">
        <v>120</v>
      </c>
      <c r="NJ24" s="327" t="s">
        <v>1200</v>
      </c>
      <c r="NK24" s="59">
        <f>SUM(NM6:NM6)</f>
        <v>1900.1</v>
      </c>
      <c r="NL24" s="631" t="s">
        <v>3587</v>
      </c>
      <c r="NM24" s="45">
        <v>110</v>
      </c>
      <c r="NN24" s="666" t="s">
        <v>3521</v>
      </c>
      <c r="NO24" s="47">
        <v>634</v>
      </c>
      <c r="NP24" s="720"/>
      <c r="NQ24" s="720"/>
      <c r="NR24" s="597" t="s">
        <v>3619</v>
      </c>
      <c r="NS24" s="45">
        <v>6.57</v>
      </c>
      <c r="NT24" s="691" t="s">
        <v>3403</v>
      </c>
      <c r="NU24" s="47">
        <v>10</v>
      </c>
      <c r="NV24" s="728"/>
      <c r="NW24" s="728"/>
      <c r="NX24" s="731" t="s">
        <v>3643</v>
      </c>
      <c r="NY24" s="45">
        <v>7.35</v>
      </c>
      <c r="NZ24" s="713" t="s">
        <v>2176</v>
      </c>
      <c r="OA24" s="47">
        <v>160</v>
      </c>
      <c r="OB24" s="333">
        <v>45626</v>
      </c>
    </row>
    <row r="25" spans="1:393">
      <c r="A25" s="787"/>
      <c r="B25" s="787"/>
      <c r="E25" s="561" t="s">
        <v>386</v>
      </c>
      <c r="F25" s="55"/>
      <c r="G25" s="787"/>
      <c r="H25" s="787"/>
      <c r="K25" s="68" t="s">
        <v>2239</v>
      </c>
      <c r="L25" s="14">
        <f>910+40</f>
        <v>950</v>
      </c>
      <c r="M25" s="787"/>
      <c r="N25" s="787"/>
      <c r="Q25" s="68" t="s">
        <v>1680</v>
      </c>
      <c r="R25" s="14">
        <v>0</v>
      </c>
      <c r="S25" s="787"/>
      <c r="T25" s="787"/>
      <c r="W25" s="69" t="s">
        <v>2240</v>
      </c>
      <c r="X25" s="14">
        <v>110.58</v>
      </c>
      <c r="Y25" s="787"/>
      <c r="Z25" s="787"/>
      <c r="AE25" s="787"/>
      <c r="AF25" s="787"/>
      <c r="AK25" s="787"/>
      <c r="AL25" s="787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87"/>
      <c r="AX25" s="787"/>
      <c r="AY25" s="69"/>
      <c r="AZ25" s="63"/>
      <c r="BA25" s="787"/>
      <c r="BB25" s="787"/>
      <c r="BE25" s="69" t="s">
        <v>1547</v>
      </c>
      <c r="BF25" s="63">
        <f>6.5*2</f>
        <v>13</v>
      </c>
      <c r="BG25" s="787"/>
      <c r="BH25" s="787"/>
      <c r="BK25" s="91" t="s">
        <v>1547</v>
      </c>
      <c r="BL25" s="63">
        <f>6.5*2</f>
        <v>13</v>
      </c>
      <c r="BM25" s="787"/>
      <c r="BN25" s="787"/>
      <c r="BQ25" s="91" t="s">
        <v>1547</v>
      </c>
      <c r="BR25" s="63">
        <v>13</v>
      </c>
      <c r="BS25" s="787"/>
      <c r="BT25" s="787"/>
      <c r="BW25" s="91" t="s">
        <v>1547</v>
      </c>
      <c r="BX25" s="63">
        <v>13</v>
      </c>
      <c r="BY25" s="787"/>
      <c r="BZ25" s="787"/>
      <c r="CC25" s="91" t="s">
        <v>1547</v>
      </c>
      <c r="CD25" s="63">
        <v>13</v>
      </c>
      <c r="CE25" s="787"/>
      <c r="CF25" s="787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93" t="s">
        <v>2149</v>
      </c>
      <c r="DZ25" s="794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92" t="s">
        <v>2149</v>
      </c>
      <c r="ES25" s="792"/>
      <c r="ET25" s="51" t="s">
        <v>1810</v>
      </c>
      <c r="EU25" s="96">
        <v>20000</v>
      </c>
      <c r="EW25" s="777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80" t="s">
        <v>2117</v>
      </c>
      <c r="IC25" s="780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7" t="s">
        <v>2783</v>
      </c>
      <c r="MU25" s="45">
        <f>38.4+22.6+34+24.9</f>
        <v>119.9</v>
      </c>
      <c r="MV25" s="594" t="s">
        <v>3436</v>
      </c>
      <c r="MW25" s="47">
        <v>615</v>
      </c>
      <c r="MX25" s="317" t="s">
        <v>3516</v>
      </c>
      <c r="MY25" s="325">
        <v>25</v>
      </c>
      <c r="MZ25" s="631" t="s">
        <v>3419</v>
      </c>
      <c r="NA25" s="45">
        <f>749.38+250.7</f>
        <v>1000.0799999999999</v>
      </c>
      <c r="NB25" s="626" t="s">
        <v>3425</v>
      </c>
      <c r="NC25" s="47">
        <v>1082</v>
      </c>
      <c r="ND25" s="641" t="s">
        <v>2221</v>
      </c>
      <c r="NE25" s="309"/>
      <c r="NF25" s="597" t="s">
        <v>3545</v>
      </c>
      <c r="NG25" s="59">
        <v>31.55</v>
      </c>
      <c r="NH25" s="640" t="s">
        <v>3470</v>
      </c>
      <c r="NI25" s="47">
        <v>1000</v>
      </c>
      <c r="NJ25" s="157" t="s">
        <v>2587</v>
      </c>
      <c r="NK25" s="59">
        <f>SUM(NM7:NM7)</f>
        <v>53.62</v>
      </c>
      <c r="NL25" s="631" t="s">
        <v>1518</v>
      </c>
      <c r="NM25" s="45">
        <v>677.2</v>
      </c>
      <c r="NN25" s="666" t="s">
        <v>3425</v>
      </c>
      <c r="NO25" s="47">
        <v>4600</v>
      </c>
      <c r="NP25" s="720"/>
      <c r="NQ25" s="720"/>
      <c r="NR25" s="597" t="s">
        <v>3625</v>
      </c>
      <c r="NS25" s="59">
        <v>39.299999999999997</v>
      </c>
      <c r="NT25" s="685" t="s">
        <v>2176</v>
      </c>
      <c r="NU25" s="47">
        <v>660</v>
      </c>
      <c r="NV25" s="728"/>
      <c r="NW25" s="728"/>
      <c r="NX25" s="732" t="s">
        <v>3685</v>
      </c>
      <c r="NY25" s="606">
        <f>5.52</f>
        <v>5.52</v>
      </c>
      <c r="NZ25" s="717" t="s">
        <v>2070</v>
      </c>
      <c r="OA25" s="47">
        <v>2000</v>
      </c>
      <c r="OB25" s="333">
        <v>45631</v>
      </c>
    </row>
    <row r="26" spans="1:393">
      <c r="A26" s="787"/>
      <c r="B26" s="787"/>
      <c r="F26" s="64"/>
      <c r="G26" s="787"/>
      <c r="H26" s="787"/>
      <c r="M26" s="791" t="s">
        <v>372</v>
      </c>
      <c r="N26" s="787"/>
      <c r="Q26" s="68" t="s">
        <v>1736</v>
      </c>
      <c r="R26" s="14">
        <v>0</v>
      </c>
      <c r="S26" s="791" t="s">
        <v>372</v>
      </c>
      <c r="T26" s="787"/>
      <c r="W26" s="69" t="s">
        <v>1918</v>
      </c>
      <c r="X26" s="14">
        <v>60.75</v>
      </c>
      <c r="Y26" s="787"/>
      <c r="Z26" s="787"/>
      <c r="AC26" s="21" t="s">
        <v>2284</v>
      </c>
      <c r="AD26" s="21"/>
      <c r="AE26" s="791" t="s">
        <v>372</v>
      </c>
      <c r="AF26" s="787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92" t="s">
        <v>2149</v>
      </c>
      <c r="EY26" s="792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80" t="s">
        <v>2117</v>
      </c>
      <c r="HQ26" s="780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5"/>
      <c r="MT26" s="597" t="s">
        <v>3428</v>
      </c>
      <c r="MU26" s="45">
        <v>73.86</v>
      </c>
      <c r="MV26" s="594" t="s">
        <v>3425</v>
      </c>
      <c r="MW26" s="47">
        <v>1100</v>
      </c>
      <c r="MX26" s="623"/>
      <c r="MY26" s="251"/>
      <c r="MZ26" s="631" t="s">
        <v>1518</v>
      </c>
      <c r="NA26" s="45">
        <v>588.6</v>
      </c>
      <c r="NB26" s="626" t="s">
        <v>3403</v>
      </c>
      <c r="NC26" s="47">
        <v>10</v>
      </c>
      <c r="ND26" s="327" t="s">
        <v>1200</v>
      </c>
      <c r="NE26" s="680">
        <f>SUM(NG6:NG6)</f>
        <v>5000</v>
      </c>
      <c r="NF26" s="597" t="s">
        <v>3546</v>
      </c>
      <c r="NG26" s="59">
        <v>117</v>
      </c>
      <c r="NH26" s="644" t="s">
        <v>2070</v>
      </c>
      <c r="NI26" s="47">
        <v>2000</v>
      </c>
      <c r="NJ26" s="46" t="s">
        <v>2630</v>
      </c>
      <c r="NK26" s="45">
        <f>SUM(NM8:NM8)</f>
        <v>17.05</v>
      </c>
      <c r="NL26" s="631" t="s">
        <v>3043</v>
      </c>
      <c r="NM26" s="45">
        <v>29.9</v>
      </c>
      <c r="NN26" s="666" t="s">
        <v>3403</v>
      </c>
      <c r="NO26" s="47">
        <v>10</v>
      </c>
      <c r="NP26" s="692"/>
      <c r="NQ26" s="692"/>
      <c r="NR26" s="597" t="s">
        <v>3618</v>
      </c>
      <c r="NS26" s="59">
        <v>6.86</v>
      </c>
      <c r="NT26" s="689" t="s">
        <v>2070</v>
      </c>
      <c r="NU26" s="47">
        <v>2000</v>
      </c>
      <c r="NV26" s="728"/>
      <c r="NW26" s="728"/>
      <c r="NX26" s="732" t="s">
        <v>3644</v>
      </c>
      <c r="NY26" s="182">
        <v>7.71</v>
      </c>
      <c r="NZ26" s="335">
        <v>10021</v>
      </c>
      <c r="OA26" s="47" t="s">
        <v>3666</v>
      </c>
      <c r="OB26" s="333">
        <v>45636</v>
      </c>
    </row>
    <row r="27" spans="1:393" ht="12.75" customHeight="1">
      <c r="A27" s="787"/>
      <c r="B27" s="787"/>
      <c r="E27" s="564" t="s">
        <v>418</v>
      </c>
      <c r="F27" s="64"/>
      <c r="G27" s="787"/>
      <c r="H27" s="787"/>
      <c r="K27" s="69" t="s">
        <v>2332</v>
      </c>
      <c r="L27" s="14">
        <f>60</f>
        <v>60</v>
      </c>
      <c r="M27" s="791" t="s">
        <v>2333</v>
      </c>
      <c r="N27" s="787"/>
      <c r="Q27" s="68" t="s">
        <v>2334</v>
      </c>
      <c r="R27" s="63">
        <v>200</v>
      </c>
      <c r="S27" s="791" t="s">
        <v>2333</v>
      </c>
      <c r="T27" s="787"/>
      <c r="W27" s="69" t="s">
        <v>1986</v>
      </c>
      <c r="X27" s="14">
        <v>61.35</v>
      </c>
      <c r="Y27" s="791" t="s">
        <v>372</v>
      </c>
      <c r="Z27" s="787"/>
      <c r="AC27" s="21" t="s">
        <v>2335</v>
      </c>
      <c r="AD27" s="21">
        <f>53+207+63</f>
        <v>323</v>
      </c>
      <c r="AE27" s="791" t="s">
        <v>2333</v>
      </c>
      <c r="AF27" s="787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92" t="s">
        <v>2355</v>
      </c>
      <c r="FE27" s="792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7" t="s">
        <v>3459</v>
      </c>
      <c r="MU27" s="45">
        <v>29.6</v>
      </c>
      <c r="MV27" s="594" t="s">
        <v>3403</v>
      </c>
      <c r="MW27" s="47">
        <v>10</v>
      </c>
      <c r="MX27" s="317"/>
      <c r="MY27" s="317"/>
      <c r="MZ27" s="631" t="s">
        <v>3472</v>
      </c>
      <c r="NA27" s="45">
        <v>56.5</v>
      </c>
      <c r="NB27" s="624" t="s">
        <v>2176</v>
      </c>
      <c r="NC27" s="47">
        <v>70</v>
      </c>
      <c r="ND27" s="157" t="s">
        <v>2587</v>
      </c>
      <c r="NE27" s="680">
        <f>SUM(NG7:NG8)</f>
        <v>38989</v>
      </c>
      <c r="NF27" s="631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1" t="s">
        <v>3572</v>
      </c>
      <c r="NM27" s="45">
        <v>208.08</v>
      </c>
      <c r="NN27" s="665" t="s">
        <v>2176</v>
      </c>
      <c r="NO27" s="47">
        <v>170</v>
      </c>
      <c r="NP27" s="692"/>
      <c r="NQ27" s="692"/>
      <c r="NR27" s="597" t="s">
        <v>3624</v>
      </c>
      <c r="NS27" s="59">
        <v>46.04</v>
      </c>
      <c r="NT27" s="335">
        <v>3021</v>
      </c>
      <c r="NU27" s="282" t="s">
        <v>3439</v>
      </c>
      <c r="NV27" s="730"/>
      <c r="NW27" s="730"/>
      <c r="NX27" s="732" t="s">
        <v>3672</v>
      </c>
      <c r="NY27" s="45">
        <f>8.98</f>
        <v>8.98</v>
      </c>
      <c r="NZ27" s="210"/>
      <c r="OA27" s="47" t="s">
        <v>2442</v>
      </c>
    </row>
    <row r="28" spans="1:393">
      <c r="A28" s="791" t="s">
        <v>372</v>
      </c>
      <c r="B28" s="787"/>
      <c r="E28" s="564" t="s">
        <v>427</v>
      </c>
      <c r="F28" s="64"/>
      <c r="G28" s="791" t="s">
        <v>372</v>
      </c>
      <c r="H28" s="787"/>
      <c r="K28" s="69" t="s">
        <v>1986</v>
      </c>
      <c r="L28" s="14">
        <v>0</v>
      </c>
      <c r="M28" s="776" t="s">
        <v>197</v>
      </c>
      <c r="N28" s="776"/>
      <c r="Q28" s="68" t="s">
        <v>2183</v>
      </c>
      <c r="R28" s="14">
        <v>0</v>
      </c>
      <c r="S28" s="776" t="s">
        <v>197</v>
      </c>
      <c r="T28" s="776"/>
      <c r="W28" s="69" t="s">
        <v>2041</v>
      </c>
      <c r="X28" s="14">
        <v>64</v>
      </c>
      <c r="Y28" s="791" t="s">
        <v>2333</v>
      </c>
      <c r="Z28" s="787"/>
      <c r="AC28" s="21" t="s">
        <v>2393</v>
      </c>
      <c r="AD28" s="21">
        <f>63+46</f>
        <v>109</v>
      </c>
      <c r="AE28" s="776" t="s">
        <v>197</v>
      </c>
      <c r="AF28" s="776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92" t="s">
        <v>2149</v>
      </c>
      <c r="EM28" s="792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80" t="s">
        <v>2117</v>
      </c>
      <c r="JA28" s="780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89"/>
      <c r="MS28" s="589"/>
      <c r="MT28" s="597" t="s">
        <v>3432</v>
      </c>
      <c r="MU28" s="45">
        <v>27.5</v>
      </c>
      <c r="MV28" s="592" t="s">
        <v>2176</v>
      </c>
      <c r="MW28" s="47">
        <v>140</v>
      </c>
      <c r="MX28" s="619" t="s">
        <v>2221</v>
      </c>
      <c r="MY28" s="309"/>
      <c r="MZ28" s="631" t="s">
        <v>2034</v>
      </c>
      <c r="NA28" s="59">
        <f>78.3+25.4</f>
        <v>103.69999999999999</v>
      </c>
      <c r="NB28" s="630" t="s">
        <v>3470</v>
      </c>
      <c r="NC28" s="47">
        <v>1000</v>
      </c>
      <c r="ND28" s="149" t="s">
        <v>2678</v>
      </c>
      <c r="NE28" s="617">
        <f>SUM(NG9:NG15)</f>
        <v>587.74</v>
      </c>
      <c r="NF28" s="631" t="s">
        <v>2692</v>
      </c>
      <c r="NG28" s="45">
        <v>44.9</v>
      </c>
      <c r="NH28" s="210"/>
      <c r="NI28" s="47" t="s">
        <v>2442</v>
      </c>
      <c r="NJ28" s="631" t="s">
        <v>3475</v>
      </c>
      <c r="NK28" s="45">
        <f>SUM(NM23:NM28)</f>
        <v>1083.98</v>
      </c>
      <c r="NL28" s="631" t="s">
        <v>3578</v>
      </c>
      <c r="NM28" s="45">
        <v>58.8</v>
      </c>
      <c r="NN28" s="668" t="s">
        <v>2070</v>
      </c>
      <c r="NO28" s="47">
        <v>2000</v>
      </c>
      <c r="NP28" s="326"/>
      <c r="NQ28" s="325"/>
      <c r="NR28" s="597" t="s">
        <v>3628</v>
      </c>
      <c r="NS28" s="59">
        <v>35.9</v>
      </c>
      <c r="NT28" s="210"/>
      <c r="NU28" s="47" t="s">
        <v>2442</v>
      </c>
      <c r="NV28" s="730"/>
      <c r="NW28" s="730"/>
      <c r="NX28" s="732" t="s">
        <v>3645</v>
      </c>
      <c r="NY28" s="45">
        <v>5</v>
      </c>
      <c r="NZ28" s="716" t="s">
        <v>2218</v>
      </c>
      <c r="OA28" s="45"/>
    </row>
    <row r="29" spans="1:393">
      <c r="A29" s="791" t="s">
        <v>2333</v>
      </c>
      <c r="B29" s="787"/>
      <c r="E29" s="564" t="s">
        <v>431</v>
      </c>
      <c r="F29" s="64"/>
      <c r="G29" s="791" t="s">
        <v>2333</v>
      </c>
      <c r="H29" s="787"/>
      <c r="K29" s="69" t="s">
        <v>2041</v>
      </c>
      <c r="L29" s="14">
        <v>64</v>
      </c>
      <c r="M29" s="787" t="s">
        <v>300</v>
      </c>
      <c r="N29" s="787"/>
      <c r="S29" s="787" t="s">
        <v>300</v>
      </c>
      <c r="T29" s="787"/>
      <c r="W29" s="69" t="s">
        <v>2092</v>
      </c>
      <c r="X29" s="14">
        <v>100.01</v>
      </c>
      <c r="Y29" s="776" t="s">
        <v>197</v>
      </c>
      <c r="Z29" s="776"/>
      <c r="AC29" s="14" t="s">
        <v>2445</v>
      </c>
      <c r="AD29" s="14">
        <v>65</v>
      </c>
      <c r="AE29" s="787" t="s">
        <v>300</v>
      </c>
      <c r="AF29" s="787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92" t="s">
        <v>2355</v>
      </c>
      <c r="FK29" s="792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7" t="s">
        <v>2299</v>
      </c>
      <c r="MU29" s="45">
        <v>62.4</v>
      </c>
      <c r="MV29" s="595" t="s">
        <v>2070</v>
      </c>
      <c r="MW29" s="47">
        <v>1265</v>
      </c>
      <c r="MX29" s="327" t="s">
        <v>1200</v>
      </c>
      <c r="MY29" s="59">
        <f>SUM(NA6:NA6)</f>
        <v>1900.09</v>
      </c>
      <c r="MZ29" s="631" t="s">
        <v>3504</v>
      </c>
      <c r="NA29" s="59">
        <v>57.47</v>
      </c>
      <c r="NB29" s="627" t="s">
        <v>2070</v>
      </c>
      <c r="NC29" s="47">
        <v>2000</v>
      </c>
      <c r="ND29" s="631" t="s">
        <v>3475</v>
      </c>
      <c r="NE29" s="617">
        <f>SUM(NG27:NG28)</f>
        <v>2239.2199999999998</v>
      </c>
      <c r="NF29" s="633" t="s">
        <v>2382</v>
      </c>
      <c r="NG29" s="48">
        <f>42+103+35+111+108+43+75+83</f>
        <v>600</v>
      </c>
      <c r="NH29" s="643" t="s">
        <v>2218</v>
      </c>
      <c r="NI29" s="45"/>
      <c r="NJ29" s="323" t="s">
        <v>2428</v>
      </c>
      <c r="NK29" s="584">
        <f>SUM(NM16:NM22)</f>
        <v>323.09000000000003</v>
      </c>
      <c r="NL29" s="633" t="s">
        <v>2382</v>
      </c>
      <c r="NM29" s="48">
        <f>23+75+167+108+248+151</f>
        <v>772</v>
      </c>
      <c r="NN29" s="335">
        <v>4257</v>
      </c>
      <c r="NO29" s="282" t="s">
        <v>3439</v>
      </c>
      <c r="NP29" s="686" t="s">
        <v>2221</v>
      </c>
      <c r="NQ29" s="309"/>
      <c r="NR29" s="597" t="s">
        <v>3629</v>
      </c>
      <c r="NS29" s="59">
        <v>40.6</v>
      </c>
      <c r="NT29" s="688" t="s">
        <v>2123</v>
      </c>
      <c r="NV29" s="726"/>
      <c r="NW29" s="726"/>
      <c r="NX29" s="732" t="s">
        <v>3646</v>
      </c>
      <c r="NY29" s="45">
        <v>5.89</v>
      </c>
      <c r="NZ29" s="45" t="s">
        <v>3450</v>
      </c>
      <c r="OA29" s="103" t="s">
        <v>3671</v>
      </c>
    </row>
    <row r="30" spans="1:393">
      <c r="A30" s="776" t="s">
        <v>197</v>
      </c>
      <c r="B30" s="776"/>
      <c r="E30" s="564" t="s">
        <v>2488</v>
      </c>
      <c r="F30" s="55"/>
      <c r="G30" s="776" t="s">
        <v>197</v>
      </c>
      <c r="H30" s="776"/>
      <c r="K30" s="69" t="s">
        <v>2092</v>
      </c>
      <c r="L30" s="14">
        <v>50.01</v>
      </c>
      <c r="M30" s="788" t="s">
        <v>2489</v>
      </c>
      <c r="N30" s="788"/>
      <c r="Q30" s="69" t="s">
        <v>1854</v>
      </c>
      <c r="R30" s="14">
        <v>26</v>
      </c>
      <c r="S30" s="788" t="s">
        <v>2489</v>
      </c>
      <c r="T30" s="788"/>
      <c r="Y30" s="787" t="s">
        <v>300</v>
      </c>
      <c r="Z30" s="787"/>
      <c r="AC30" s="14" t="s">
        <v>2490</v>
      </c>
      <c r="AD30" s="14">
        <v>10</v>
      </c>
      <c r="AE30" s="788" t="s">
        <v>2489</v>
      </c>
      <c r="AF30" s="788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1"/>
      <c r="MS30" s="584"/>
      <c r="MT30" s="597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1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4">
        <f>SUM(NG16:NG26)</f>
        <v>2863.11</v>
      </c>
      <c r="NF30" s="328">
        <v>35.29</v>
      </c>
      <c r="NG30" s="48"/>
      <c r="NH30" s="645" t="s">
        <v>3555</v>
      </c>
      <c r="NI30" s="664">
        <v>2.81</v>
      </c>
      <c r="NJ30" s="323" t="s">
        <v>2575</v>
      </c>
      <c r="NK30" s="312">
        <f>SUM(NM17:NM22)</f>
        <v>303.08999999999997</v>
      </c>
      <c r="NL30" s="328">
        <f>NQ39</f>
        <v>0</v>
      </c>
      <c r="NM30" s="48"/>
      <c r="NN30" s="210">
        <v>0</v>
      </c>
      <c r="NO30" s="47" t="s">
        <v>2442</v>
      </c>
      <c r="NP30" s="327" t="s">
        <v>1200</v>
      </c>
      <c r="NQ30" s="59">
        <f>SUM(NS6:NS7)</f>
        <v>3800.2299999999996</v>
      </c>
      <c r="NR30" s="631" t="s">
        <v>3593</v>
      </c>
      <c r="NS30" s="45">
        <v>500</v>
      </c>
      <c r="NT30" s="701" t="s">
        <v>3621</v>
      </c>
      <c r="NU30" s="701">
        <v>105.7</v>
      </c>
      <c r="NV30" s="726"/>
      <c r="NW30" s="726"/>
      <c r="NX30" s="732" t="s">
        <v>3673</v>
      </c>
      <c r="NY30" s="606">
        <f>10.91</f>
        <v>10.91</v>
      </c>
      <c r="NZ30" s="729" t="s">
        <v>3665</v>
      </c>
      <c r="OA30" s="59">
        <f>101.37+117.72</f>
        <v>219.09</v>
      </c>
    </row>
    <row r="31" spans="1:393" ht="12.75" customHeight="1">
      <c r="A31" s="787" t="s">
        <v>300</v>
      </c>
      <c r="B31" s="787"/>
      <c r="E31" s="55"/>
      <c r="F31" s="55"/>
      <c r="G31" s="787" t="s">
        <v>300</v>
      </c>
      <c r="H31" s="787"/>
      <c r="M31" s="781" t="s">
        <v>363</v>
      </c>
      <c r="N31" s="781"/>
      <c r="Q31" s="69" t="s">
        <v>1918</v>
      </c>
      <c r="R31" s="14">
        <v>55</v>
      </c>
      <c r="S31" s="781" t="s">
        <v>363</v>
      </c>
      <c r="T31" s="781"/>
      <c r="W31" s="70" t="s">
        <v>2539</v>
      </c>
      <c r="X31" s="70">
        <v>0</v>
      </c>
      <c r="Y31" s="788" t="s">
        <v>2489</v>
      </c>
      <c r="Z31" s="788"/>
      <c r="AE31" s="781" t="s">
        <v>363</v>
      </c>
      <c r="AF31" s="781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86" t="s">
        <v>2548</v>
      </c>
      <c r="DP31" s="786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7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1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1">
        <f>SUM(NG20:NG26)</f>
        <v>444.11</v>
      </c>
      <c r="NF31" s="174" t="s">
        <v>2477</v>
      </c>
      <c r="NG31" s="22">
        <f>NC27+NE33-NI24</f>
        <v>150</v>
      </c>
      <c r="NH31" s="643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7" t="s">
        <v>2218</v>
      </c>
      <c r="NO31" s="45"/>
      <c r="NP31" s="157" t="s">
        <v>2587</v>
      </c>
      <c r="NQ31" s="59">
        <f>SUM(NS8:NS9)</f>
        <v>73000</v>
      </c>
      <c r="NR31" s="631" t="s">
        <v>3617</v>
      </c>
      <c r="NS31" s="45">
        <v>74</v>
      </c>
      <c r="NT31" s="689" t="s">
        <v>2276</v>
      </c>
      <c r="NV31" s="726"/>
      <c r="NW31" s="726"/>
      <c r="NX31" s="733" t="s">
        <v>3670</v>
      </c>
      <c r="NY31" s="45">
        <v>206.87</v>
      </c>
      <c r="NZ31" s="734" t="s">
        <v>3681</v>
      </c>
      <c r="OA31" s="723">
        <v>362</v>
      </c>
    </row>
    <row r="32" spans="1:393">
      <c r="A32" s="788" t="s">
        <v>2489</v>
      </c>
      <c r="B32" s="788"/>
      <c r="C32" s="66"/>
      <c r="D32" s="66"/>
      <c r="E32" s="66"/>
      <c r="F32" s="66"/>
      <c r="G32" s="788" t="s">
        <v>2489</v>
      </c>
      <c r="H32" s="788"/>
      <c r="K32" s="70" t="s">
        <v>2588</v>
      </c>
      <c r="L32" s="70"/>
      <c r="M32" s="782" t="s">
        <v>2573</v>
      </c>
      <c r="N32" s="782"/>
      <c r="Q32" s="69" t="s">
        <v>1986</v>
      </c>
      <c r="R32" s="14">
        <v>77.239999999999995</v>
      </c>
      <c r="S32" s="782" t="s">
        <v>2573</v>
      </c>
      <c r="T32" s="782"/>
      <c r="Y32" s="781" t="s">
        <v>363</v>
      </c>
      <c r="Z32" s="781"/>
      <c r="AC32" s="571" t="s">
        <v>1395</v>
      </c>
      <c r="AD32" s="14">
        <v>350</v>
      </c>
      <c r="AE32" s="782" t="s">
        <v>2573</v>
      </c>
      <c r="AF32" s="782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9" t="s">
        <v>2477</v>
      </c>
      <c r="DB32" s="790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80" t="s">
        <v>2117</v>
      </c>
      <c r="IO32" s="780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1" t="s">
        <v>2218</v>
      </c>
      <c r="MQ32" s="45"/>
      <c r="MR32" s="587" t="s">
        <v>2221</v>
      </c>
      <c r="MS32" s="309"/>
      <c r="MT32" s="597" t="s">
        <v>3458</v>
      </c>
      <c r="MU32" s="45">
        <v>19.899999999999999</v>
      </c>
      <c r="MV32" s="593" t="s">
        <v>2218</v>
      </c>
      <c r="MW32" s="45"/>
      <c r="MX32" s="149" t="s">
        <v>2678</v>
      </c>
      <c r="MY32" s="45">
        <f>SUM(NA8:NA14)</f>
        <v>274.91999999999996</v>
      </c>
      <c r="MZ32" s="631" t="s">
        <v>3486</v>
      </c>
      <c r="NA32" s="622">
        <f>21+41.8</f>
        <v>62.8</v>
      </c>
      <c r="NB32" s="625" t="s">
        <v>2218</v>
      </c>
      <c r="NC32" s="45"/>
      <c r="NF32" s="200">
        <f>10+20</f>
        <v>30</v>
      </c>
      <c r="NG32" s="638" t="s">
        <v>3520</v>
      </c>
      <c r="NH32" s="643" t="s">
        <v>3532</v>
      </c>
      <c r="NL32" s="200">
        <v>40</v>
      </c>
      <c r="NM32" s="699" t="s">
        <v>554</v>
      </c>
      <c r="NN32" s="673" t="s">
        <v>3575</v>
      </c>
      <c r="NO32" s="45">
        <f>196.2</f>
        <v>196.2</v>
      </c>
      <c r="NP32" s="46" t="s">
        <v>2630</v>
      </c>
      <c r="NQ32" s="45">
        <f>SUM(NS10:NS10)</f>
        <v>293.85000000000002</v>
      </c>
      <c r="NR32" s="631" t="s">
        <v>3604</v>
      </c>
      <c r="NS32" s="45">
        <v>65.900000000000006</v>
      </c>
      <c r="NT32" s="697" t="s">
        <v>2577</v>
      </c>
      <c r="NU32" s="45">
        <v>6.56</v>
      </c>
      <c r="NV32" s="720"/>
      <c r="NW32" s="720"/>
      <c r="NX32" s="597" t="s">
        <v>3674</v>
      </c>
      <c r="NY32" s="45">
        <v>79</v>
      </c>
    </row>
    <row r="33" spans="1:393">
      <c r="A33" s="781" t="s">
        <v>363</v>
      </c>
      <c r="B33" s="781"/>
      <c r="E33" s="572" t="s">
        <v>455</v>
      </c>
      <c r="F33" s="55"/>
      <c r="G33" s="781" t="s">
        <v>363</v>
      </c>
      <c r="H33" s="781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82" t="s">
        <v>2573</v>
      </c>
      <c r="Z33" s="782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6" t="s">
        <v>2238</v>
      </c>
      <c r="MQ33" s="606">
        <v>1593.84</v>
      </c>
      <c r="MR33" s="327" t="s">
        <v>1200</v>
      </c>
      <c r="MS33" s="59">
        <f>SUM(MU6:MU8)</f>
        <v>4360.08</v>
      </c>
      <c r="MT33" s="597" t="s">
        <v>3447</v>
      </c>
      <c r="MU33" s="45">
        <v>73.14</v>
      </c>
      <c r="MV33" s="604" t="s">
        <v>3442</v>
      </c>
      <c r="MW33" s="47">
        <v>40000</v>
      </c>
      <c r="MX33" s="631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2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5" t="s">
        <v>372</v>
      </c>
      <c r="NK33" s="58"/>
      <c r="NL33" s="668" t="s">
        <v>3568</v>
      </c>
      <c r="NM33" s="59">
        <v>33</v>
      </c>
      <c r="NN33" s="605" t="s">
        <v>3589</v>
      </c>
      <c r="NO33" s="679"/>
      <c r="NP33" s="149" t="s">
        <v>2678</v>
      </c>
      <c r="NQ33" s="45">
        <f>SUM(NS11:NS17)</f>
        <v>368.64000000000004</v>
      </c>
      <c r="NR33" s="631" t="s">
        <v>3612</v>
      </c>
      <c r="NS33" s="45">
        <v>120.07</v>
      </c>
      <c r="NT33" s="688" t="s">
        <v>2686</v>
      </c>
      <c r="NV33" s="720"/>
      <c r="NW33" s="720"/>
      <c r="NX33" s="597" t="s">
        <v>3669</v>
      </c>
      <c r="NY33" s="45">
        <v>7.55</v>
      </c>
      <c r="NZ33" s="716" t="s">
        <v>2123</v>
      </c>
    </row>
    <row r="34" spans="1:393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8" t="s">
        <v>3419</v>
      </c>
      <c r="MU34" s="45">
        <f>250.7+749.38</f>
        <v>1000.0799999999999</v>
      </c>
      <c r="MV34" s="590" t="s">
        <v>3450</v>
      </c>
      <c r="MW34" s="590">
        <v>1000</v>
      </c>
      <c r="MX34" s="323" t="s">
        <v>2428</v>
      </c>
      <c r="MY34" s="584">
        <f>SUM(NA15:NA24)</f>
        <v>403.98</v>
      </c>
      <c r="MZ34" s="633" t="s">
        <v>2382</v>
      </c>
      <c r="NA34" s="48">
        <f>187+150+349</f>
        <v>686</v>
      </c>
      <c r="NB34" s="596" t="s">
        <v>2238</v>
      </c>
      <c r="NC34" s="606">
        <v>1593.84</v>
      </c>
      <c r="NF34" s="200">
        <v>40</v>
      </c>
      <c r="NG34" s="240" t="s">
        <v>2418</v>
      </c>
      <c r="NH34" s="645" t="s">
        <v>2877</v>
      </c>
      <c r="NK34" s="58"/>
      <c r="NL34" s="663" t="s">
        <v>3588</v>
      </c>
      <c r="NM34" s="241">
        <v>1.3</v>
      </c>
      <c r="NN34" s="667" t="s">
        <v>2123</v>
      </c>
      <c r="NP34" s="631" t="s">
        <v>3475</v>
      </c>
      <c r="NQ34" s="45">
        <f>SUM(NS30:NS35)</f>
        <v>823.25</v>
      </c>
      <c r="NR34" s="631" t="s">
        <v>3639</v>
      </c>
      <c r="NS34" s="45">
        <v>10</v>
      </c>
      <c r="NT34" s="702" t="s">
        <v>2836</v>
      </c>
      <c r="NV34" s="720"/>
      <c r="NW34" s="720"/>
      <c r="NX34" s="597" t="s">
        <v>3678</v>
      </c>
      <c r="NY34" s="45">
        <f>48.29+6.8+3.6</f>
        <v>58.69</v>
      </c>
      <c r="NZ34" s="717" t="s">
        <v>2276</v>
      </c>
      <c r="OC34" s="14">
        <v>24</v>
      </c>
    </row>
    <row r="35" spans="1:393" ht="14.25" customHeight="1">
      <c r="A35" s="783"/>
      <c r="B35" s="783"/>
      <c r="E35" s="567" t="s">
        <v>493</v>
      </c>
      <c r="F35" s="55">
        <v>250</v>
      </c>
      <c r="G35" s="783"/>
      <c r="H35" s="783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8" t="s">
        <v>3424</v>
      </c>
      <c r="MU35" s="45">
        <v>354.25</v>
      </c>
      <c r="MV35" s="596" t="s">
        <v>2238</v>
      </c>
      <c r="MW35" s="606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5" t="s">
        <v>2686</v>
      </c>
      <c r="NE35" s="58"/>
      <c r="NF35" s="644" t="s">
        <v>3487</v>
      </c>
      <c r="NG35" s="59">
        <v>7.2</v>
      </c>
      <c r="NH35" s="645" t="s">
        <v>2874</v>
      </c>
      <c r="NM35" s="664"/>
      <c r="NN35" s="663" t="s">
        <v>3576</v>
      </c>
      <c r="NO35" s="663">
        <v>102.46</v>
      </c>
      <c r="NP35" s="323" t="s">
        <v>2428</v>
      </c>
      <c r="NQ35" s="584">
        <f>SUM(NS18:NS29)</f>
        <v>1382.1599999999996</v>
      </c>
      <c r="NR35" s="631" t="s">
        <v>3608</v>
      </c>
      <c r="NS35" s="45">
        <v>53.28</v>
      </c>
      <c r="NT35" s="690" t="s">
        <v>372</v>
      </c>
      <c r="NV35" s="720"/>
      <c r="NW35" s="720"/>
      <c r="NX35" s="597" t="s">
        <v>3650</v>
      </c>
      <c r="NY35" s="59">
        <f>37.4</f>
        <v>37.4</v>
      </c>
      <c r="OC35" s="14">
        <v>53.4</v>
      </c>
    </row>
    <row r="36" spans="1:393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84" t="s">
        <v>2149</v>
      </c>
      <c r="DT36" s="785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1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8" t="s">
        <v>1847</v>
      </c>
      <c r="MU36" s="45">
        <v>47.19</v>
      </c>
      <c r="MV36" s="593"/>
      <c r="MZ36" s="174" t="s">
        <v>2477</v>
      </c>
      <c r="NA36" s="22">
        <f>MW28+MY37-NC27</f>
        <v>70</v>
      </c>
      <c r="NB36" s="625" t="s">
        <v>3506</v>
      </c>
      <c r="NE36" s="58"/>
      <c r="NF36" s="645" t="s">
        <v>3534</v>
      </c>
      <c r="NG36" s="241">
        <f>9.5+6.2</f>
        <v>15.7</v>
      </c>
      <c r="NM36" s="664"/>
      <c r="NN36" s="667" t="s">
        <v>2686</v>
      </c>
      <c r="NP36" s="323" t="s">
        <v>2575</v>
      </c>
      <c r="NQ36" s="312">
        <f>SUM(NS20:NS29)</f>
        <v>357.16</v>
      </c>
      <c r="NR36" s="633" t="s">
        <v>2382</v>
      </c>
      <c r="NS36" s="48">
        <f>318+54+24</f>
        <v>396</v>
      </c>
      <c r="NT36" s="690" t="s">
        <v>2877</v>
      </c>
      <c r="NV36" s="326"/>
      <c r="NW36" s="325"/>
      <c r="NX36" s="597" t="s">
        <v>2978</v>
      </c>
      <c r="NY36" s="59">
        <v>6.2</v>
      </c>
      <c r="OC36" s="14">
        <v>43.87</v>
      </c>
    </row>
    <row r="37" spans="1:393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8" t="s">
        <v>3426</v>
      </c>
      <c r="MU37" s="59">
        <v>588.6</v>
      </c>
      <c r="MV37" s="593" t="s">
        <v>2686</v>
      </c>
      <c r="MX37" s="154" t="s">
        <v>3452</v>
      </c>
      <c r="MY37" s="200">
        <v>0</v>
      </c>
      <c r="MZ37" s="200">
        <v>50</v>
      </c>
      <c r="NA37" s="638" t="s">
        <v>3159</v>
      </c>
      <c r="NB37" s="622" t="s">
        <v>372</v>
      </c>
      <c r="NG37" s="642"/>
      <c r="NH37" s="706" t="s">
        <v>3001</v>
      </c>
      <c r="NN37" s="667" t="s">
        <v>3574</v>
      </c>
      <c r="NR37" s="328">
        <v>24.95</v>
      </c>
      <c r="NS37" s="48"/>
      <c r="NT37" s="690" t="s">
        <v>2874</v>
      </c>
      <c r="NV37" s="714" t="s">
        <v>2221</v>
      </c>
      <c r="NW37" s="309"/>
      <c r="NX37" s="597" t="s">
        <v>3668</v>
      </c>
      <c r="NY37" s="59">
        <f>37.7+24.5</f>
        <v>62.2</v>
      </c>
      <c r="NZ37" s="716" t="s">
        <v>2686</v>
      </c>
      <c r="OC37" s="724"/>
    </row>
    <row r="38" spans="1:393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599" t="s">
        <v>2034</v>
      </c>
      <c r="MU38" s="59">
        <v>27.57</v>
      </c>
      <c r="MV38" s="593" t="s">
        <v>3007</v>
      </c>
      <c r="MZ38" s="200">
        <v>10</v>
      </c>
      <c r="NA38" s="240" t="s">
        <v>3508</v>
      </c>
      <c r="NB38" s="622" t="s">
        <v>2877</v>
      </c>
      <c r="NH38" s="706" t="s">
        <v>3026</v>
      </c>
      <c r="NP38" s="154" t="s">
        <v>3626</v>
      </c>
      <c r="NQ38" s="167">
        <v>505</v>
      </c>
      <c r="NR38" s="174" t="s">
        <v>2477</v>
      </c>
      <c r="NS38" s="22">
        <f>NO27+NQ38-NU25</f>
        <v>15</v>
      </c>
      <c r="NV38" s="327" t="s">
        <v>1200</v>
      </c>
      <c r="NW38" s="59">
        <f>SUM(NY6:NY10)</f>
        <v>2709</v>
      </c>
      <c r="NX38" s="597" t="s">
        <v>3680</v>
      </c>
      <c r="NY38" s="59">
        <v>17.399999999999999</v>
      </c>
      <c r="NZ38" s="716" t="s">
        <v>3664</v>
      </c>
      <c r="OC38" s="724"/>
    </row>
    <row r="39" spans="1:393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86" t="s">
        <v>2548</v>
      </c>
      <c r="DJ39" s="786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0" t="s">
        <v>372</v>
      </c>
      <c r="MY39" s="58"/>
      <c r="MZ39" s="627" t="s">
        <v>3487</v>
      </c>
      <c r="NA39" s="59">
        <v>14.4</v>
      </c>
      <c r="NB39" s="622" t="s">
        <v>2874</v>
      </c>
      <c r="NR39" s="200">
        <v>20</v>
      </c>
      <c r="NS39" s="638" t="s">
        <v>2418</v>
      </c>
      <c r="NT39" s="690" t="s">
        <v>3001</v>
      </c>
      <c r="NV39" s="157" t="s">
        <v>2587</v>
      </c>
      <c r="NW39" s="59">
        <f>SUM(NY11:NY12)</f>
        <v>7000</v>
      </c>
      <c r="NX39" s="597" t="s">
        <v>1877</v>
      </c>
      <c r="NY39" s="59"/>
      <c r="NZ39" s="718" t="s">
        <v>372</v>
      </c>
    </row>
    <row r="40" spans="1:393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80" t="s">
        <v>2117</v>
      </c>
      <c r="II40" s="780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0" t="s">
        <v>2877</v>
      </c>
      <c r="MY40" s="58"/>
      <c r="MZ40" s="622" t="s">
        <v>3488</v>
      </c>
      <c r="NA40" s="241">
        <v>11.9</v>
      </c>
      <c r="NQ40" s="58"/>
      <c r="NR40" s="689" t="s">
        <v>3596</v>
      </c>
      <c r="NS40" s="59">
        <f>13.36+8.96</f>
        <v>22.32</v>
      </c>
      <c r="NT40" s="690" t="s">
        <v>3026</v>
      </c>
      <c r="NV40" s="46" t="s">
        <v>2630</v>
      </c>
      <c r="NW40" s="45">
        <f>SUM(NY13:NY13)</f>
        <v>0</v>
      </c>
      <c r="NX40" s="597" t="s">
        <v>1877</v>
      </c>
      <c r="NY40" s="59"/>
      <c r="NZ40" s="718" t="s">
        <v>2877</v>
      </c>
    </row>
    <row r="41" spans="1:393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76" t="s">
        <v>2954</v>
      </c>
      <c r="KO41" s="776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0" t="s">
        <v>2915</v>
      </c>
      <c r="NA41" s="623"/>
      <c r="NQ41" s="58"/>
      <c r="NR41" s="690" t="s">
        <v>3606</v>
      </c>
      <c r="NS41" s="687">
        <f>6.16+4.9</f>
        <v>11.06</v>
      </c>
      <c r="NV41" s="149" t="s">
        <v>2678</v>
      </c>
      <c r="NW41" s="45">
        <f>SUM(NY14:NY23)</f>
        <v>686.71</v>
      </c>
      <c r="NX41" s="631" t="s">
        <v>3662</v>
      </c>
      <c r="NY41" s="45">
        <v>21.58</v>
      </c>
      <c r="NZ41" s="718" t="s">
        <v>2874</v>
      </c>
    </row>
    <row r="42" spans="1:393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0" t="s">
        <v>3607</v>
      </c>
      <c r="NS42" s="687">
        <v>19.2</v>
      </c>
      <c r="NV42" s="631" t="s">
        <v>3475</v>
      </c>
      <c r="NW42" s="45">
        <f>SUM(NY41:NY44)</f>
        <v>287.64</v>
      </c>
      <c r="NX42" s="631" t="s">
        <v>3675</v>
      </c>
      <c r="NY42" s="45">
        <v>266.06</v>
      </c>
    </row>
    <row r="43" spans="1:393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0" t="s">
        <v>3001</v>
      </c>
      <c r="NV43" s="323" t="s">
        <v>2428</v>
      </c>
      <c r="NW43" s="584">
        <f>SUM(NY24:NY40)</f>
        <v>526.66999999999996</v>
      </c>
      <c r="NX43" s="631" t="s">
        <v>3633</v>
      </c>
      <c r="NY43" s="45"/>
      <c r="NZ43" s="718" t="s">
        <v>3001</v>
      </c>
    </row>
    <row r="44" spans="1:393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3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5" t="s">
        <v>3410</v>
      </c>
      <c r="MU44" s="244">
        <v>399</v>
      </c>
      <c r="MV44" s="590" t="s">
        <v>3026</v>
      </c>
      <c r="NV44" s="323" t="s">
        <v>2575</v>
      </c>
      <c r="NW44" s="312">
        <f>SUM(NY33:NY40)</f>
        <v>189.44</v>
      </c>
      <c r="NX44" s="631" t="s">
        <v>3633</v>
      </c>
      <c r="NY44" s="45"/>
      <c r="NZ44" s="718" t="s">
        <v>3026</v>
      </c>
    </row>
    <row r="45" spans="1:393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0"/>
      <c r="MP45" s="14" t="s">
        <v>3001</v>
      </c>
      <c r="MS45" s="58"/>
      <c r="MT45" s="595" t="s">
        <v>3409</v>
      </c>
      <c r="MU45" s="591">
        <v>59</v>
      </c>
      <c r="NX45" s="633" t="s">
        <v>2382</v>
      </c>
      <c r="NY45" s="48">
        <f>283+77+46</f>
        <v>406</v>
      </c>
    </row>
    <row r="46" spans="1:393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5"/>
      <c r="MU46" s="244"/>
      <c r="NV46" s="154" t="s">
        <v>3657</v>
      </c>
      <c r="NW46" s="167">
        <v>-500</v>
      </c>
      <c r="NX46" s="328">
        <v>43.87</v>
      </c>
      <c r="NY46" s="48"/>
    </row>
    <row r="47" spans="1:393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5"/>
      <c r="MU47" s="59"/>
      <c r="NV47" s="162" t="s">
        <v>3656</v>
      </c>
      <c r="NW47" s="58"/>
      <c r="NX47" s="174" t="s">
        <v>2477</v>
      </c>
      <c r="NY47" s="22">
        <f>NU25+NW46-OA24</f>
        <v>0</v>
      </c>
    </row>
    <row r="48" spans="1:393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V48" s="727"/>
      <c r="NW48" s="58"/>
      <c r="NX48" s="200">
        <v>0</v>
      </c>
      <c r="NY48" s="638" t="s">
        <v>2418</v>
      </c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78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1"/>
      <c r="NX49" s="200"/>
      <c r="NY49" s="240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78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  <c r="NV50" s="727"/>
      <c r="NX50" s="200"/>
      <c r="NY50" s="240"/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78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  <c r="NX51" s="200"/>
      <c r="NY51" s="124"/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78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  <c r="NX52" s="717" t="s">
        <v>3279</v>
      </c>
      <c r="NY52" s="59">
        <v>47.9</v>
      </c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  <c r="NX53" s="718" t="s">
        <v>2741</v>
      </c>
      <c r="NY53" s="715">
        <v>300</v>
      </c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  <c r="NX54" s="718" t="s">
        <v>3684</v>
      </c>
      <c r="NY54" s="715">
        <v>6.9</v>
      </c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  <c r="OA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5" customWidth="1"/>
    <col min="37" max="37" width="2.28515625" style="654" customWidth="1"/>
    <col min="38" max="38" width="11.42578125" style="654" customWidth="1"/>
    <col min="39" max="39" width="4" style="654" bestFit="1" customWidth="1"/>
    <col min="40" max="40" width="7.5703125" style="654" customWidth="1"/>
    <col min="41" max="41" width="2.140625" style="703" customWidth="1"/>
    <col min="42" max="42" width="11.42578125" style="703" customWidth="1"/>
    <col min="43" max="43" width="4" style="703" bestFit="1" customWidth="1"/>
    <col min="44" max="44" width="7.5703125" style="703" customWidth="1"/>
    <col min="45" max="45" width="3.140625" customWidth="1"/>
    <col min="46" max="46" width="11.42578125" style="703" customWidth="1"/>
    <col min="47" max="47" width="4" style="703" bestFit="1" customWidth="1"/>
    <col min="48" max="48" width="7.5703125" style="703" customWidth="1"/>
  </cols>
  <sheetData>
    <row r="1" spans="2:48" ht="5.45" customHeight="1"/>
    <row r="2" spans="2:48" s="654" customFormat="1" ht="12" customHeight="1">
      <c r="B2" s="29"/>
      <c r="F2" s="29"/>
      <c r="J2" s="29"/>
      <c r="N2" s="29"/>
      <c r="V2" s="29"/>
      <c r="X2" s="30"/>
      <c r="AL2" s="705">
        <v>3.5999999999999997E-2</v>
      </c>
      <c r="AM2" s="654" t="s">
        <v>3527</v>
      </c>
      <c r="AO2" s="703"/>
      <c r="AP2" s="705">
        <v>3.5499999999999997E-2</v>
      </c>
      <c r="AQ2" s="703"/>
      <c r="AR2" s="703"/>
      <c r="AT2" s="705">
        <v>3.3000000000000002E-2</v>
      </c>
      <c r="AU2" s="703"/>
      <c r="AV2" s="703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5" t="s">
        <v>532</v>
      </c>
      <c r="AF3" s="615" t="s">
        <v>3347</v>
      </c>
      <c r="AH3" s="29" t="s">
        <v>1482</v>
      </c>
      <c r="AI3" s="615" t="s">
        <v>532</v>
      </c>
      <c r="AJ3" s="615" t="s">
        <v>3347</v>
      </c>
      <c r="AL3" s="29" t="s">
        <v>1482</v>
      </c>
      <c r="AM3" s="654" t="s">
        <v>532</v>
      </c>
      <c r="AN3" s="654" t="s">
        <v>3347</v>
      </c>
      <c r="AP3" s="29" t="s">
        <v>1482</v>
      </c>
      <c r="AQ3" s="703" t="s">
        <v>532</v>
      </c>
      <c r="AR3" s="703" t="s">
        <v>3347</v>
      </c>
      <c r="AT3" s="29" t="s">
        <v>1540</v>
      </c>
      <c r="AU3" s="703" t="s">
        <v>532</v>
      </c>
      <c r="AV3" s="703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5"/>
      <c r="AF4" s="31"/>
      <c r="AH4" s="29">
        <v>45443</v>
      </c>
      <c r="AI4" s="615">
        <v>61</v>
      </c>
      <c r="AJ4" s="31">
        <f t="shared" ref="AJ4:AJ34" si="6">AI4*1000*3.45%/365</f>
        <v>5.7657534246575342</v>
      </c>
      <c r="AL4" s="29">
        <v>45535</v>
      </c>
      <c r="AM4" s="654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3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5">
        <v>43</v>
      </c>
      <c r="AF5" s="31">
        <f>AE5*1000*3.4%/365</f>
        <v>4.0054794520547947</v>
      </c>
      <c r="AH5" s="29">
        <v>45442</v>
      </c>
      <c r="AI5" s="615">
        <v>56</v>
      </c>
      <c r="AJ5" s="31">
        <f>AI5*1000*3.45%/365</f>
        <v>5.2931506849315078</v>
      </c>
      <c r="AL5" s="29">
        <v>45534</v>
      </c>
      <c r="AM5" s="654">
        <v>208</v>
      </c>
      <c r="AN5" s="31">
        <f t="shared" si="7"/>
        <v>20.515068493150682</v>
      </c>
      <c r="AO5" s="31"/>
      <c r="AP5" s="29">
        <v>45565</v>
      </c>
      <c r="AQ5" s="703">
        <v>204</v>
      </c>
      <c r="AR5" s="31">
        <f>AQ5*1000*$AP$2/365</f>
        <v>19.841095890410955</v>
      </c>
      <c r="AT5" s="29">
        <v>45595</v>
      </c>
      <c r="AU5" s="703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5">
        <v>28</v>
      </c>
      <c r="AF6" s="31">
        <f t="shared" ref="AF6:AF34" si="10">AE6*1000*3.45%/365</f>
        <v>2.6465753424657539</v>
      </c>
      <c r="AH6" s="29">
        <v>45441</v>
      </c>
      <c r="AI6" s="615">
        <v>54</v>
      </c>
      <c r="AJ6" s="31">
        <f t="shared" si="6"/>
        <v>5.1041095890410961</v>
      </c>
      <c r="AL6" s="29">
        <v>45533</v>
      </c>
      <c r="AM6" s="654">
        <v>208</v>
      </c>
      <c r="AN6" s="31">
        <f t="shared" si="7"/>
        <v>20.515068493150682</v>
      </c>
      <c r="AO6" s="31"/>
      <c r="AP6" s="29">
        <v>45564</v>
      </c>
      <c r="AQ6" s="703">
        <v>304</v>
      </c>
      <c r="AR6" s="31">
        <f t="shared" ref="AR6:AR34" si="11">AQ6*1000*$AP$2/365</f>
        <v>29.56712328767123</v>
      </c>
      <c r="AT6" s="29">
        <v>45594</v>
      </c>
      <c r="AU6" s="703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5">
        <v>9</v>
      </c>
      <c r="AF7" s="31">
        <f t="shared" si="10"/>
        <v>0.85068493150684932</v>
      </c>
      <c r="AH7" s="29">
        <v>45440</v>
      </c>
      <c r="AI7" s="615">
        <v>54</v>
      </c>
      <c r="AJ7" s="31">
        <f t="shared" si="6"/>
        <v>5.1041095890410961</v>
      </c>
      <c r="AL7" s="29">
        <v>45532</v>
      </c>
      <c r="AM7" s="654">
        <v>192</v>
      </c>
      <c r="AN7" s="31">
        <f t="shared" si="7"/>
        <v>18.93698630136986</v>
      </c>
      <c r="AO7" s="31"/>
      <c r="AP7" s="29">
        <v>45563</v>
      </c>
      <c r="AQ7" s="703">
        <v>304</v>
      </c>
      <c r="AR7" s="31">
        <f t="shared" si="11"/>
        <v>29.56712328767123</v>
      </c>
      <c r="AT7" s="29">
        <v>45593</v>
      </c>
      <c r="AU7" s="703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5">
        <v>9</v>
      </c>
      <c r="AF8" s="31">
        <f t="shared" si="10"/>
        <v>0.85068493150684932</v>
      </c>
      <c r="AH8" s="29">
        <v>45439</v>
      </c>
      <c r="AI8" s="615">
        <v>44</v>
      </c>
      <c r="AJ8" s="31">
        <f t="shared" si="6"/>
        <v>4.1589041095890416</v>
      </c>
      <c r="AL8" s="29">
        <v>45531</v>
      </c>
      <c r="AM8" s="654">
        <v>192</v>
      </c>
      <c r="AN8" s="31">
        <f t="shared" si="7"/>
        <v>18.93698630136986</v>
      </c>
      <c r="AO8" s="31"/>
      <c r="AP8" s="29">
        <v>45562</v>
      </c>
      <c r="AQ8" s="703">
        <v>204</v>
      </c>
      <c r="AR8" s="31">
        <f t="shared" si="11"/>
        <v>19.841095890410955</v>
      </c>
      <c r="AT8" s="29">
        <v>45592</v>
      </c>
      <c r="AU8" s="703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5">
        <v>9</v>
      </c>
      <c r="AF9" s="31">
        <f t="shared" si="10"/>
        <v>0.85068493150684932</v>
      </c>
      <c r="AH9" s="29">
        <v>45438</v>
      </c>
      <c r="AI9" s="615">
        <v>42</v>
      </c>
      <c r="AJ9" s="31">
        <f t="shared" si="6"/>
        <v>3.9698630136986308</v>
      </c>
      <c r="AL9" s="29">
        <v>45530</v>
      </c>
      <c r="AM9" s="654">
        <v>192</v>
      </c>
      <c r="AN9" s="31">
        <f t="shared" si="7"/>
        <v>18.93698630136986</v>
      </c>
      <c r="AO9" s="31"/>
      <c r="AP9" s="29">
        <v>45561</v>
      </c>
      <c r="AQ9" s="703">
        <v>287</v>
      </c>
      <c r="AR9" s="31">
        <f t="shared" si="11"/>
        <v>27.913698630136988</v>
      </c>
      <c r="AT9" s="29">
        <v>45591</v>
      </c>
      <c r="AU9" s="703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5">
        <v>5</v>
      </c>
      <c r="AF10" s="31">
        <f t="shared" si="10"/>
        <v>0.47260273972602745</v>
      </c>
      <c r="AH10" s="29">
        <v>45437</v>
      </c>
      <c r="AI10" s="615">
        <v>42</v>
      </c>
      <c r="AJ10" s="31">
        <f t="shared" si="6"/>
        <v>3.9698630136986308</v>
      </c>
      <c r="AL10" s="29">
        <v>45529</v>
      </c>
      <c r="AM10" s="654">
        <v>192</v>
      </c>
      <c r="AN10" s="31">
        <f t="shared" si="7"/>
        <v>18.93698630136986</v>
      </c>
      <c r="AO10" s="31"/>
      <c r="AP10" s="29">
        <v>45560</v>
      </c>
      <c r="AQ10" s="703">
        <v>184</v>
      </c>
      <c r="AR10" s="31">
        <f t="shared" si="11"/>
        <v>17.895890410958902</v>
      </c>
      <c r="AT10" s="29">
        <v>45590</v>
      </c>
      <c r="AU10" s="703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5">
        <v>9</v>
      </c>
      <c r="AF11" s="31">
        <f t="shared" si="10"/>
        <v>0.85068493150684932</v>
      </c>
      <c r="AH11" s="29">
        <v>45436</v>
      </c>
      <c r="AI11" s="615">
        <v>42</v>
      </c>
      <c r="AJ11" s="31">
        <f t="shared" si="6"/>
        <v>3.9698630136986308</v>
      </c>
      <c r="AL11" s="29">
        <v>45528</v>
      </c>
      <c r="AM11" s="654">
        <v>192</v>
      </c>
      <c r="AN11" s="31">
        <f t="shared" si="7"/>
        <v>18.93698630136986</v>
      </c>
      <c r="AO11" s="31"/>
      <c r="AP11" s="29">
        <v>45559</v>
      </c>
      <c r="AQ11" s="703">
        <v>184</v>
      </c>
      <c r="AR11" s="31">
        <f t="shared" si="11"/>
        <v>17.895890410958902</v>
      </c>
      <c r="AT11" s="29">
        <v>45589</v>
      </c>
      <c r="AU11" s="703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5">
        <v>9</v>
      </c>
      <c r="AF12" s="31">
        <f t="shared" si="10"/>
        <v>0.85068493150684932</v>
      </c>
      <c r="AH12" s="29">
        <v>45435</v>
      </c>
      <c r="AI12" s="615">
        <v>44</v>
      </c>
      <c r="AJ12" s="31">
        <f t="shared" si="6"/>
        <v>4.1589041095890416</v>
      </c>
      <c r="AL12" s="29">
        <v>45527</v>
      </c>
      <c r="AM12" s="654">
        <v>192</v>
      </c>
      <c r="AN12" s="31">
        <f t="shared" si="7"/>
        <v>18.93698630136986</v>
      </c>
      <c r="AO12" s="31"/>
      <c r="AP12" s="29">
        <v>45558</v>
      </c>
      <c r="AQ12" s="703">
        <v>184</v>
      </c>
      <c r="AR12" s="31">
        <f t="shared" si="11"/>
        <v>17.895890410958902</v>
      </c>
      <c r="AT12" s="29">
        <v>45588</v>
      </c>
      <c r="AU12" s="703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5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3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3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3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3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3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3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3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3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3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3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3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3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3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4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3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4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3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4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3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5">
        <v>43</v>
      </c>
      <c r="AJ29" s="31">
        <f t="shared" si="6"/>
        <v>4.0643835616438366</v>
      </c>
      <c r="AL29" s="29">
        <v>45510</v>
      </c>
      <c r="AM29" s="654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3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5">
        <v>43</v>
      </c>
      <c r="AJ30" s="31">
        <f t="shared" si="6"/>
        <v>4.0643835616438366</v>
      </c>
      <c r="AL30" s="29">
        <v>45509</v>
      </c>
      <c r="AM30" s="654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3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5">
        <v>43</v>
      </c>
      <c r="AJ31" s="31">
        <f t="shared" si="6"/>
        <v>4.0643835616438366</v>
      </c>
      <c r="AL31" s="29">
        <v>45508</v>
      </c>
      <c r="AM31" s="654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3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5">
        <v>43</v>
      </c>
      <c r="AJ32" s="31">
        <f t="shared" si="6"/>
        <v>4.0643835616438366</v>
      </c>
      <c r="AL32" s="29">
        <v>45507</v>
      </c>
      <c r="AM32" s="654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3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5">
        <v>45.2</v>
      </c>
      <c r="AF33" s="31">
        <f t="shared" si="10"/>
        <v>4.2723287671232884</v>
      </c>
      <c r="AH33" s="29">
        <v>45414</v>
      </c>
      <c r="AI33" s="615">
        <v>43</v>
      </c>
      <c r="AJ33" s="31">
        <f t="shared" si="6"/>
        <v>4.0643835616438366</v>
      </c>
      <c r="AL33" s="29">
        <v>45506</v>
      </c>
      <c r="AM33" s="654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3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5">
        <v>18.5</v>
      </c>
      <c r="AF34" s="31">
        <f t="shared" si="10"/>
        <v>1.7486301369863013</v>
      </c>
      <c r="AH34" s="29">
        <v>45413</v>
      </c>
      <c r="AI34" s="615">
        <v>43</v>
      </c>
      <c r="AJ34" s="31">
        <f t="shared" si="6"/>
        <v>4.0643835616438366</v>
      </c>
      <c r="AL34" s="29">
        <v>45505</v>
      </c>
      <c r="AM34" s="654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3">
        <v>220</v>
      </c>
      <c r="AV34" s="31">
        <f t="shared" si="8"/>
        <v>19.890410958904109</v>
      </c>
    </row>
    <row r="35" spans="2:48">
      <c r="AD35" s="615"/>
      <c r="AE35" s="615"/>
      <c r="AF35" s="615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5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5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5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3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2">
        <f t="shared" ref="I33:J33" si="2">I30*I31/365*30</f>
        <v>73.972602739726014</v>
      </c>
      <c r="J33" s="612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205.48</v>
      </c>
      <c r="I34" s="14">
        <v>73.97</v>
      </c>
      <c r="J34" s="14">
        <v>41.1</v>
      </c>
    </row>
    <row r="35" spans="2:11">
      <c r="B35" s="23">
        <f>AVERAGE(B3:B33)</f>
        <v>100000</v>
      </c>
      <c r="D35" s="802">
        <f>SUMPRODUCT(D3:D33,E3:E33)/365</f>
        <v>32.909589041095877</v>
      </c>
      <c r="E35" s="802"/>
      <c r="F35" s="26"/>
    </row>
    <row r="36" spans="2:11">
      <c r="B36" s="16" t="s">
        <v>3364</v>
      </c>
      <c r="D36" s="802" t="s">
        <v>3365</v>
      </c>
      <c r="E36" s="80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5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2024-12-17T07:32:57Z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