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5572796-33ED-4CA0-9013-F6E3C6D0205F}" xr6:coauthVersionLast="41" xr6:coauthVersionMax="47" xr10:uidLastSave="{00000000-0000-0000-0000-000000000000}"/>
  <bookViews>
    <workbookView xWindow="1230" yWindow="2355" windowWidth="16185" windowHeight="11835" firstSheet="1" activeTab="2" xr2:uid="{D4D1A54F-01AE-4300-8644-B16194D9355C}"/>
  </bookViews>
  <sheets>
    <sheet name="Fli2pm 200k" sheetId="6" state="hidden" r:id="rId1"/>
    <sheet name="FLI2PF" sheetId="5" r:id="rId2"/>
    <sheet name="FWD" sheetId="8" r:id="rId3"/>
    <sheet name="LTIS" sheetId="2" r:id="rId4"/>
    <sheet name="overlap ptf" sheetId="4" r:id="rId5"/>
    <sheet name="FLI2" sheetId="1" r:id="rId6"/>
    <sheet name="xirr test" sheetId="3" r:id="rId7"/>
    <sheet name="Taiping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29" i="8"/>
  <c r="K4" i="5"/>
  <c r="K3" i="5"/>
  <c r="J5" i="5"/>
  <c r="K5" i="5" s="1"/>
  <c r="D6" i="5" s="1"/>
  <c r="J5" i="8"/>
  <c r="I5" i="8"/>
  <c r="I3" i="8"/>
  <c r="D9" i="8"/>
  <c r="D4" i="8"/>
  <c r="D10" i="8" l="1"/>
  <c r="A4" i="8"/>
  <c r="G6" i="8"/>
  <c r="A5" i="8"/>
  <c r="B6" i="4"/>
  <c r="B7" i="4"/>
  <c r="B8" i="4"/>
  <c r="B9" i="4"/>
  <c r="B10" i="4"/>
  <c r="B11" i="4"/>
  <c r="B12" i="4"/>
  <c r="B13" i="4"/>
  <c r="B28" i="4"/>
  <c r="B29" i="4"/>
  <c r="B30" i="4"/>
  <c r="B31" i="4"/>
  <c r="B32" i="4"/>
  <c r="B33" i="4"/>
  <c r="B34" i="4"/>
  <c r="B35" i="4"/>
  <c r="B36" i="4"/>
  <c r="B37" i="4"/>
  <c r="B38" i="4"/>
  <c r="B27" i="4"/>
  <c r="B14" i="4"/>
  <c r="B15" i="4"/>
  <c r="B16" i="4"/>
  <c r="B17" i="4"/>
  <c r="B18" i="4"/>
  <c r="B19" i="4"/>
  <c r="B20" i="4"/>
  <c r="B21" i="4"/>
  <c r="B22" i="4"/>
  <c r="B23" i="4"/>
  <c r="F32" i="4"/>
  <c r="K4" i="8" l="1"/>
  <c r="K3" i="8"/>
  <c r="K5" i="8"/>
  <c r="D17" i="8"/>
  <c r="D25" i="8"/>
  <c r="D18" i="8"/>
  <c r="D26" i="8"/>
  <c r="D19" i="8"/>
  <c r="D27" i="8"/>
  <c r="D12" i="8"/>
  <c r="D22" i="8"/>
  <c r="D15" i="8"/>
  <c r="D23" i="8"/>
  <c r="D16" i="8"/>
  <c r="B16" i="8" s="1"/>
  <c r="D20" i="8"/>
  <c r="D28" i="8"/>
  <c r="D13" i="8"/>
  <c r="D21" i="8"/>
  <c r="D14" i="8"/>
  <c r="D24" i="8"/>
  <c r="D3" i="7"/>
  <c r="A3" i="7" s="1"/>
  <c r="D5" i="7"/>
  <c r="A6" i="7" s="1"/>
  <c r="D6" i="7"/>
  <c r="D7" i="7"/>
  <c r="A12" i="7" s="1"/>
  <c r="D8" i="7"/>
  <c r="D9" i="7"/>
  <c r="D11" i="7"/>
  <c r="A11" i="7" s="1"/>
  <c r="B12" i="7"/>
  <c r="D12" i="7"/>
  <c r="A17" i="7" s="1"/>
  <c r="D14" i="7"/>
  <c r="D15" i="7"/>
  <c r="D16" i="7"/>
  <c r="D17" i="7"/>
  <c r="D18" i="7"/>
  <c r="D19" i="7"/>
  <c r="A19" i="7" s="1"/>
  <c r="D20" i="7"/>
  <c r="D21" i="7"/>
  <c r="D22" i="7"/>
  <c r="D23" i="7"/>
  <c r="D24" i="7"/>
  <c r="A25" i="7"/>
  <c r="D25" i="7"/>
  <c r="D26" i="7"/>
  <c r="D27" i="7"/>
  <c r="D28" i="7"/>
  <c r="D29" i="7"/>
  <c r="B30" i="7"/>
  <c r="D30" i="7"/>
  <c r="K6" i="8" l="1"/>
  <c r="D6" i="8" s="1"/>
  <c r="B29" i="8" s="1"/>
  <c r="A14" i="8"/>
  <c r="A7" i="8"/>
  <c r="A13" i="8"/>
  <c r="A22" i="8"/>
  <c r="A9" i="7"/>
  <c r="A21" i="7"/>
  <c r="A15" i="7"/>
  <c r="A8" i="7"/>
  <c r="A14" i="7"/>
  <c r="A7" i="7"/>
  <c r="A23" i="7"/>
  <c r="A29" i="7"/>
  <c r="A5" i="7"/>
  <c r="A27" i="7"/>
  <c r="A30" i="7"/>
  <c r="A28" i="7"/>
  <c r="A26" i="7"/>
  <c r="A24" i="7"/>
  <c r="A22" i="7"/>
  <c r="A20" i="7"/>
  <c r="A18" i="7"/>
  <c r="A16" i="7"/>
  <c r="A4" i="7"/>
  <c r="A9" i="8" l="1"/>
  <c r="A27" i="8"/>
  <c r="A17" i="8"/>
  <c r="A21" i="8"/>
  <c r="A23" i="8"/>
  <c r="A18" i="8"/>
  <c r="A8" i="8"/>
  <c r="A10" i="8"/>
  <c r="B10" i="8" s="1"/>
  <c r="A15" i="8"/>
  <c r="A16" i="8"/>
  <c r="A28" i="8"/>
  <c r="A29" i="8"/>
  <c r="A19" i="8"/>
  <c r="A25" i="8"/>
  <c r="A20" i="8"/>
  <c r="A6" i="8"/>
  <c r="A24" i="8"/>
  <c r="A26" i="8"/>
  <c r="A12" i="8"/>
  <c r="G12" i="4"/>
  <c r="K11" i="4"/>
  <c r="G9" i="4" l="1"/>
  <c r="G23" i="4"/>
  <c r="G8" i="4"/>
  <c r="G27" i="4"/>
  <c r="G21" i="4"/>
  <c r="F6" i="4"/>
  <c r="K10" i="4" s="1"/>
  <c r="D4" i="4"/>
  <c r="D3" i="5"/>
  <c r="D10" i="5" s="1"/>
  <c r="D9" i="6"/>
  <c r="D4" i="6"/>
  <c r="I3" i="6"/>
  <c r="D3" i="6"/>
  <c r="G6" i="6" s="1"/>
  <c r="D11" i="6" s="1"/>
  <c r="G3" i="2"/>
  <c r="I3" i="5"/>
  <c r="F7" i="4"/>
  <c r="D7" i="4" s="1"/>
  <c r="F17" i="4"/>
  <c r="D17" i="4" s="1"/>
  <c r="D4" i="5"/>
  <c r="D6" i="2" l="1"/>
  <c r="D12" i="2"/>
  <c r="B30" i="2"/>
  <c r="D30" i="2"/>
  <c r="D16" i="2"/>
  <c r="D20" i="2"/>
  <c r="D24" i="2"/>
  <c r="D28" i="2"/>
  <c r="D29" i="2"/>
  <c r="D17" i="2"/>
  <c r="D21" i="2"/>
  <c r="D25" i="2"/>
  <c r="D14" i="2"/>
  <c r="D18" i="2"/>
  <c r="D22" i="2"/>
  <c r="D26" i="2"/>
  <c r="D15" i="2"/>
  <c r="D19" i="2"/>
  <c r="D23" i="2"/>
  <c r="D27" i="2"/>
  <c r="D21" i="6"/>
  <c r="D6" i="6"/>
  <c r="A7" i="6" s="1"/>
  <c r="D12" i="6"/>
  <c r="D17" i="6"/>
  <c r="D18" i="6"/>
  <c r="D11" i="2"/>
  <c r="D28" i="6"/>
  <c r="D10" i="6"/>
  <c r="D22" i="6"/>
  <c r="D23" i="6"/>
  <c r="D24" i="6"/>
  <c r="K4" i="6"/>
  <c r="D16" i="6"/>
  <c r="K5" i="6"/>
  <c r="A6" i="6"/>
  <c r="F13" i="4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D25" i="6"/>
  <c r="A8" i="6"/>
  <c r="D20" i="6"/>
  <c r="D26" i="6"/>
  <c r="D13" i="6"/>
  <c r="A12" i="6"/>
  <c r="K6" i="6"/>
  <c r="D19" i="6"/>
  <c r="D27" i="6"/>
  <c r="D14" i="6"/>
  <c r="K3" i="6"/>
  <c r="A4" i="6"/>
  <c r="D15" i="6"/>
  <c r="A10" i="6"/>
  <c r="A5" i="6"/>
  <c r="D9" i="5"/>
  <c r="G31" i="4"/>
  <c r="D31" i="4" s="1"/>
  <c r="B28" i="6" l="1"/>
  <c r="A11" i="6"/>
  <c r="A23" i="6"/>
  <c r="A17" i="6"/>
  <c r="A13" i="6"/>
  <c r="A9" i="6"/>
  <c r="A19" i="6"/>
  <c r="A21" i="6"/>
  <c r="A28" i="6"/>
  <c r="A15" i="6"/>
  <c r="A24" i="6"/>
  <c r="D32" i="4"/>
  <c r="F24" i="4"/>
  <c r="A26" i="6"/>
  <c r="A16" i="6"/>
  <c r="A25" i="6"/>
  <c r="A18" i="6"/>
  <c r="A20" i="6"/>
  <c r="A22" i="6"/>
  <c r="A14" i="6"/>
  <c r="A27" i="6"/>
  <c r="A5" i="5"/>
  <c r="D29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2" i="5" l="1"/>
  <c r="A7" i="5"/>
  <c r="D14" i="5"/>
  <c r="D20" i="5"/>
  <c r="D28" i="5"/>
  <c r="D24" i="5"/>
  <c r="D21" i="5"/>
  <c r="D13" i="5"/>
  <c r="D25" i="5"/>
  <c r="D16" i="5"/>
  <c r="B16" i="5" s="1"/>
  <c r="D17" i="5"/>
  <c r="D18" i="5"/>
  <c r="D26" i="5"/>
  <c r="D27" i="5"/>
  <c r="D22" i="5"/>
  <c r="D23" i="5"/>
  <c r="D15" i="5"/>
  <c r="D19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5" i="5"/>
  <c r="A6" i="5"/>
  <c r="A25" i="5"/>
  <c r="A8" i="5"/>
  <c r="A12" i="5"/>
  <c r="A14" i="5"/>
  <c r="A22" i="5"/>
  <c r="A21" i="5"/>
  <c r="A10" i="5"/>
  <c r="B10" i="5" s="1"/>
  <c r="A9" i="5"/>
  <c r="A28" i="5"/>
  <c r="A13" i="5"/>
  <c r="A20" i="5"/>
  <c r="A26" i="5"/>
  <c r="A16" i="5"/>
  <c r="A29" i="5"/>
  <c r="A17" i="5"/>
  <c r="A19" i="5"/>
  <c r="A23" i="5"/>
  <c r="A27" i="5"/>
  <c r="A18" i="5"/>
  <c r="A24" i="5"/>
  <c r="B29" i="5"/>
  <c r="E5" i="4"/>
  <c r="E10" i="4"/>
  <c r="C27" i="3"/>
  <c r="F1" i="3" s="1"/>
  <c r="E25" i="4" l="1"/>
  <c r="G24" i="4"/>
  <c r="D11" i="4"/>
  <c r="G25" i="4"/>
  <c r="E24" i="4"/>
  <c r="D5" i="4"/>
  <c r="K14" i="4" s="1"/>
  <c r="D10" i="4"/>
  <c r="K13" i="4" l="1"/>
  <c r="K15" i="4" s="1"/>
  <c r="C10" i="1" l="1"/>
  <c r="C9" i="1"/>
  <c r="D5" i="2"/>
  <c r="D4" i="2"/>
  <c r="D7" i="2"/>
  <c r="D8" i="2"/>
  <c r="D9" i="2"/>
  <c r="D3" i="2"/>
  <c r="A29" i="2" l="1"/>
  <c r="A30" i="2"/>
  <c r="A12" i="2"/>
  <c r="B12" i="2"/>
  <c r="A14" i="2"/>
  <c r="A16" i="2"/>
  <c r="A22" i="2"/>
  <c r="A8" i="2"/>
  <c r="A4" i="2"/>
  <c r="A28" i="2"/>
  <c r="A20" i="2"/>
  <c r="A6" i="2"/>
  <c r="A27" i="2"/>
  <c r="A23" i="2"/>
  <c r="A26" i="2"/>
  <c r="A25" i="2"/>
  <c r="A9" i="2"/>
  <c r="A19" i="2"/>
  <c r="A18" i="2"/>
  <c r="A21" i="2"/>
  <c r="A17" i="2"/>
  <c r="A5" i="2"/>
  <c r="A7" i="2"/>
  <c r="A3" i="2"/>
  <c r="A15" i="2"/>
  <c r="A11" i="2"/>
  <c r="A24" i="2"/>
  <c r="C3" i="1"/>
  <c r="C5" i="1" l="1"/>
  <c r="A10" i="1" s="1"/>
  <c r="C7" i="1"/>
  <c r="F10" i="1"/>
</calcChain>
</file>

<file path=xl/sharedStrings.xml><?xml version="1.0" encoding="utf-8"?>
<sst xmlns="http://schemas.openxmlformats.org/spreadsheetml/2006/main" count="113" uniqueCount="70">
  <si>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</si>
  <si>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</si>
  <si>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</si>
  <si>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</si>
  <si>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</si>
  <si>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</si>
  <si>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</si>
  <si>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</si>
  <si>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</si>
  <si>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</si>
  <si>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</si>
  <si>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</si>
  <si>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</si>
  <si>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</si>
  <si>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</si>
  <si>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</si>
  <si>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</si>
  <si>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</si>
  <si>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</si>
  <si>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</si>
  <si>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</si>
  <si>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</si>
  <si>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</si>
  <si>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</si>
  <si>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</si>
  <si>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</si>
  <si>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</si>
  <si>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</si>
  <si>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</si>
  <si>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</si>
  <si>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</si>
  <si>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</si>
  <si>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</si>
  <si>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</si>
  <si>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</si>
  <si>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</si>
  <si>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</si>
  <si>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</si>
  <si>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</si>
  <si>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</si>
  <si>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</si>
  <si>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</si>
  <si>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</si>
  <si>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</si>
  <si>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</si>
  <si>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</si>
  <si>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</si>
  <si>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</si>
  <si>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</si>
  <si>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</si>
  <si>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</si>
  <si>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</si>
  <si>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</si>
  <si>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!!退保^</t>
  </si>
  <si>
    <t>&lt;XIRR&gt;</t>
  </si>
  <si>
    <t>ICBC 12M TD excess return (or 2.4 ppa on 100k)</t>
  </si>
  <si>
    <t>excess profit over 12M</t>
  </si>
  <si>
    <t>annual FCF received, while keeping 210k liquid  in FLI2PF and LTIS</t>
  </si>
  <si>
    <t>watermark of cum outlay since Aug24</t>
  </si>
  <si>
    <t>FWD down payment</t>
  </si>
  <si>
    <t>FWD upfront</t>
  </si>
  <si>
    <t>first payout FWD</t>
  </si>
  <si>
    <t>surrender FWD #251k to wipe out $190k loan</t>
  </si>
  <si>
    <t>36M int cost</t>
  </si>
  <si>
    <t>total prem - FWD</t>
  </si>
  <si>
    <t xml:space="preserve">Oct26-Sep27 LIR </t>
  </si>
  <si>
    <t>FWD DYOC</t>
  </si>
  <si>
    <t>FWD xirr</t>
  </si>
  <si>
    <t>FLI2 DYOC</t>
  </si>
  <si>
    <t>FLI2 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</si>
</sst>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168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K31"/>
  <sheetViews>
    <sheetView workbookViewId="0">
      <selection activeCell="G5" sqref="G5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-28%*G4</f>
        <v>-56000.000000000007</v>
      </c>
      <c r="E3" t="s">
        <v>17</v>
      </c>
      <c r="I3">
        <f>5/12</f>
        <v>0.41666666666666669</v>
      </c>
      <c r="J3" s="2">
        <v>2.75E-2</v>
      </c>
      <c r="K3" s="9">
        <f>G6*I3*J3</f>
        <v>1650</v>
      </c>
    </row>
    <row r="4" spans="1:11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16</v>
      </c>
      <c r="F4" t="s">
        <v>13</v>
      </c>
      <c r="G4" s="7">
        <v>200000</v>
      </c>
      <c r="I4">
        <v>1</v>
      </c>
      <c r="J4" s="2">
        <v>2.5499999999999998E-2</v>
      </c>
      <c r="K4" s="9">
        <f>G6*I4*J4</f>
        <v>3671.9999999999995</v>
      </c>
    </row>
    <row r="5" spans="1:11" x14ac:dyDescent="0.25">
      <c r="A5" s="5">
        <f>SUM($D$3:D5)</f>
        <v>-53260.000000000007</v>
      </c>
      <c r="B5" s="2"/>
      <c r="F5" t="s">
        <v>20</v>
      </c>
      <c r="G5" s="28">
        <v>0.02</v>
      </c>
      <c r="K5">
        <f>G6*(I3*J3+I4*J4)</f>
        <v>5321.9999999999991</v>
      </c>
    </row>
    <row r="6" spans="1:11" x14ac:dyDescent="0.25">
      <c r="A6" s="5">
        <f>SUM($D$3:D6)</f>
        <v>-61462.000000000007</v>
      </c>
      <c r="B6" s="2"/>
      <c r="C6" s="3">
        <v>45962</v>
      </c>
      <c r="D6">
        <f>-(5322+G6*G5)</f>
        <v>-8202</v>
      </c>
      <c r="E6" t="s">
        <v>15</v>
      </c>
      <c r="F6" t="s">
        <v>21</v>
      </c>
      <c r="G6" s="7">
        <f>G4+D3</f>
        <v>144000</v>
      </c>
      <c r="I6">
        <v>1</v>
      </c>
      <c r="J6" s="11">
        <v>0.02</v>
      </c>
      <c r="K6" s="9">
        <f>G6*I6*J6</f>
        <v>2880</v>
      </c>
    </row>
    <row r="7" spans="1:11" x14ac:dyDescent="0.25">
      <c r="A7" s="5">
        <f>SUM($D$3:D7)</f>
        <v>-61462.000000000007</v>
      </c>
      <c r="B7" s="2"/>
      <c r="F7" t="s">
        <v>19</v>
      </c>
      <c r="G7" s="2">
        <v>1.4999999999999999E-2</v>
      </c>
    </row>
    <row r="8" spans="1:11" x14ac:dyDescent="0.25">
      <c r="A8" s="5">
        <f>SUM($D$3:D8)</f>
        <v>-61462.000000000007</v>
      </c>
      <c r="B8" s="2"/>
      <c r="F8" t="s">
        <v>22</v>
      </c>
      <c r="G8" s="2">
        <v>1.37E-2</v>
      </c>
    </row>
    <row r="9" spans="1:11" x14ac:dyDescent="0.25">
      <c r="A9" s="5">
        <f>SUM($D$3:D9)</f>
        <v>-55042.000000000007</v>
      </c>
      <c r="B9" s="2"/>
      <c r="C9" s="3">
        <v>46419</v>
      </c>
      <c r="D9">
        <f>3.21%*$G$4</f>
        <v>6419.9999999999991</v>
      </c>
      <c r="E9" t="s">
        <v>14</v>
      </c>
      <c r="F9" s="6"/>
      <c r="G9" s="6"/>
    </row>
    <row r="10" spans="1:11" x14ac:dyDescent="0.25">
      <c r="A10" s="5">
        <f>SUM($D$3:D10)</f>
        <v>-55042.000000000007</v>
      </c>
      <c r="B10" s="2"/>
      <c r="C10" s="3">
        <v>46419</v>
      </c>
      <c r="D10" s="5">
        <f>-$D$3*0</f>
        <v>0</v>
      </c>
      <c r="E10" s="6" t="s">
        <v>18</v>
      </c>
    </row>
    <row r="11" spans="1:11" x14ac:dyDescent="0.25">
      <c r="A11" s="5">
        <f>SUM($D$3:D11)</f>
        <v>-50782.000000000007</v>
      </c>
      <c r="B11" s="2"/>
      <c r="C11" s="3">
        <v>46784</v>
      </c>
      <c r="D11" s="9">
        <f>3.21%*$G$4-$G$7*$G$6</f>
        <v>4259.9999999999991</v>
      </c>
      <c r="F11" s="8"/>
      <c r="G11" s="8"/>
      <c r="H11" s="8"/>
      <c r="I11" s="8"/>
    </row>
    <row r="12" spans="1:11" x14ac:dyDescent="0.25">
      <c r="A12" s="5">
        <f>SUM($D$3:D12)</f>
        <v>-46522.000000000007</v>
      </c>
      <c r="B12" s="2"/>
      <c r="C12" s="3">
        <v>47150</v>
      </c>
      <c r="D12">
        <f t="shared" ref="D12:D27" si="0">3.21%*$G$4-$G$7*$G$6</f>
        <v>4259.9999999999991</v>
      </c>
      <c r="F12" s="8"/>
      <c r="G12" s="8"/>
      <c r="H12" s="8"/>
      <c r="I12" s="8"/>
    </row>
    <row r="13" spans="1:11" x14ac:dyDescent="0.25">
      <c r="A13" s="5">
        <f>SUM($D$3:D13)</f>
        <v>-42262.000000000007</v>
      </c>
      <c r="B13" s="2"/>
      <c r="C13" s="3">
        <v>47515</v>
      </c>
      <c r="D13">
        <f t="shared" si="0"/>
        <v>4259.9999999999991</v>
      </c>
      <c r="F13" s="8"/>
      <c r="G13" s="8"/>
      <c r="H13" s="8"/>
      <c r="I13" s="8"/>
    </row>
    <row r="14" spans="1:11" x14ac:dyDescent="0.25">
      <c r="A14" s="5">
        <f>SUM($D$3:D14)</f>
        <v>-38002.000000000007</v>
      </c>
      <c r="B14" s="2"/>
      <c r="C14" s="3">
        <v>47880</v>
      </c>
      <c r="D14">
        <f t="shared" si="0"/>
        <v>4259.9999999999991</v>
      </c>
    </row>
    <row r="15" spans="1:11" x14ac:dyDescent="0.25">
      <c r="A15" s="5">
        <f>SUM($D$3:D15)</f>
        <v>-33742.000000000007</v>
      </c>
      <c r="B15" s="2"/>
      <c r="C15" s="3">
        <v>48245</v>
      </c>
      <c r="D15">
        <f t="shared" si="0"/>
        <v>4259.9999999999991</v>
      </c>
    </row>
    <row r="16" spans="1:11" x14ac:dyDescent="0.25">
      <c r="A16" s="5">
        <f>SUM($D$3:D16)</f>
        <v>-29482.000000000007</v>
      </c>
      <c r="B16" s="2"/>
      <c r="C16" s="3">
        <v>48611</v>
      </c>
      <c r="D16">
        <f t="shared" si="0"/>
        <v>4259.9999999999991</v>
      </c>
    </row>
    <row r="17" spans="1:7" x14ac:dyDescent="0.25">
      <c r="A17" s="5">
        <f>SUM($D$3:D17)</f>
        <v>-25222.000000000007</v>
      </c>
      <c r="B17" s="2"/>
      <c r="C17" s="3">
        <v>48976</v>
      </c>
      <c r="D17">
        <f t="shared" si="0"/>
        <v>4259.9999999999991</v>
      </c>
    </row>
    <row r="18" spans="1:7" x14ac:dyDescent="0.25">
      <c r="A18" s="5">
        <f>SUM($D$3:D18)</f>
        <v>-20962.000000000007</v>
      </c>
      <c r="B18" s="2"/>
      <c r="C18" s="3">
        <v>49341</v>
      </c>
      <c r="D18">
        <f t="shared" si="0"/>
        <v>4259.9999999999991</v>
      </c>
    </row>
    <row r="19" spans="1:7" x14ac:dyDescent="0.25">
      <c r="A19" s="5">
        <f>SUM($D$3:D19)</f>
        <v>-16702.000000000007</v>
      </c>
      <c r="B19" s="2"/>
      <c r="C19" s="3">
        <v>49706</v>
      </c>
      <c r="D19">
        <f t="shared" si="0"/>
        <v>4259.9999999999991</v>
      </c>
    </row>
    <row r="20" spans="1:7" x14ac:dyDescent="0.25">
      <c r="A20" s="5">
        <f>SUM($D$3:D20)</f>
        <v>-12442.000000000007</v>
      </c>
      <c r="B20" s="2"/>
      <c r="C20" s="3">
        <v>50072</v>
      </c>
      <c r="D20">
        <f t="shared" si="0"/>
        <v>4259.9999999999991</v>
      </c>
    </row>
    <row r="21" spans="1:7" x14ac:dyDescent="0.25">
      <c r="A21" s="5">
        <f>SUM($D$3:D21)</f>
        <v>-8182.0000000000082</v>
      </c>
      <c r="B21" s="2"/>
      <c r="C21" s="3">
        <v>50437</v>
      </c>
      <c r="D21">
        <f t="shared" si="0"/>
        <v>4259.9999999999991</v>
      </c>
    </row>
    <row r="22" spans="1:7" x14ac:dyDescent="0.25">
      <c r="A22" s="5">
        <f>SUM($D$3:D22)</f>
        <v>-3922.0000000000091</v>
      </c>
      <c r="B22" s="2"/>
      <c r="C22" s="3">
        <v>50802</v>
      </c>
      <c r="D22">
        <f t="shared" si="0"/>
        <v>4259.9999999999991</v>
      </c>
    </row>
    <row r="23" spans="1:7" x14ac:dyDescent="0.25">
      <c r="A23" s="5">
        <f>SUM($D$3:D23)</f>
        <v>337.99999999999</v>
      </c>
      <c r="B23" s="2"/>
      <c r="C23" s="3">
        <v>51167</v>
      </c>
      <c r="D23">
        <f t="shared" si="0"/>
        <v>4259.9999999999991</v>
      </c>
    </row>
    <row r="24" spans="1:7" x14ac:dyDescent="0.25">
      <c r="A24" s="5">
        <f>SUM($D$3:D24)</f>
        <v>4597.9999999999891</v>
      </c>
      <c r="B24" s="2"/>
      <c r="C24" s="3">
        <v>51533</v>
      </c>
      <c r="D24">
        <f t="shared" si="0"/>
        <v>4259.9999999999991</v>
      </c>
    </row>
    <row r="25" spans="1:7" x14ac:dyDescent="0.25">
      <c r="A25" s="5">
        <f>SUM($D$3:D25)</f>
        <v>8857.9999999999891</v>
      </c>
      <c r="B25" s="2"/>
      <c r="C25" s="3">
        <v>51898</v>
      </c>
      <c r="D25">
        <f t="shared" si="0"/>
        <v>4259.9999999999991</v>
      </c>
    </row>
    <row r="26" spans="1:7" x14ac:dyDescent="0.25">
      <c r="A26" s="5">
        <f>SUM($D$3:D26)</f>
        <v>13117.999999999989</v>
      </c>
      <c r="B26" s="2"/>
      <c r="C26" s="3">
        <v>52263</v>
      </c>
      <c r="D26">
        <f t="shared" si="0"/>
        <v>4259.9999999999991</v>
      </c>
    </row>
    <row r="27" spans="1:7" x14ac:dyDescent="0.25">
      <c r="A27" s="5">
        <f>SUM($D$3:D27)</f>
        <v>17377.999999999989</v>
      </c>
      <c r="B27" s="2"/>
      <c r="C27" s="3">
        <v>52628</v>
      </c>
      <c r="D27">
        <f t="shared" si="0"/>
        <v>4259.9999999999991</v>
      </c>
      <c r="F27" s="6"/>
      <c r="G27" s="6"/>
    </row>
    <row r="28" spans="1:7" x14ac:dyDescent="0.25">
      <c r="A28" s="5">
        <f>SUM($D$3:D28)</f>
        <v>73378</v>
      </c>
      <c r="B28" s="2">
        <f>XIRR(D3:D28,C3:C28)</f>
        <v>6.1669102311134344E-2</v>
      </c>
      <c r="C28" s="3">
        <v>52628</v>
      </c>
      <c r="D28" s="5">
        <f>-$D$3</f>
        <v>56000.000000000007</v>
      </c>
      <c r="E28" s="6" t="s">
        <v>18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K32"/>
  <sheetViews>
    <sheetView topLeftCell="B2" workbookViewId="0">
      <selection activeCell="H21" sqref="H21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45505</v>
      </c>
      <c r="D3" s="5">
        <f>-24%*G4</f>
        <v>-60000</v>
      </c>
      <c r="E3" t="s">
        <v>17</v>
      </c>
      <c r="H3" s="2"/>
      <c r="I3">
        <f>5/12</f>
        <v>0.41666666666666669</v>
      </c>
      <c r="J3" s="2">
        <v>2.5600000000000001E-2</v>
      </c>
      <c r="K3" s="9">
        <f>$G$6*I3*J3</f>
        <v>2026.666666666667</v>
      </c>
    </row>
    <row r="4" spans="1:11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16</v>
      </c>
      <c r="F4" t="s">
        <v>13</v>
      </c>
      <c r="G4" s="7">
        <v>250000</v>
      </c>
      <c r="I4">
        <v>1</v>
      </c>
      <c r="J4" s="2">
        <v>2.3599999999999999E-2</v>
      </c>
      <c r="K4" s="9">
        <f t="shared" ref="K4:K5" si="0">$G$6*I4*J4</f>
        <v>4484</v>
      </c>
    </row>
    <row r="5" spans="1:11" x14ac:dyDescent="0.25">
      <c r="A5" s="5">
        <f>SUM($D$3:D5)</f>
        <v>-56575</v>
      </c>
      <c r="B5" s="2"/>
      <c r="F5" t="s">
        <v>20</v>
      </c>
      <c r="G5" s="2">
        <v>0.03</v>
      </c>
      <c r="I5">
        <v>1</v>
      </c>
      <c r="J5" s="2">
        <f>G5</f>
        <v>0.03</v>
      </c>
      <c r="K5" s="9">
        <f t="shared" si="0"/>
        <v>5700</v>
      </c>
    </row>
    <row r="6" spans="1:11" x14ac:dyDescent="0.25">
      <c r="A6" s="5">
        <f>SUM($D$3:D6)</f>
        <v>-68785.666666666672</v>
      </c>
      <c r="B6" s="2"/>
      <c r="C6" s="3">
        <v>45962</v>
      </c>
      <c r="D6" s="5">
        <f>-SUM(K3:K5)</f>
        <v>-12210.666666666668</v>
      </c>
      <c r="E6" t="s">
        <v>15</v>
      </c>
      <c r="F6" t="s">
        <v>21</v>
      </c>
      <c r="G6" s="7">
        <f>G4+D3</f>
        <v>190000</v>
      </c>
      <c r="J6" s="11"/>
      <c r="K6" s="9"/>
    </row>
    <row r="7" spans="1:11" x14ac:dyDescent="0.25">
      <c r="A7" s="5">
        <f>SUM($D$3:D7)</f>
        <v>-68785.666666666672</v>
      </c>
      <c r="B7" s="2"/>
      <c r="F7" t="s">
        <v>19</v>
      </c>
      <c r="G7" s="2">
        <v>0.02</v>
      </c>
    </row>
    <row r="8" spans="1:11" x14ac:dyDescent="0.25">
      <c r="A8" s="5">
        <f>SUM($D$3:D8)</f>
        <v>-68785.666666666672</v>
      </c>
      <c r="B8" s="2"/>
      <c r="F8" t="s">
        <v>22</v>
      </c>
      <c r="G8" s="2">
        <v>1.37E-2</v>
      </c>
    </row>
    <row r="9" spans="1:11" x14ac:dyDescent="0.25">
      <c r="A9" s="5">
        <f>SUM($D$3:D9)</f>
        <v>-60760.666666666672</v>
      </c>
      <c r="B9" s="2" t="s">
        <v>46</v>
      </c>
      <c r="C9" s="3">
        <v>46419</v>
      </c>
      <c r="D9">
        <f>3.21%*$G$4</f>
        <v>8024.9999999999991</v>
      </c>
      <c r="E9" t="s">
        <v>14</v>
      </c>
      <c r="F9" s="6"/>
      <c r="G9" s="6"/>
    </row>
    <row r="10" spans="1:11" x14ac:dyDescent="0.25">
      <c r="A10" s="5">
        <f>SUM($D$3:D10)</f>
        <v>-60760.666666666672</v>
      </c>
      <c r="B10" s="5">
        <f>A10-D3</f>
        <v>-760.66666666667152</v>
      </c>
      <c r="C10" s="3">
        <v>46419</v>
      </c>
      <c r="D10" s="5">
        <f>-$D$3*0</f>
        <v>0</v>
      </c>
      <c r="E10" s="6" t="s">
        <v>26</v>
      </c>
    </row>
    <row r="11" spans="1:11" x14ac:dyDescent="0.25">
      <c r="A11" s="5" t="s">
        <v>53</v>
      </c>
      <c r="B11" s="5"/>
      <c r="D11" s="5"/>
      <c r="E11" s="6"/>
    </row>
    <row r="12" spans="1:11" x14ac:dyDescent="0.25">
      <c r="A12" s="5">
        <f>SUM($D$3:D12)</f>
        <v>-56535.666666666672</v>
      </c>
      <c r="B12" s="2"/>
      <c r="C12" s="3">
        <v>46784</v>
      </c>
      <c r="D12">
        <f t="shared" ref="D12:D28" si="1">3.21%*$G$4-$G$7*$G$6</f>
        <v>4224.9999999999991</v>
      </c>
      <c r="E12" t="s">
        <v>45</v>
      </c>
      <c r="F12" s="8"/>
      <c r="G12" s="8"/>
      <c r="H12" s="8"/>
      <c r="I12" s="8"/>
    </row>
    <row r="13" spans="1:11" x14ac:dyDescent="0.25">
      <c r="A13" s="5">
        <f>SUM($D$3:D13)</f>
        <v>-52310.666666666672</v>
      </c>
      <c r="B13" s="2"/>
      <c r="C13" s="3">
        <v>47150</v>
      </c>
      <c r="D13">
        <f t="shared" si="1"/>
        <v>4224.9999999999991</v>
      </c>
      <c r="F13" s="8"/>
      <c r="G13" s="8"/>
      <c r="H13" s="8"/>
      <c r="I13" s="8"/>
    </row>
    <row r="14" spans="1:11" x14ac:dyDescent="0.25">
      <c r="A14" s="5">
        <f>SUM($D$3:D14)</f>
        <v>-48085.666666666672</v>
      </c>
      <c r="B14" s="2"/>
      <c r="C14" s="3">
        <v>47515</v>
      </c>
      <c r="D14">
        <f t="shared" si="1"/>
        <v>4224.9999999999991</v>
      </c>
      <c r="H14" s="8"/>
      <c r="I14" s="8"/>
    </row>
    <row r="15" spans="1:11" x14ac:dyDescent="0.25">
      <c r="A15" s="5">
        <f>SUM($D$3:D15)</f>
        <v>-43860.666666666672</v>
      </c>
      <c r="B15" s="8" t="s">
        <v>68</v>
      </c>
      <c r="C15" s="3">
        <v>47880</v>
      </c>
      <c r="D15">
        <f t="shared" si="1"/>
        <v>4224.9999999999991</v>
      </c>
    </row>
    <row r="16" spans="1:11" x14ac:dyDescent="0.25">
      <c r="A16" s="5">
        <f>SUM($D$3:D16)</f>
        <v>-39635.666666666672</v>
      </c>
      <c r="B16" s="30">
        <f>-D16/D3</f>
        <v>7.0416666666666655E-2</v>
      </c>
      <c r="C16" s="3">
        <v>48245</v>
      </c>
      <c r="D16">
        <f t="shared" si="1"/>
        <v>4224.9999999999991</v>
      </c>
    </row>
    <row r="17" spans="1:7" x14ac:dyDescent="0.25">
      <c r="A17" s="5">
        <f>SUM($D$3:D17)</f>
        <v>-35410.666666666672</v>
      </c>
      <c r="B17" s="2"/>
      <c r="C17" s="3">
        <v>48611</v>
      </c>
      <c r="D17">
        <f t="shared" si="1"/>
        <v>4224.9999999999991</v>
      </c>
    </row>
    <row r="18" spans="1:7" x14ac:dyDescent="0.25">
      <c r="A18" s="5">
        <f>SUM($D$3:D18)</f>
        <v>-31185.666666666672</v>
      </c>
      <c r="B18" s="2"/>
      <c r="C18" s="3">
        <v>48976</v>
      </c>
      <c r="D18">
        <f t="shared" si="1"/>
        <v>4224.9999999999991</v>
      </c>
    </row>
    <row r="19" spans="1:7" x14ac:dyDescent="0.25">
      <c r="A19" s="5">
        <f>SUM($D$3:D19)</f>
        <v>-26960.666666666672</v>
      </c>
      <c r="B19" s="2"/>
      <c r="C19" s="3">
        <v>49341</v>
      </c>
      <c r="D19">
        <f t="shared" si="1"/>
        <v>4224.9999999999991</v>
      </c>
    </row>
    <row r="20" spans="1:7" x14ac:dyDescent="0.25">
      <c r="A20" s="5">
        <f>SUM($D$3:D20)</f>
        <v>-22735.666666666672</v>
      </c>
      <c r="B20" s="2"/>
      <c r="C20" s="3">
        <v>49706</v>
      </c>
      <c r="D20">
        <f t="shared" si="1"/>
        <v>4224.9999999999991</v>
      </c>
    </row>
    <row r="21" spans="1:7" x14ac:dyDescent="0.25">
      <c r="A21" s="5">
        <f>SUM($D$3:D21)</f>
        <v>-18510.666666666672</v>
      </c>
      <c r="B21" s="2"/>
      <c r="C21" s="3">
        <v>50072</v>
      </c>
      <c r="D21">
        <f t="shared" si="1"/>
        <v>4224.9999999999991</v>
      </c>
    </row>
    <row r="22" spans="1:7" x14ac:dyDescent="0.25">
      <c r="A22" s="5">
        <f>SUM($D$3:D22)</f>
        <v>-14285.666666666672</v>
      </c>
      <c r="B22" s="2"/>
      <c r="C22" s="3">
        <v>50437</v>
      </c>
      <c r="D22">
        <f t="shared" si="1"/>
        <v>4224.9999999999991</v>
      </c>
    </row>
    <row r="23" spans="1:7" x14ac:dyDescent="0.25">
      <c r="A23" s="5">
        <f>SUM($D$3:D23)</f>
        <v>-10060.666666666672</v>
      </c>
      <c r="B23" s="2"/>
      <c r="C23" s="3">
        <v>50802</v>
      </c>
      <c r="D23">
        <f t="shared" si="1"/>
        <v>4224.9999999999991</v>
      </c>
    </row>
    <row r="24" spans="1:7" x14ac:dyDescent="0.25">
      <c r="A24" s="5">
        <f>SUM($D$3:D24)</f>
        <v>-5835.6666666666724</v>
      </c>
      <c r="B24" s="2"/>
      <c r="C24" s="3">
        <v>51167</v>
      </c>
      <c r="D24">
        <f t="shared" si="1"/>
        <v>4224.9999999999991</v>
      </c>
    </row>
    <row r="25" spans="1:7" x14ac:dyDescent="0.25">
      <c r="A25" s="5">
        <f>SUM($D$3:D25)</f>
        <v>-1610.6666666666733</v>
      </c>
      <c r="B25" s="2"/>
      <c r="C25" s="3">
        <v>51533</v>
      </c>
      <c r="D25">
        <f t="shared" si="1"/>
        <v>4224.9999999999991</v>
      </c>
    </row>
    <row r="26" spans="1:7" x14ac:dyDescent="0.25">
      <c r="A26" s="5">
        <f>SUM($D$3:D26)</f>
        <v>2614.3333333333258</v>
      </c>
      <c r="B26" s="2"/>
      <c r="C26" s="3">
        <v>51898</v>
      </c>
      <c r="D26">
        <f t="shared" si="1"/>
        <v>4224.9999999999991</v>
      </c>
    </row>
    <row r="27" spans="1:7" x14ac:dyDescent="0.25">
      <c r="A27" s="5">
        <f>SUM($D$3:D27)</f>
        <v>6839.3333333333248</v>
      </c>
      <c r="B27" s="2"/>
      <c r="C27" s="3">
        <v>52263</v>
      </c>
      <c r="D27">
        <f t="shared" si="1"/>
        <v>4224.9999999999991</v>
      </c>
    </row>
    <row r="28" spans="1:7" x14ac:dyDescent="0.25">
      <c r="A28" s="5">
        <f>SUM($D$3:D28)</f>
        <v>11064.333333333325</v>
      </c>
      <c r="B28" s="2" t="s">
        <v>69</v>
      </c>
      <c r="C28" s="3">
        <v>52628</v>
      </c>
      <c r="D28">
        <f t="shared" si="1"/>
        <v>4224.9999999999991</v>
      </c>
      <c r="F28" s="6"/>
      <c r="G28" s="6"/>
    </row>
    <row r="29" spans="1:7" x14ac:dyDescent="0.25">
      <c r="A29" s="5">
        <f>SUM($D$3:D29)</f>
        <v>71064.333333333328</v>
      </c>
      <c r="B29" s="2">
        <f>XIRR(D3:D29,C3:C29)</f>
        <v>5.5293753743171678E-2</v>
      </c>
      <c r="C29" s="3">
        <v>52628</v>
      </c>
      <c r="D29" s="5">
        <f>-$D$3</f>
        <v>60000</v>
      </c>
      <c r="E29" s="6" t="s">
        <v>26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7850-337E-4794-9D5F-A7B4C9250F19}">
  <dimension ref="A2:K32"/>
  <sheetViews>
    <sheetView tabSelected="1" topLeftCell="A2" workbookViewId="0">
      <selection activeCell="D3" sqref="D3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  <col min="10" max="10" width="7.140625" bestFit="1" customWidth="1"/>
    <col min="11" max="11" width="6" style="20" bestFit="1" customWidth="1"/>
  </cols>
  <sheetData>
    <row r="2" spans="1:11" x14ac:dyDescent="0.25">
      <c r="A2" t="s">
        <v>12</v>
      </c>
      <c r="B2" t="s">
        <v>6</v>
      </c>
      <c r="C2" s="4"/>
      <c r="D2" t="s">
        <v>2</v>
      </c>
    </row>
    <row r="3" spans="1:11" x14ac:dyDescent="0.25">
      <c r="A3" s="5"/>
      <c r="B3" s="2"/>
      <c r="C3" s="3">
        <v>45536</v>
      </c>
      <c r="D3" s="5">
        <f>-24%*G4</f>
        <v>-60240</v>
      </c>
      <c r="E3" t="s">
        <v>59</v>
      </c>
      <c r="I3">
        <f>4/12</f>
        <v>0.33333333333333331</v>
      </c>
      <c r="J3" s="2">
        <v>2.5499999999999998E-2</v>
      </c>
      <c r="K3" s="20">
        <f>$G$6*I3*J3</f>
        <v>1621.4599999999998</v>
      </c>
    </row>
    <row r="4" spans="1:11" x14ac:dyDescent="0.25">
      <c r="A4" s="5">
        <f>SUM($D$3:D4)</f>
        <v>-55546.3</v>
      </c>
      <c r="B4" s="2"/>
      <c r="C4" s="3">
        <v>45597</v>
      </c>
      <c r="D4" s="10">
        <f>G8*G4</f>
        <v>4693.7000000000007</v>
      </c>
      <c r="E4" t="s">
        <v>60</v>
      </c>
      <c r="F4" t="s">
        <v>64</v>
      </c>
      <c r="G4" s="7">
        <v>251000</v>
      </c>
      <c r="I4">
        <v>1</v>
      </c>
      <c r="J4" s="2">
        <v>2.3599999999999999E-2</v>
      </c>
      <c r="K4" s="20">
        <f>$G$6*I4*J4</f>
        <v>4501.9359999999997</v>
      </c>
    </row>
    <row r="5" spans="1:11" x14ac:dyDescent="0.25">
      <c r="A5" s="5">
        <f>SUM($D$3:D5)</f>
        <v>-55546.3</v>
      </c>
      <c r="B5" s="2"/>
      <c r="F5" t="s">
        <v>65</v>
      </c>
      <c r="G5" s="2">
        <v>0.03</v>
      </c>
      <c r="I5">
        <f>19/12</f>
        <v>1.5833333333333333</v>
      </c>
      <c r="J5" s="2">
        <f>G5</f>
        <v>0.03</v>
      </c>
      <c r="K5" s="20">
        <f>$G$6*I5*J5</f>
        <v>9061.0999999999985</v>
      </c>
    </row>
    <row r="6" spans="1:11" x14ac:dyDescent="0.25">
      <c r="A6" s="5">
        <f>SUM($D$3:D6)</f>
        <v>-70730.796000000002</v>
      </c>
      <c r="B6" s="2"/>
      <c r="C6" s="3">
        <v>46082</v>
      </c>
      <c r="D6" s="20">
        <f>-K6</f>
        <v>-15184.495999999999</v>
      </c>
      <c r="E6" t="s">
        <v>63</v>
      </c>
      <c r="F6" t="s">
        <v>21</v>
      </c>
      <c r="G6" s="7">
        <f>G4+D3</f>
        <v>190760</v>
      </c>
      <c r="J6" s="11"/>
      <c r="K6" s="20">
        <f>SUM(K3:K5)</f>
        <v>15184.495999999999</v>
      </c>
    </row>
    <row r="7" spans="1:11" x14ac:dyDescent="0.25">
      <c r="A7" s="5">
        <f>SUM($D$3:D7)</f>
        <v>-70730.796000000002</v>
      </c>
      <c r="B7" s="2"/>
      <c r="F7" t="s">
        <v>19</v>
      </c>
      <c r="G7" s="2">
        <v>0.02</v>
      </c>
    </row>
    <row r="8" spans="1:11" x14ac:dyDescent="0.25">
      <c r="A8" s="5">
        <f>SUM($D$3:D8)</f>
        <v>-70730.796000000002</v>
      </c>
      <c r="B8" s="2"/>
      <c r="F8" t="s">
        <v>22</v>
      </c>
      <c r="G8" s="2">
        <v>1.8700000000000001E-2</v>
      </c>
    </row>
    <row r="9" spans="1:11" x14ac:dyDescent="0.25">
      <c r="A9" s="5">
        <f>SUM($D$3:D9)</f>
        <v>-62246.995999999999</v>
      </c>
      <c r="B9" s="2" t="s">
        <v>46</v>
      </c>
      <c r="C9" s="3">
        <v>46661</v>
      </c>
      <c r="D9" s="20">
        <f>3.38%*$G$4</f>
        <v>8483.7999999999993</v>
      </c>
      <c r="E9" t="s">
        <v>61</v>
      </c>
      <c r="F9" s="6"/>
      <c r="G9" s="6"/>
    </row>
    <row r="10" spans="1:11" x14ac:dyDescent="0.25">
      <c r="A10" s="5">
        <f>SUM($D$3:D10)</f>
        <v>-62246.995999999999</v>
      </c>
      <c r="B10" s="5">
        <f>A10-D3</f>
        <v>-2006.9959999999992</v>
      </c>
      <c r="C10" s="3">
        <v>46661</v>
      </c>
      <c r="D10" s="20">
        <f>-$D$3*0</f>
        <v>0</v>
      </c>
      <c r="E10" s="6" t="s">
        <v>62</v>
      </c>
    </row>
    <row r="11" spans="1:11" x14ac:dyDescent="0.25">
      <c r="A11" s="5" t="s">
        <v>53</v>
      </c>
      <c r="B11" s="5"/>
      <c r="D11" s="20"/>
      <c r="E11" s="6"/>
    </row>
    <row r="12" spans="1:11" x14ac:dyDescent="0.25">
      <c r="A12" s="5">
        <f>SUM($D$3:D12)</f>
        <v>-57578.396000000001</v>
      </c>
      <c r="B12" s="2"/>
      <c r="C12" s="3">
        <v>47027</v>
      </c>
      <c r="D12" s="20">
        <f>3.38%*$G$4-$G$7*$G$6</f>
        <v>4668.5999999999985</v>
      </c>
      <c r="E12" t="s">
        <v>45</v>
      </c>
      <c r="F12" s="8"/>
      <c r="G12" s="8"/>
      <c r="H12" s="8"/>
      <c r="I12" s="8"/>
    </row>
    <row r="13" spans="1:11" x14ac:dyDescent="0.25">
      <c r="A13" s="5">
        <f>SUM($D$3:D13)</f>
        <v>-52909.796000000002</v>
      </c>
      <c r="B13" s="2"/>
      <c r="C13" s="3">
        <v>47392</v>
      </c>
      <c r="D13" s="20">
        <f t="shared" ref="D13:D28" si="0">3.38%*$G$4-$G$7*$G$6</f>
        <v>4668.5999999999985</v>
      </c>
      <c r="F13" s="8"/>
      <c r="G13" s="8"/>
      <c r="H13" s="8"/>
      <c r="I13" s="8"/>
    </row>
    <row r="14" spans="1:11" x14ac:dyDescent="0.25">
      <c r="A14" s="5">
        <f>SUM($D$3:D14)</f>
        <v>-48241.196000000004</v>
      </c>
      <c r="B14" s="2"/>
      <c r="C14" s="3">
        <v>47757</v>
      </c>
      <c r="D14" s="20">
        <f t="shared" si="0"/>
        <v>4668.5999999999985</v>
      </c>
      <c r="H14" s="8"/>
      <c r="I14" s="8"/>
    </row>
    <row r="15" spans="1:11" x14ac:dyDescent="0.25">
      <c r="A15" s="5">
        <f>SUM($D$3:D15)</f>
        <v>-43572.596000000005</v>
      </c>
      <c r="B15" s="8" t="s">
        <v>66</v>
      </c>
      <c r="C15" s="3">
        <v>48122</v>
      </c>
      <c r="D15" s="20">
        <f t="shared" si="0"/>
        <v>4668.5999999999985</v>
      </c>
    </row>
    <row r="16" spans="1:11" x14ac:dyDescent="0.25">
      <c r="A16" s="5">
        <f>SUM($D$3:D16)</f>
        <v>-38903.996000000006</v>
      </c>
      <c r="B16" s="30">
        <f>-D16/D3</f>
        <v>7.7499999999999972E-2</v>
      </c>
      <c r="C16" s="3">
        <v>48488</v>
      </c>
      <c r="D16" s="20">
        <f t="shared" si="0"/>
        <v>4668.5999999999985</v>
      </c>
    </row>
    <row r="17" spans="1:7" x14ac:dyDescent="0.25">
      <c r="A17" s="5">
        <f>SUM($D$3:D17)</f>
        <v>-34235.396000000008</v>
      </c>
      <c r="B17" s="2"/>
      <c r="C17" s="3">
        <v>48853</v>
      </c>
      <c r="D17" s="20">
        <f t="shared" si="0"/>
        <v>4668.5999999999985</v>
      </c>
    </row>
    <row r="18" spans="1:7" x14ac:dyDescent="0.25">
      <c r="A18" s="5">
        <f>SUM($D$3:D18)</f>
        <v>-29566.796000000009</v>
      </c>
      <c r="B18" s="2"/>
      <c r="C18" s="3">
        <v>49218</v>
      </c>
      <c r="D18" s="20">
        <f t="shared" si="0"/>
        <v>4668.5999999999985</v>
      </c>
    </row>
    <row r="19" spans="1:7" x14ac:dyDescent="0.25">
      <c r="A19" s="5">
        <f>SUM($D$3:D19)</f>
        <v>-24898.196000000011</v>
      </c>
      <c r="B19" s="2"/>
      <c r="C19" s="3">
        <v>49583</v>
      </c>
      <c r="D19" s="20">
        <f t="shared" si="0"/>
        <v>4668.5999999999985</v>
      </c>
    </row>
    <row r="20" spans="1:7" x14ac:dyDescent="0.25">
      <c r="A20" s="5">
        <f>SUM($D$3:D20)</f>
        <v>-20229.596000000012</v>
      </c>
      <c r="B20" s="2"/>
      <c r="C20" s="3">
        <v>49949</v>
      </c>
      <c r="D20" s="20">
        <f t="shared" si="0"/>
        <v>4668.5999999999985</v>
      </c>
    </row>
    <row r="21" spans="1:7" x14ac:dyDescent="0.25">
      <c r="A21" s="5">
        <f>SUM($D$3:D21)</f>
        <v>-15560.996000000014</v>
      </c>
      <c r="B21" s="2"/>
      <c r="C21" s="3">
        <v>50314</v>
      </c>
      <c r="D21" s="20">
        <f t="shared" si="0"/>
        <v>4668.5999999999985</v>
      </c>
    </row>
    <row r="22" spans="1:7" x14ac:dyDescent="0.25">
      <c r="A22" s="5">
        <f>SUM($D$3:D22)</f>
        <v>-10892.396000000015</v>
      </c>
      <c r="B22" s="2"/>
      <c r="C22" s="3">
        <v>50679</v>
      </c>
      <c r="D22" s="20">
        <f t="shared" si="0"/>
        <v>4668.5999999999985</v>
      </c>
    </row>
    <row r="23" spans="1:7" x14ac:dyDescent="0.25">
      <c r="A23" s="5">
        <f>SUM($D$3:D23)</f>
        <v>-6223.7960000000166</v>
      </c>
      <c r="B23" s="2"/>
      <c r="C23" s="3">
        <v>51044</v>
      </c>
      <c r="D23" s="20">
        <f t="shared" si="0"/>
        <v>4668.5999999999985</v>
      </c>
    </row>
    <row r="24" spans="1:7" x14ac:dyDescent="0.25">
      <c r="A24" s="5">
        <f>SUM($D$3:D24)</f>
        <v>-1555.1960000000181</v>
      </c>
      <c r="B24" s="2"/>
      <c r="C24" s="3">
        <v>51410</v>
      </c>
      <c r="D24" s="20">
        <f t="shared" si="0"/>
        <v>4668.5999999999985</v>
      </c>
    </row>
    <row r="25" spans="1:7" x14ac:dyDescent="0.25">
      <c r="A25" s="5">
        <f>SUM($D$3:D25)</f>
        <v>3113.4039999999804</v>
      </c>
      <c r="B25" s="2"/>
      <c r="C25" s="3">
        <v>51775</v>
      </c>
      <c r="D25" s="20">
        <f t="shared" si="0"/>
        <v>4668.5999999999985</v>
      </c>
    </row>
    <row r="26" spans="1:7" x14ac:dyDescent="0.25">
      <c r="A26" s="5">
        <f>SUM($D$3:D26)</f>
        <v>7782.003999999979</v>
      </c>
      <c r="B26" s="2"/>
      <c r="C26" s="3">
        <v>52140</v>
      </c>
      <c r="D26" s="20">
        <f t="shared" si="0"/>
        <v>4668.5999999999985</v>
      </c>
    </row>
    <row r="27" spans="1:7" x14ac:dyDescent="0.25">
      <c r="A27" s="5">
        <f>SUM($D$3:D27)</f>
        <v>12450.603999999978</v>
      </c>
      <c r="B27" s="2"/>
      <c r="C27" s="3">
        <v>52505</v>
      </c>
      <c r="D27" s="20">
        <f t="shared" si="0"/>
        <v>4668.5999999999985</v>
      </c>
    </row>
    <row r="28" spans="1:7" x14ac:dyDescent="0.25">
      <c r="A28" s="5">
        <f>SUM($D$3:D28)</f>
        <v>17119.203999999976</v>
      </c>
      <c r="B28" s="2" t="s">
        <v>67</v>
      </c>
      <c r="C28" s="3">
        <v>52871</v>
      </c>
      <c r="D28" s="20">
        <f t="shared" si="0"/>
        <v>4668.5999999999985</v>
      </c>
      <c r="F28" s="6"/>
      <c r="G28" s="6"/>
    </row>
    <row r="29" spans="1:7" x14ac:dyDescent="0.25">
      <c r="A29" s="5">
        <f>SUM($D$3:D29)</f>
        <v>77359.203999999969</v>
      </c>
      <c r="B29" s="2">
        <f>XIRR(D3:D29,C3:C29)</f>
        <v>5.635922253131867E-2</v>
      </c>
      <c r="C29" s="3">
        <v>52871</v>
      </c>
      <c r="D29" s="20">
        <f>-D3</f>
        <v>60240</v>
      </c>
      <c r="E29" s="6" t="s">
        <v>62</v>
      </c>
    </row>
    <row r="30" spans="1:7" x14ac:dyDescent="0.25">
      <c r="A30" s="5"/>
      <c r="B30" s="2"/>
    </row>
    <row r="32" spans="1:7" x14ac:dyDescent="0.25">
      <c r="A32" s="5"/>
      <c r="B32" s="2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2:G30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-30078.95</v>
      </c>
      <c r="B3" s="2"/>
      <c r="C3" s="3">
        <v>45505</v>
      </c>
      <c r="D3" s="20">
        <f>-$G$3/5</f>
        <v>-30078.95</v>
      </c>
      <c r="F3" t="s">
        <v>0</v>
      </c>
      <c r="G3">
        <f>150394.75</f>
        <v>150394.75</v>
      </c>
    </row>
    <row r="4" spans="1:7" x14ac:dyDescent="0.25">
      <c r="A4" s="5">
        <f>SUM($D$2:D4)</f>
        <v>-27371.844499999999</v>
      </c>
      <c r="B4" s="2"/>
      <c r="C4" s="3">
        <v>45566</v>
      </c>
      <c r="D4" s="20">
        <f>1.8%*G3</f>
        <v>2707.1055000000001</v>
      </c>
      <c r="E4" t="s">
        <v>3</v>
      </c>
      <c r="G4" s="5"/>
    </row>
    <row r="5" spans="1:7" x14ac:dyDescent="0.25">
      <c r="A5" s="5">
        <f>SUM($D$2:D5)</f>
        <v>-57450.794500000004</v>
      </c>
      <c r="B5" s="2"/>
      <c r="C5" s="3">
        <v>45870</v>
      </c>
      <c r="D5" s="20">
        <f>-$G$3/5</f>
        <v>-30078.95</v>
      </c>
    </row>
    <row r="6" spans="1:7" x14ac:dyDescent="0.25">
      <c r="A6" s="5">
        <f>SUM($D$2:D6)</f>
        <v>-55570.860125000007</v>
      </c>
      <c r="B6" s="2"/>
      <c r="C6" s="3">
        <v>45870</v>
      </c>
      <c r="D6" s="20">
        <f>(0.0425-0.03)*G3</f>
        <v>1879.9343750000007</v>
      </c>
      <c r="E6" t="s">
        <v>55</v>
      </c>
    </row>
    <row r="7" spans="1:7" x14ac:dyDescent="0.25">
      <c r="A7" s="5">
        <f>SUM($D$2:D7)</f>
        <v>-85649.810125000004</v>
      </c>
      <c r="B7" s="2"/>
      <c r="C7" s="3">
        <v>46235</v>
      </c>
      <c r="D7" s="20">
        <f>-$G$3/5</f>
        <v>-30078.95</v>
      </c>
    </row>
    <row r="8" spans="1:7" x14ac:dyDescent="0.25">
      <c r="A8" s="5">
        <f>SUM($D$2:D8)</f>
        <v>-115728.760125</v>
      </c>
      <c r="B8" s="2"/>
      <c r="C8" s="3">
        <v>46600</v>
      </c>
      <c r="D8" s="20">
        <f>-$G$3/5</f>
        <v>-30078.95</v>
      </c>
    </row>
    <row r="9" spans="1:7" x14ac:dyDescent="0.25">
      <c r="A9" s="5">
        <f>SUM($D$2:D9)</f>
        <v>-145807.71012500001</v>
      </c>
      <c r="B9" s="2"/>
      <c r="C9" s="3">
        <v>46966</v>
      </c>
      <c r="D9" s="20">
        <f>-$G$3/5</f>
        <v>-30078.95</v>
      </c>
    </row>
    <row r="10" spans="1:7" x14ac:dyDescent="0.25">
      <c r="A10" s="5"/>
      <c r="B10" s="2"/>
    </row>
    <row r="11" spans="1:7" x14ac:dyDescent="0.25">
      <c r="A11" s="5">
        <f>SUM($D$2:D11)</f>
        <v>-140707.82415250002</v>
      </c>
      <c r="B11" s="2" t="s">
        <v>1</v>
      </c>
      <c r="C11" s="3">
        <v>47331</v>
      </c>
      <c r="D11" s="20">
        <f>$G$3*0.03391</f>
        <v>5099.8859725000002</v>
      </c>
      <c r="E11" t="s">
        <v>8</v>
      </c>
    </row>
    <row r="12" spans="1:7" x14ac:dyDescent="0.25">
      <c r="A12" s="5">
        <f>SUM($D$2:D12)</f>
        <v>14198.768347499979</v>
      </c>
      <c r="B12" s="2">
        <f>XIRR($D$3:D12,$C$3:C12)</f>
        <v>3.1607630848884585E-2</v>
      </c>
      <c r="C12" s="3">
        <v>47331</v>
      </c>
      <c r="D12" s="20">
        <f>$G$3*1.03</f>
        <v>154906.5925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19298.65431999998</v>
      </c>
      <c r="B14" s="2"/>
      <c r="C14" s="3">
        <v>47696</v>
      </c>
      <c r="D14" s="20">
        <f>$G$3*0.03391</f>
        <v>5099.8859725000002</v>
      </c>
    </row>
    <row r="15" spans="1:7" x14ac:dyDescent="0.25">
      <c r="A15" s="5">
        <f>SUM($D$2:D15)</f>
        <v>24398.54029249998</v>
      </c>
      <c r="B15" s="2"/>
      <c r="C15" s="3">
        <v>48061</v>
      </c>
      <c r="D15" s="20">
        <f t="shared" ref="D15:D28" si="0">$G$3*0.03391</f>
        <v>5099.8859725000002</v>
      </c>
    </row>
    <row r="16" spans="1:7" x14ac:dyDescent="0.25">
      <c r="A16" s="5">
        <f>SUM($D$2:D16)</f>
        <v>29498.42626499998</v>
      </c>
      <c r="B16" s="2"/>
      <c r="C16" s="3">
        <v>48427</v>
      </c>
      <c r="D16" s="20">
        <f t="shared" si="0"/>
        <v>5099.8859725000002</v>
      </c>
    </row>
    <row r="17" spans="1:5" x14ac:dyDescent="0.25">
      <c r="A17" s="5">
        <f>SUM($D$2:D17)</f>
        <v>34598.31223749998</v>
      </c>
      <c r="B17" s="2"/>
      <c r="C17" s="3">
        <v>48792</v>
      </c>
      <c r="D17" s="20">
        <f t="shared" si="0"/>
        <v>5099.8859725000002</v>
      </c>
    </row>
    <row r="18" spans="1:5" x14ac:dyDescent="0.25">
      <c r="A18" s="5">
        <f>SUM($D$2:D18)</f>
        <v>39698.19820999998</v>
      </c>
      <c r="B18" s="2"/>
      <c r="C18" s="3">
        <v>49157</v>
      </c>
      <c r="D18" s="20">
        <f t="shared" si="0"/>
        <v>5099.8859725000002</v>
      </c>
    </row>
    <row r="19" spans="1:5" x14ac:dyDescent="0.25">
      <c r="A19" s="5">
        <f>SUM($D$2:D19)</f>
        <v>44798.084182499981</v>
      </c>
      <c r="B19" s="2"/>
      <c r="C19" s="3">
        <v>49522</v>
      </c>
      <c r="D19" s="20">
        <f t="shared" si="0"/>
        <v>5099.8859725000002</v>
      </c>
    </row>
    <row r="20" spans="1:5" x14ac:dyDescent="0.25">
      <c r="A20" s="5">
        <f>SUM($D$2:D20)</f>
        <v>49897.970154999981</v>
      </c>
      <c r="B20" s="2"/>
      <c r="C20" s="3">
        <v>49888</v>
      </c>
      <c r="D20" s="20">
        <f t="shared" si="0"/>
        <v>5099.8859725000002</v>
      </c>
    </row>
    <row r="21" spans="1:5" x14ac:dyDescent="0.25">
      <c r="A21" s="5">
        <f>SUM($D$2:D21)</f>
        <v>54997.856127499981</v>
      </c>
      <c r="B21" s="2"/>
      <c r="C21" s="3">
        <v>50253</v>
      </c>
      <c r="D21" s="20">
        <f t="shared" si="0"/>
        <v>5099.8859725000002</v>
      </c>
    </row>
    <row r="22" spans="1:5" x14ac:dyDescent="0.25">
      <c r="A22" s="5">
        <f>SUM($D$2:D22)</f>
        <v>60097.742099999981</v>
      </c>
      <c r="B22" s="2"/>
      <c r="C22" s="3">
        <v>50618</v>
      </c>
      <c r="D22" s="20">
        <f t="shared" si="0"/>
        <v>5099.8859725000002</v>
      </c>
    </row>
    <row r="23" spans="1:5" x14ac:dyDescent="0.25">
      <c r="A23" s="5">
        <f>SUM($D$2:D23)</f>
        <v>65197.628072499981</v>
      </c>
      <c r="B23" s="2"/>
      <c r="C23" s="3">
        <v>50983</v>
      </c>
      <c r="D23" s="20">
        <f t="shared" si="0"/>
        <v>5099.8859725000002</v>
      </c>
    </row>
    <row r="24" spans="1:5" x14ac:dyDescent="0.25">
      <c r="A24" s="5">
        <f>SUM($D$2:D24)</f>
        <v>70297.514044999989</v>
      </c>
      <c r="B24" s="2"/>
      <c r="C24" s="3">
        <v>51349</v>
      </c>
      <c r="D24" s="20">
        <f t="shared" si="0"/>
        <v>5099.8859725000002</v>
      </c>
    </row>
    <row r="25" spans="1:5" x14ac:dyDescent="0.25">
      <c r="A25" s="5">
        <f>SUM($D$2:D25)</f>
        <v>75397.400017499982</v>
      </c>
      <c r="B25" s="2"/>
      <c r="C25" s="3">
        <v>51714</v>
      </c>
      <c r="D25" s="20">
        <f t="shared" si="0"/>
        <v>5099.8859725000002</v>
      </c>
    </row>
    <row r="26" spans="1:5" x14ac:dyDescent="0.25">
      <c r="A26" s="5">
        <f>SUM($D$2:D26)</f>
        <v>80497.285989999975</v>
      </c>
      <c r="B26" s="2"/>
      <c r="C26" s="3">
        <v>52079</v>
      </c>
      <c r="D26" s="20">
        <f t="shared" si="0"/>
        <v>5099.8859725000002</v>
      </c>
    </row>
    <row r="27" spans="1:5" x14ac:dyDescent="0.25">
      <c r="A27" s="5">
        <f>SUM($D$2:D27)</f>
        <v>85597.171962499968</v>
      </c>
      <c r="B27" s="2"/>
      <c r="C27" s="3">
        <v>52444</v>
      </c>
      <c r="D27" s="20">
        <f t="shared" si="0"/>
        <v>5099.8859725000002</v>
      </c>
    </row>
    <row r="28" spans="1:5" x14ac:dyDescent="0.25">
      <c r="A28" s="5">
        <f>SUM($D$2:D28)</f>
        <v>90697.057934999961</v>
      </c>
      <c r="B28" s="2"/>
      <c r="C28" s="3">
        <v>52810</v>
      </c>
      <c r="D28" s="20">
        <f t="shared" si="0"/>
        <v>5099.8859725000002</v>
      </c>
    </row>
    <row r="29" spans="1:5" x14ac:dyDescent="0.25">
      <c r="A29" s="5">
        <f>SUM($D$2:D29)</f>
        <v>95208.90043499996</v>
      </c>
      <c r="C29" s="3">
        <v>52810</v>
      </c>
      <c r="D29" s="20">
        <f>$G$3*3%</f>
        <v>4511.8424999999997</v>
      </c>
      <c r="E29" t="s">
        <v>11</v>
      </c>
    </row>
    <row r="30" spans="1:5" x14ac:dyDescent="0.25">
      <c r="A30" s="5">
        <f>SUM($D$2:D30)</f>
        <v>245603.65043499996</v>
      </c>
      <c r="B30" s="24">
        <f>IF(0=D12,XIRR(D3:D30,C3:C30),0)</f>
        <v>0</v>
      </c>
      <c r="C30" s="3">
        <v>52810</v>
      </c>
      <c r="D30" s="20">
        <f>$G$3</f>
        <v>150394.75</v>
      </c>
      <c r="E30" t="s">
        <v>9</v>
      </c>
    </row>
  </sheetData>
  <pageMargins left="0.7" right="0.7" top="0.75" bottom="0.75" header="0.3" footer="0.3"/>
  <pageSetup orientation="portrait" horizontalDpi="4294967293" r:id="rId1"/>
  <ignoredErrors>
    <ignoredError sqref="D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topLeftCell="B1" workbookViewId="0">
      <selection activeCell="N28" sqref="N28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35</v>
      </c>
      <c r="C2" s="15"/>
      <c r="D2" s="14" t="s">
        <v>30</v>
      </c>
      <c r="E2" s="14" t="s">
        <v>27</v>
      </c>
      <c r="F2" s="14" t="s">
        <v>28</v>
      </c>
      <c r="G2" s="14" t="s">
        <v>34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33</v>
      </c>
      <c r="I3" s="8"/>
    </row>
    <row r="4" spans="2:11" x14ac:dyDescent="0.25">
      <c r="B4" s="14"/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32</v>
      </c>
      <c r="I4" s="8"/>
    </row>
    <row r="5" spans="2:11" x14ac:dyDescent="0.25">
      <c r="B5" s="14"/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SUM($D$6:D6)</f>
        <v>-60000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38</v>
      </c>
      <c r="I6" s="8"/>
    </row>
    <row r="7" spans="2:11" x14ac:dyDescent="0.25">
      <c r="B7" s="14">
        <f>SUM($D$6:D7)</f>
        <v>-56575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24</v>
      </c>
      <c r="I7" s="8"/>
      <c r="J7" t="s">
        <v>10</v>
      </c>
      <c r="K7" s="18">
        <v>150394.75</v>
      </c>
    </row>
    <row r="8" spans="2:11" x14ac:dyDescent="0.25">
      <c r="B8" s="14">
        <f>SUM($D$6:D8)</f>
        <v>-86653.95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SUM($D$6:D9)</f>
        <v>-83946.844499999992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23</v>
      </c>
      <c r="I9" s="8"/>
      <c r="J9" t="s">
        <v>13</v>
      </c>
      <c r="K9" s="5">
        <v>250000</v>
      </c>
    </row>
    <row r="10" spans="2:11" x14ac:dyDescent="0.25">
      <c r="B10" s="14">
        <f>SUM($D$6:D10)</f>
        <v>-134012.51116666666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29</v>
      </c>
      <c r="K10" s="5">
        <f>K9+F6</f>
        <v>190000</v>
      </c>
    </row>
    <row r="11" spans="2:11" x14ac:dyDescent="0.25">
      <c r="B11" s="14">
        <f>SUM($D$6:D11)</f>
        <v>-164091.46116666668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31</v>
      </c>
      <c r="K11" s="2">
        <f>0.5%+K32</f>
        <v>3.0000000000000002E-2</v>
      </c>
    </row>
    <row r="12" spans="2:11" x14ac:dyDescent="0.25">
      <c r="B12" s="14">
        <f>SUM($D$6:D12)</f>
        <v>-162211.52679166666</v>
      </c>
      <c r="C12" s="15">
        <v>45870</v>
      </c>
      <c r="D12" s="14">
        <f t="shared" si="0"/>
        <v>1879.9343750000007</v>
      </c>
      <c r="E12" s="14"/>
      <c r="F12" s="14"/>
      <c r="G12" s="14">
        <f>(0.0425-0.03)*K7</f>
        <v>1879.9343750000007</v>
      </c>
      <c r="H12" s="12" t="s">
        <v>39</v>
      </c>
      <c r="I12" s="8"/>
    </row>
    <row r="13" spans="2:11" ht="30" x14ac:dyDescent="0.25">
      <c r="B13" s="14">
        <f>SUM($D$6:D13)</f>
        <v>-174421.52679166666</v>
      </c>
      <c r="C13" s="15">
        <v>45962</v>
      </c>
      <c r="D13" s="14">
        <f t="shared" si="0"/>
        <v>-12210</v>
      </c>
      <c r="E13" s="14"/>
      <c r="F13" s="14">
        <f>-(6510+K10*K11)</f>
        <v>-12210</v>
      </c>
      <c r="G13" s="14"/>
      <c r="H13" s="25" t="s">
        <v>52</v>
      </c>
      <c r="I13" s="8"/>
      <c r="J13" s="25" t="s">
        <v>58</v>
      </c>
      <c r="K13" s="26">
        <f>B13</f>
        <v>-174421.52679166666</v>
      </c>
    </row>
    <row r="14" spans="2:11" x14ac:dyDescent="0.25">
      <c r="B14" s="14">
        <f>SUM($D$6:D14)</f>
        <v>-169948.66013166666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40</v>
      </c>
      <c r="K14" s="14">
        <f>B5</f>
        <v>0</v>
      </c>
    </row>
    <row r="15" spans="2:11" x14ac:dyDescent="0.25">
      <c r="B15" s="14">
        <f>SUM($D$6:D15)</f>
        <v>-19751.660131666664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42</v>
      </c>
      <c r="I15" s="8"/>
      <c r="J15" s="12" t="s">
        <v>41</v>
      </c>
      <c r="K15" s="14">
        <f>K13-K14</f>
        <v>-174421.52679166666</v>
      </c>
    </row>
    <row r="16" spans="2:11" x14ac:dyDescent="0.25">
      <c r="B16" s="14">
        <f>SUM($D$6:D16)</f>
        <v>-49830.610131666661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SUM($D$6:D17)</f>
        <v>-41805.610131666661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25</v>
      </c>
      <c r="I17" s="8"/>
    </row>
    <row r="18" spans="2:11" x14ac:dyDescent="0.25">
      <c r="B18" s="14">
        <f>SUM($D$6:D18)</f>
        <v>18194.389868333339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43</v>
      </c>
      <c r="I18" s="19"/>
    </row>
    <row r="19" spans="2:11" x14ac:dyDescent="0.25">
      <c r="B19" s="14">
        <f>SUM($D$6:D19)</f>
        <v>-11884.560131666662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SUM($D$6:D20)</f>
        <v>-41963.510131666662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SUM($D$6:D21)</f>
        <v>-36863.624159166662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SUM($D$6:D22)</f>
        <v>-32351.781659166663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37</v>
      </c>
      <c r="I22" s="8"/>
    </row>
    <row r="23" spans="2:11" ht="15.75" thickBot="1" x14ac:dyDescent="0.3">
      <c r="B23" s="14">
        <f>SUM($D$6:D23)</f>
        <v>118042.96834083334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44</v>
      </c>
      <c r="I23" s="8"/>
    </row>
    <row r="24" spans="2:11" ht="15.75" thickTop="1" x14ac:dyDescent="0.25">
      <c r="B24" s="31" t="s">
        <v>50</v>
      </c>
      <c r="C24" s="32"/>
      <c r="D24" s="33"/>
      <c r="E24" s="21">
        <f>SUM(E3:E23)</f>
        <v>10601.86666</v>
      </c>
      <c r="F24" s="21">
        <f>SUM(F3:F23)</f>
        <v>-760</v>
      </c>
      <c r="G24" s="21">
        <f>SUM(G3:G23)</f>
        <v>14198.758347499999</v>
      </c>
      <c r="H24" s="12"/>
      <c r="I24" s="8"/>
    </row>
    <row r="25" spans="2:11" x14ac:dyDescent="0.25">
      <c r="B25" s="34"/>
      <c r="C25" s="35"/>
      <c r="D25" s="36"/>
      <c r="E25" s="16">
        <f>XIRR(E3:E23,C3:C23)</f>
        <v>3.9722254872322102E-2</v>
      </c>
      <c r="F25" s="16" t="s">
        <v>54</v>
      </c>
      <c r="G25" s="16">
        <f>XIRR($G$3:G23,$C$3:C23)</f>
        <v>3.1607601046562198E-2</v>
      </c>
      <c r="H25" s="12"/>
      <c r="I25" s="8"/>
    </row>
    <row r="26" spans="2:11" x14ac:dyDescent="0.25">
      <c r="B26" s="12" t="s">
        <v>36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SUM($D$6:D27)</f>
        <v>123142.85431333334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7" t="s">
        <v>57</v>
      </c>
      <c r="I27" s="8"/>
    </row>
    <row r="28" spans="2:11" x14ac:dyDescent="0.25">
      <c r="B28" s="14">
        <f>SUM($D$6:D28)</f>
        <v>128242.74028583334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8"/>
      <c r="I28" s="8"/>
    </row>
    <row r="29" spans="2:11" x14ac:dyDescent="0.25">
      <c r="B29" s="14">
        <f>SUM($D$6:D29)</f>
        <v>133342.62625833333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8"/>
      <c r="I29" s="8"/>
    </row>
    <row r="30" spans="2:11" x14ac:dyDescent="0.25">
      <c r="B30" s="14">
        <f>SUM($D$6:D30)</f>
        <v>138442.51223083332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8"/>
      <c r="I30" s="8"/>
    </row>
    <row r="31" spans="2:11" x14ac:dyDescent="0.25">
      <c r="B31" s="14">
        <f>SUM($D$6:D31)</f>
        <v>143542.39820333332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8"/>
      <c r="I31" s="8"/>
    </row>
    <row r="32" spans="2:11" x14ac:dyDescent="0.25">
      <c r="B32" s="14">
        <f>SUM($D$6:D32)</f>
        <v>146817.39820333332</v>
      </c>
      <c r="C32" s="13">
        <v>46784</v>
      </c>
      <c r="D32" s="14">
        <f t="shared" si="0"/>
        <v>3274.9999999999991</v>
      </c>
      <c r="E32" s="14"/>
      <c r="F32" s="12">
        <f>3.21%*$K$9-$K$10*$K$32</f>
        <v>3274.9999999999991</v>
      </c>
      <c r="G32" s="29" t="s">
        <v>48</v>
      </c>
      <c r="H32" s="38"/>
      <c r="I32" s="8"/>
      <c r="J32" t="s">
        <v>49</v>
      </c>
      <c r="K32" s="2">
        <v>2.5000000000000001E-2</v>
      </c>
    </row>
    <row r="33" spans="2:11" x14ac:dyDescent="0.25">
      <c r="B33" s="14">
        <f>SUM($D$6:D33)</f>
        <v>150092.39820333332</v>
      </c>
      <c r="C33" s="13">
        <v>47150</v>
      </c>
      <c r="D33" s="14">
        <f t="shared" si="0"/>
        <v>3274.9999999999991</v>
      </c>
      <c r="E33" s="14"/>
      <c r="F33" s="12">
        <f t="shared" ref="F33:F38" si="1">3.21%*$K$9-$K$10*$K$32</f>
        <v>3274.9999999999991</v>
      </c>
      <c r="G33" s="14"/>
      <c r="H33" s="38"/>
      <c r="I33" s="8"/>
      <c r="J33" t="s">
        <v>51</v>
      </c>
      <c r="K33" s="24">
        <f>-F32/F6</f>
        <v>5.4583333333333317E-2</v>
      </c>
    </row>
    <row r="34" spans="2:11" x14ac:dyDescent="0.25">
      <c r="B34" s="14">
        <f>SUM($D$6:D34)</f>
        <v>153367.39820333332</v>
      </c>
      <c r="C34" s="13">
        <v>47515</v>
      </c>
      <c r="D34" s="14">
        <f t="shared" si="0"/>
        <v>3274.9999999999991</v>
      </c>
      <c r="E34" s="14"/>
      <c r="F34" s="12">
        <f t="shared" si="1"/>
        <v>3274.9999999999991</v>
      </c>
      <c r="G34" s="14"/>
      <c r="H34" s="38"/>
      <c r="I34" s="8"/>
    </row>
    <row r="35" spans="2:11" x14ac:dyDescent="0.25">
      <c r="B35" s="14">
        <f>SUM($D$6:D35)</f>
        <v>156642.39820333332</v>
      </c>
      <c r="C35" s="13">
        <v>47880</v>
      </c>
      <c r="D35" s="14">
        <f t="shared" si="0"/>
        <v>3274.9999999999991</v>
      </c>
      <c r="E35" s="14"/>
      <c r="F35" s="12">
        <f t="shared" si="1"/>
        <v>3274.9999999999991</v>
      </c>
      <c r="G35" s="14"/>
      <c r="H35" s="38"/>
      <c r="I35" s="8"/>
    </row>
    <row r="36" spans="2:11" x14ac:dyDescent="0.25">
      <c r="B36" s="14">
        <f>SUM($D$6:D36)</f>
        <v>159917.39820333332</v>
      </c>
      <c r="C36" s="13">
        <v>48245</v>
      </c>
      <c r="D36" s="14">
        <f t="shared" si="0"/>
        <v>3274.9999999999991</v>
      </c>
      <c r="E36" s="14"/>
      <c r="F36" s="12">
        <f t="shared" si="1"/>
        <v>3274.9999999999991</v>
      </c>
      <c r="G36" s="14"/>
      <c r="H36" s="38"/>
      <c r="I36" s="8"/>
    </row>
    <row r="37" spans="2:11" x14ac:dyDescent="0.25">
      <c r="B37" s="14">
        <f>SUM($D$6:D37)</f>
        <v>163192.39820333332</v>
      </c>
      <c r="C37" s="13">
        <v>48611</v>
      </c>
      <c r="D37" s="14">
        <f t="shared" si="0"/>
        <v>3274.9999999999991</v>
      </c>
      <c r="E37" s="14"/>
      <c r="F37" s="12">
        <f t="shared" si="1"/>
        <v>3274.9999999999991</v>
      </c>
      <c r="G37" s="14"/>
      <c r="H37" s="38"/>
      <c r="I37" s="8"/>
    </row>
    <row r="38" spans="2:11" x14ac:dyDescent="0.25">
      <c r="B38" s="14">
        <f>SUM($D$6:D38)</f>
        <v>166467.39820333332</v>
      </c>
      <c r="C38" s="13">
        <v>48976</v>
      </c>
      <c r="D38" s="14">
        <f t="shared" si="0"/>
        <v>3274.9999999999991</v>
      </c>
      <c r="E38" s="14"/>
      <c r="F38" s="12">
        <f t="shared" si="1"/>
        <v>3274.9999999999991</v>
      </c>
      <c r="G38" s="14"/>
      <c r="H38" s="39"/>
      <c r="I38" s="8"/>
    </row>
    <row r="40" spans="2:11" x14ac:dyDescent="0.25">
      <c r="H40" t="s">
        <v>47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I6" sqref="I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12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20">
        <f>2.978%*F3</f>
        <v>4472.8666599999997</v>
      </c>
      <c r="D9" t="s">
        <v>4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27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8CF-8E7A-4ADA-A831-33688E2F8CF5}">
  <dimension ref="A2:G30"/>
  <sheetViews>
    <sheetView topLeftCell="A2" workbookViewId="0">
      <selection activeCell="D12" sqref="D12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10.28515625" bestFit="1" customWidth="1"/>
  </cols>
  <sheetData>
    <row r="2" spans="1:7" x14ac:dyDescent="0.25">
      <c r="A2" t="s">
        <v>12</v>
      </c>
      <c r="C2" s="4"/>
      <c r="D2" s="20" t="s">
        <v>2</v>
      </c>
    </row>
    <row r="3" spans="1:7" x14ac:dyDescent="0.25">
      <c r="A3" s="5">
        <f>SUM($D$2:D3)</f>
        <v>-24000</v>
      </c>
      <c r="B3" s="2"/>
      <c r="C3" s="3">
        <v>45505</v>
      </c>
      <c r="D3" s="20">
        <f>-$G$3/5</f>
        <v>-24000</v>
      </c>
      <c r="F3" t="s">
        <v>0</v>
      </c>
      <c r="G3">
        <v>120000</v>
      </c>
    </row>
    <row r="4" spans="1:7" x14ac:dyDescent="0.25">
      <c r="A4" s="5">
        <f>SUM($D$2:D4)</f>
        <v>-23640</v>
      </c>
      <c r="B4" s="2"/>
      <c r="C4" s="3">
        <v>45566</v>
      </c>
      <c r="D4" s="20">
        <v>360</v>
      </c>
      <c r="G4" s="5"/>
    </row>
    <row r="5" spans="1:7" x14ac:dyDescent="0.25">
      <c r="A5" s="5">
        <f>SUM($D$2:D5)</f>
        <v>-47640</v>
      </c>
      <c r="B5" s="2"/>
      <c r="C5" s="3">
        <v>45870</v>
      </c>
      <c r="D5" s="20">
        <f>-$G$3/5</f>
        <v>-24000</v>
      </c>
    </row>
    <row r="6" spans="1:7" x14ac:dyDescent="0.25">
      <c r="A6" s="5">
        <f>SUM($D$2:D6)</f>
        <v>-45240</v>
      </c>
      <c r="B6" s="2"/>
      <c r="C6" s="3">
        <v>45689</v>
      </c>
      <c r="D6" s="20">
        <f>2.4%*100000</f>
        <v>2400</v>
      </c>
      <c r="E6" t="s">
        <v>56</v>
      </c>
    </row>
    <row r="7" spans="1:7" x14ac:dyDescent="0.25">
      <c r="A7" s="5">
        <f>SUM($D$2:D7)</f>
        <v>-69240</v>
      </c>
      <c r="B7" s="2"/>
      <c r="C7" s="3">
        <v>46235</v>
      </c>
      <c r="D7" s="20">
        <f>-$G$3/5</f>
        <v>-24000</v>
      </c>
    </row>
    <row r="8" spans="1:7" x14ac:dyDescent="0.25">
      <c r="A8" s="5">
        <f>SUM($D$2:D8)</f>
        <v>-93240</v>
      </c>
      <c r="B8" s="2"/>
      <c r="C8" s="3">
        <v>46600</v>
      </c>
      <c r="D8" s="20">
        <f>-$G$3/5</f>
        <v>-24000</v>
      </c>
    </row>
    <row r="9" spans="1:7" x14ac:dyDescent="0.25">
      <c r="A9" s="5">
        <f>SUM($D$2:D9)</f>
        <v>-117240</v>
      </c>
      <c r="B9" s="2"/>
      <c r="C9" s="3">
        <v>46966</v>
      </c>
      <c r="D9" s="20">
        <f>-$G$3/5</f>
        <v>-24000</v>
      </c>
    </row>
    <row r="10" spans="1:7" x14ac:dyDescent="0.25">
      <c r="A10" s="5"/>
      <c r="B10" s="2"/>
    </row>
    <row r="11" spans="1:7" x14ac:dyDescent="0.25">
      <c r="A11" s="5">
        <f>SUM($D$2:D11)</f>
        <v>-113160</v>
      </c>
      <c r="B11" s="2" t="s">
        <v>1</v>
      </c>
      <c r="C11" s="3">
        <v>47331</v>
      </c>
      <c r="D11" s="20">
        <f>$G$3*0.034</f>
        <v>4080.0000000000005</v>
      </c>
      <c r="E11" t="s">
        <v>8</v>
      </c>
    </row>
    <row r="12" spans="1:7" x14ac:dyDescent="0.25">
      <c r="A12" s="5">
        <f>SUM($D$2:D12)</f>
        <v>7440</v>
      </c>
      <c r="B12" s="2">
        <f>XIRR($D$3:D12,$C$3:C12)</f>
        <v>2.0815828442573552E-2</v>
      </c>
      <c r="C12" s="3">
        <v>47331</v>
      </c>
      <c r="D12" s="20">
        <f>$G$3+600</f>
        <v>120600</v>
      </c>
      <c r="E12" t="s">
        <v>9</v>
      </c>
    </row>
    <row r="13" spans="1:7" x14ac:dyDescent="0.25">
      <c r="A13" s="5"/>
      <c r="B13" s="2"/>
    </row>
    <row r="14" spans="1:7" x14ac:dyDescent="0.25">
      <c r="A14" s="5">
        <f>SUM($D$2:D14)</f>
        <v>11520</v>
      </c>
      <c r="B14" s="2"/>
      <c r="C14" s="3">
        <v>47696</v>
      </c>
      <c r="D14" s="20">
        <f t="shared" ref="D14:D28" si="0">$G$3*0.034</f>
        <v>4080.0000000000005</v>
      </c>
    </row>
    <row r="15" spans="1:7" x14ac:dyDescent="0.25">
      <c r="A15" s="5">
        <f>SUM($D$2:D15)</f>
        <v>15600</v>
      </c>
      <c r="B15" s="2"/>
      <c r="C15" s="3">
        <v>48061</v>
      </c>
      <c r="D15" s="20">
        <f t="shared" si="0"/>
        <v>4080.0000000000005</v>
      </c>
    </row>
    <row r="16" spans="1:7" x14ac:dyDescent="0.25">
      <c r="A16" s="5">
        <f>SUM($D$2:D16)</f>
        <v>19680</v>
      </c>
      <c r="B16" s="2"/>
      <c r="C16" s="3">
        <v>48427</v>
      </c>
      <c r="D16" s="20">
        <f t="shared" si="0"/>
        <v>4080.0000000000005</v>
      </c>
    </row>
    <row r="17" spans="1:5" x14ac:dyDescent="0.25">
      <c r="A17" s="5">
        <f>SUM($D$2:D17)</f>
        <v>23760</v>
      </c>
      <c r="B17" s="2"/>
      <c r="C17" s="3">
        <v>48792</v>
      </c>
      <c r="D17" s="20">
        <f t="shared" si="0"/>
        <v>4080.0000000000005</v>
      </c>
    </row>
    <row r="18" spans="1:5" x14ac:dyDescent="0.25">
      <c r="A18" s="5">
        <f>SUM($D$2:D18)</f>
        <v>27840</v>
      </c>
      <c r="B18" s="2"/>
      <c r="C18" s="3">
        <v>49157</v>
      </c>
      <c r="D18" s="20">
        <f t="shared" si="0"/>
        <v>4080.0000000000005</v>
      </c>
    </row>
    <row r="19" spans="1:5" x14ac:dyDescent="0.25">
      <c r="A19" s="5">
        <f>SUM($D$2:D19)</f>
        <v>31920</v>
      </c>
      <c r="B19" s="2"/>
      <c r="C19" s="3">
        <v>49522</v>
      </c>
      <c r="D19" s="20">
        <f t="shared" si="0"/>
        <v>4080.0000000000005</v>
      </c>
    </row>
    <row r="20" spans="1:5" x14ac:dyDescent="0.25">
      <c r="A20" s="5">
        <f>SUM($D$2:D20)</f>
        <v>36000</v>
      </c>
      <c r="B20" s="2"/>
      <c r="C20" s="3">
        <v>49888</v>
      </c>
      <c r="D20" s="20">
        <f t="shared" si="0"/>
        <v>4080.0000000000005</v>
      </c>
    </row>
    <row r="21" spans="1:5" x14ac:dyDescent="0.25">
      <c r="A21" s="5">
        <f>SUM($D$2:D21)</f>
        <v>40080</v>
      </c>
      <c r="B21" s="2"/>
      <c r="C21" s="3">
        <v>50253</v>
      </c>
      <c r="D21" s="20">
        <f t="shared" si="0"/>
        <v>4080.0000000000005</v>
      </c>
    </row>
    <row r="22" spans="1:5" x14ac:dyDescent="0.25">
      <c r="A22" s="5">
        <f>SUM($D$2:D22)</f>
        <v>44160</v>
      </c>
      <c r="B22" s="2"/>
      <c r="C22" s="3">
        <v>50618</v>
      </c>
      <c r="D22" s="20">
        <f t="shared" si="0"/>
        <v>4080.0000000000005</v>
      </c>
    </row>
    <row r="23" spans="1:5" x14ac:dyDescent="0.25">
      <c r="A23" s="5">
        <f>SUM($D$2:D23)</f>
        <v>48240</v>
      </c>
      <c r="B23" s="2"/>
      <c r="C23" s="3">
        <v>50983</v>
      </c>
      <c r="D23" s="20">
        <f t="shared" si="0"/>
        <v>4080.0000000000005</v>
      </c>
    </row>
    <row r="24" spans="1:5" x14ac:dyDescent="0.25">
      <c r="A24" s="5">
        <f>SUM($D$2:D24)</f>
        <v>52320</v>
      </c>
      <c r="B24" s="2"/>
      <c r="C24" s="3">
        <v>51349</v>
      </c>
      <c r="D24" s="20">
        <f t="shared" si="0"/>
        <v>4080.0000000000005</v>
      </c>
    </row>
    <row r="25" spans="1:5" x14ac:dyDescent="0.25">
      <c r="A25" s="5">
        <f>SUM($D$2:D25)</f>
        <v>56400</v>
      </c>
      <c r="B25" s="2"/>
      <c r="C25" s="3">
        <v>51714</v>
      </c>
      <c r="D25" s="20">
        <f t="shared" si="0"/>
        <v>4080.0000000000005</v>
      </c>
    </row>
    <row r="26" spans="1:5" x14ac:dyDescent="0.25">
      <c r="A26" s="5">
        <f>SUM($D$2:D26)</f>
        <v>60480</v>
      </c>
      <c r="B26" s="2"/>
      <c r="C26" s="3">
        <v>52079</v>
      </c>
      <c r="D26" s="20">
        <f t="shared" si="0"/>
        <v>4080.0000000000005</v>
      </c>
    </row>
    <row r="27" spans="1:5" x14ac:dyDescent="0.25">
      <c r="A27" s="5">
        <f>SUM($D$2:D27)</f>
        <v>64560</v>
      </c>
      <c r="B27" s="2"/>
      <c r="C27" s="3">
        <v>52444</v>
      </c>
      <c r="D27" s="20">
        <f t="shared" si="0"/>
        <v>4080.0000000000005</v>
      </c>
    </row>
    <row r="28" spans="1:5" x14ac:dyDescent="0.25">
      <c r="A28" s="5">
        <f>SUM($D$2:D28)</f>
        <v>68640</v>
      </c>
      <c r="B28" s="2"/>
      <c r="C28" s="3">
        <v>52810</v>
      </c>
      <c r="D28" s="20">
        <f t="shared" si="0"/>
        <v>4080.0000000000005</v>
      </c>
    </row>
    <row r="29" spans="1:5" x14ac:dyDescent="0.25">
      <c r="A29" s="5">
        <f>SUM($D$2:D29)</f>
        <v>72240</v>
      </c>
      <c r="C29" s="3">
        <v>52810</v>
      </c>
      <c r="D29" s="20">
        <f>$G$3*3%</f>
        <v>3600</v>
      </c>
      <c r="E29" t="s">
        <v>11</v>
      </c>
    </row>
    <row r="30" spans="1:5" x14ac:dyDescent="0.25">
      <c r="A30" s="5">
        <f>SUM($D$2:D30)</f>
        <v>192240</v>
      </c>
      <c r="B30" s="24">
        <f>IF(0=D12,XIRR(D3:D30,C3:C30),0)</f>
        <v>0</v>
      </c>
      <c r="C30" s="3">
        <v>52810</v>
      </c>
      <c r="D30" s="20">
        <f>$G$3</f>
        <v>120000</v>
      </c>
      <c r="E30" t="s">
        <v>9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Fli2pm 200k</vt:lpstr>
      <vt:lpstr>FLI2PF</vt:lpstr>
      <vt:lpstr>FWD</vt:lpstr>
      <vt:lpstr>LTIS</vt:lpstr>
      <vt:lpstr>overlap ptf</vt:lpstr>
      <vt:lpstr>FLI2</vt:lpstr>
      <vt:lpstr>xirr test</vt:lpstr>
      <vt:lpstr>Taiping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2024-08-21T16:07:09Z</dcterms:modified>
</cp:coreProperties>
</file>