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A281905-8C5B-46E4-A806-A0A79F0CBDCE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U11" i="32" l="1"/>
  <c r="KR43" i="32"/>
  <c r="KS30" i="32"/>
  <c r="KQ33" i="32" l="1"/>
  <c r="KA30" i="32"/>
  <c r="KA33" i="32"/>
  <c r="KQ21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7" i="32"/>
  <c r="T36" i="44" l="1"/>
  <c r="KS28" i="32"/>
  <c r="KD24" i="32" l="1"/>
  <c r="KQ18" i="32" l="1"/>
  <c r="KM12" i="32" l="1"/>
  <c r="KM10" i="32"/>
  <c r="KM11" i="32"/>
  <c r="KS40" i="32" l="1"/>
  <c r="KS5" i="32" s="1"/>
  <c r="KQ2" i="32"/>
  <c r="KU22" i="32"/>
  <c r="KU4" i="32" s="1"/>
  <c r="KQ38" i="32"/>
  <c r="KQ39" i="32"/>
  <c r="KQ35" i="32"/>
  <c r="KQ36" i="32"/>
  <c r="KQ37" i="32"/>
  <c r="KQ40" i="32"/>
  <c r="KM36" i="32" l="1"/>
  <c r="KQ34" i="32" l="1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5" i="32"/>
  <c r="EW2" i="32"/>
  <c r="HG10" i="32"/>
  <c r="HW28" i="32"/>
  <c r="HW30" i="32"/>
  <c r="IG2" i="32"/>
  <c r="AD5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<sst xmlns="http://schemas.openxmlformats.org/spreadsheetml/2006/main" count="7661" uniqueCount="3174">
  <si>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</si>
  <si>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</si>
  <si>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</si>
  <si>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</si>
  <si>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</si>
  <si>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</si>
  <si>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</si>
  <si>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</si>
  <si>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</si>
  <si>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</si>
  <si>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</si>
  <si>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</si>
  <si>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</si>
  <si>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</si>
  <si>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</si>
  <si>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</si>
  <si>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</si>
  <si>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</si>
  <si>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</si>
  <si>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</si>
  <si>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</si>
  <si>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</si>
  <si>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</si>
  <si>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</si>
  <si>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</si>
  <si>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</si>
  <si>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</si>
  <si>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</si>
  <si>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</si>
  <si>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</si>
  <si>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</si>
  <si>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</si>
  <si>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</si>
  <si>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</si>
  <si>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</si>
  <si>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</si>
  <si>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</si>
  <si>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</si>
  <si>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</si>
  <si>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</si>
  <si>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</si>
  <si>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</si>
  <si>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</si>
  <si>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</si>
  <si>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</si>
  <si>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</si>
  <si>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</si>
  <si>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</si>
  <si>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</si>
  <si>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</si>
  <si>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</si>
  <si>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</si>
  <si>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</si>
  <si>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</si>
  <si>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</si>
  <si>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</si>
  <si>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</si>
  <si>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</si>
  <si>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</si>
  <si>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</si>
  <si>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</si>
  <si>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</si>
  <si>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</si>
  <si>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</si>
  <si>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</si>
  <si>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</si>
  <si>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</si>
  <si>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</si>
  <si>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</si>
  <si>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</si>
  <si>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</si>
  <si>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</si>
  <si>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</si>
  <si>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</si>
  <si>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</si>
  <si>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</si>
  <si>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</si>
  <si>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</si>
  <si>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</si>
  <si>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</si>
  <si>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</si>
  <si>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</si>
  <si>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</si>
  <si>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</si>
  <si>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</si>
  <si>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</si>
  <si>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</si>
  <si>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</si>
  <si>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</si>
  <si>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</si>
  <si>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</si>
  <si>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</si>
  <si>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</si>
  <si>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</si>
  <si>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</si>
  <si>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</si>
  <si>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</si>
  <si>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</si>
  <si>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</si>
  <si>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</si>
  <si>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</si>
  <si>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</si>
  <si>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</si>
  <si>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</si>
  <si>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</si>
  <si>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</si>
  <si>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</si>
  <si>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</si>
  <si>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</si>
  <si>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</si>
  <si>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</si>
  <si>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</si>
  <si>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</si>
  <si>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</si>
  <si>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</si>
  <si>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</si>
  <si>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</si>
  <si>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</si>
  <si>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</si>
  <si>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</si>
  <si>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</si>
  <si>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</si>
  <si>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</si>
  <si>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</si>
  <si>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</si>
  <si>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</si>
  <si>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</si>
  <si>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</si>
  <si>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</si>
  <si>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</si>
  <si>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</si>
  <si>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</si>
  <si>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</si>
  <si>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</si>
  <si>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</si>
  <si>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</si>
  <si>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</si>
  <si>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</si>
  <si>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</si>
  <si>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</si>
  <si>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</si>
  <si>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</si>
  <si>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</si>
  <si>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</si>
  <si>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</si>
  <si>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</si>
  <si>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</si>
  <si>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</si>
  <si>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</si>
  <si>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</si>
  <si>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</si>
  <si>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</si>
  <si>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</si>
  <si>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</si>
  <si>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</si>
  <si>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</si>
  <si>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</si>
  <si>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</si>
  <si>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</si>
  <si>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</si>
  <si>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</si>
  <si>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</si>
  <si>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</si>
  <si>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</si>
  <si>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</si>
  <si>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</si>
  <si>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</si>
  <si>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</si>
  <si>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</si>
  <si>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</si>
  <si>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</si>
  <si>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</si>
  <si>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</si>
  <si>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</si>
  <si>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</si>
  <si>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</si>
  <si>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</si>
  <si>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</si>
  <si>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</si>
  <si>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</si>
  <si>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</si>
  <si>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</si>
  <si>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</si>
  <si>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</si>
  <si>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</si>
  <si>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</si>
  <si>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</si>
  <si>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</si>
  <si>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</si>
  <si>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</si>
  <si>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</si>
  <si>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</si>
  <si>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</si>
  <si>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</si>
  <si>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</si>
  <si>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</si>
  <si>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</si>
  <si>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</si>
  <si>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</si>
  <si>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</si>
  <si>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</si>
  <si>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</si>
  <si>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</si>
  <si>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</si>
  <si>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</si>
  <si>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</si>
  <si>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</si>
  <si>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</si>
  <si>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</si>
  <si>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</si>
  <si>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</si>
  <si>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</si>
  <si>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</si>
  <si>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</si>
  <si>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</si>
  <si>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</si>
  <si>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</si>
  <si>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</si>
  <si>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</si>
  <si>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</si>
  <si>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</si>
  <si>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</si>
  <si>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</si>
  <si>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</si>
  <si>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</si>
  <si>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</si>
  <si>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</si>
  <si>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</si>
  <si>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</si>
  <si>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</si>
  <si>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</si>
  <si>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</si>
  <si>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</si>
  <si>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</si>
  <si>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</si>
  <si>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</si>
  <si>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</si>
  <si>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</si>
  <si>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</si>
  <si>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</si>
  <si>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</si>
  <si>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</si>
  <si>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</si>
  <si>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</si>
  <si>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</si>
  <si>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</si>
  <si>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</si>
  <si>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</si>
  <si>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</si>
  <si>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</si>
  <si>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</si>
  <si>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</si>
  <si>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</si>
  <si>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</si>
  <si>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</si>
  <si>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</si>
  <si>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</si>
  <si>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</si>
  <si>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</si>
  <si>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</si>
  <si>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</si>
  <si>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</si>
  <si>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</si>
  <si>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</si>
  <si>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</si>
  <si>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</si>
  <si>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</si>
  <si>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</si>
  <si>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</si>
  <si>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</si>
  <si>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</si>
  <si>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</si>
  <si>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</si>
  <si>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</si>
  <si>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</si>
  <si>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</si>
  <si>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</si>
  <si>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</si>
  <si>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</si>
  <si>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</si>
  <si>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</si>
  <si>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</si>
  <si>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</si>
  <si>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</si>
  <si>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</si>
  <si>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</si>
  <si>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</si>
  <si>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</si>
  <si>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</si>
  <si>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</si>
  <si>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</si>
  <si>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</si>
  <si>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</si>
  <si>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</si>
  <si>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</si>
  <si>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</si>
  <si>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</si>
  <si>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</si>
  <si>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</si>
  <si>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</si>
  <si>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</si>
  <si>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</si>
  <si>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</si>
  <si>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</si>
  <si>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</si>
  <si>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</si>
  <si>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</si>
  <si>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</si>
  <si>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</si>
  <si>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</si>
  <si>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</si>
  <si>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</si>
  <si>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</si>
  <si>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</si>
  <si>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</si>
  <si>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</si>
  <si>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</si>
  <si>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</si>
  <si>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</si>
  <si>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</si>
  <si>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</si>
  <si>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</si>
  <si>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</si>
  <si>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</si>
  <si>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</si>
  <si>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</si>
  <si>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</si>
  <si>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</si>
  <si>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</si>
  <si>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</si>
  <si>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</si>
  <si>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</si>
  <si>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</si>
  <si>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</si>
  <si>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</si>
  <si>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</si>
  <si>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</si>
  <si>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</si>
  <si>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</si>
  <si>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</si>
  <si>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</si>
  <si>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</si>
  <si>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</si>
  <si>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</si>
  <si>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</si>
  <si>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</si>
  <si>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</si>
  <si>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</si>
  <si>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</si>
  <si>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</si>
  <si>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</si>
  <si>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</si>
  <si>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</si>
  <si>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</si>
  <si>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</si>
  <si>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</si>
  <si>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</si>
  <si>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</si>
  <si>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</si>
  <si>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</si>
  <si>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</si>
  <si>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</si>
  <si>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</si>
  <si>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</si>
  <si>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</si>
  <si>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</si>
  <si>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</si>
  <si>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</si>
  <si>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</si>
  <si>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</si>
  <si>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</si>
  <si>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</si>
  <si>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</si>
  <si>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</si>
  <si>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</si>
  <si>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</si>
  <si>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</si>
  <si>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</si>
  <si>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</si>
  <si>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</si>
  <si>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</si>
  <si>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</si>
  <si>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</si>
  <si>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</si>
  <si>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</si>
  <si>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</si>
  <si>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</si>
  <si>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</si>
  <si>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</si>
  <si>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</si>
  <si>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</si>
  <si>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</si>
  <si>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</si>
  <si>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</si>
  <si>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</si>
  <si>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</si>
  <si>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</si>
  <si>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</si>
  <si>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</si>
  <si>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</si>
  <si>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</si>
  <si>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</si>
  <si>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</si>
  <si>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</si>
  <si>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</si>
  <si>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</si>
  <si>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</si>
  <si>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</si>
  <si>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</si>
  <si>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</si>
  <si>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</si>
  <si>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</si>
  <si>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</si>
  <si>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</si>
  <si>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</si>
  <si>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</si>
  <si>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</si>
  <si>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</si>
  <si>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</si>
  <si>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</si>
  <si>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</si>
  <si>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</si>
  <si>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</si>
  <si>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</si>
  <si>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</si>
  <si>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</si>
  <si>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</si>
  <si>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</si>
  <si>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</si>
  <si>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</si>
  <si>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</si>
  <si>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</si>
  <si>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</si>
  <si>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</si>
  <si>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</si>
  <si>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</si>
  <si>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</si>
  <si>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</si>
  <si>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</si>
  <si>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</si>
  <si>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</si>
  <si>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</si>
  <si>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</si>
  <si>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</si>
  <si>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</si>
  <si>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</si>
  <si>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</si>
  <si>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</si>
  <si>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</si>
  <si>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</si>
  <si>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</si>
  <si>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</si>
  <si>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</si>
  <si>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</si>
  <si>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</si>
  <si>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</si>
  <si>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</si>
  <si>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</si>
  <si>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</si>
  <si>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</si>
  <si>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</si>
  <si>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</si>
  <si>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</si>
  <si>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</si>
  <si>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</si>
  <si>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</si>
  <si>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</si>
  <si>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</si>
  <si>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</si>
  <si>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</si>
  <si>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</si>
  <si>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</si>
  <si>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</si>
  <si>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</si>
  <si>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</si>
  <si>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</si>
  <si>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</si>
  <si>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</si>
  <si>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</si>
  <si>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</si>
  <si>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</si>
  <si>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</si>
  <si>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</si>
  <si>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</si>
  <si>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</si>
  <si>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</si>
  <si>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</si>
  <si>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</si>
  <si>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</si>
  <si>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</si>
  <si>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</si>
  <si>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</si>
  <si>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</si>
  <si>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</si>
  <si>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</si>
  <si>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</si>
  <si>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</si>
  <si>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</si>
  <si>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</si>
  <si>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</si>
  <si>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</si>
  <si>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</si>
  <si>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</si>
  <si>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</si>
  <si>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</si>
  <si>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</si>
  <si>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</si>
  <si>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</si>
  <si>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</si>
  <si>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</si>
  <si>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</si>
  <si>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</si>
  <si>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</si>
  <si>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</si>
  <si>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</si>
  <si>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</si>
  <si>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</si>
  <si>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</si>
  <si>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</si>
  <si>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</si>
  <si>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</si>
  <si>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</si>
  <si>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</si>
  <si>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</si>
  <si>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</si>
  <si>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</si>
  <si>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</si>
  <si>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</si>
  <si>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</si>
  <si>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</si>
  <si>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</si>
  <si>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</si>
  <si>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</si>
  <si>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</si>
  <si>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</si>
  <si>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</si>
  <si>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</si>
  <si>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</si>
  <si>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</si>
  <si>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</si>
  <si>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</si>
  <si>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</si>
  <si>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</si>
  <si>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</si>
  <si>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</si>
  <si>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</si>
  <si>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</si>
  <si>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</si>
  <si>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</si>
  <si>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</si>
  <si>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</si>
  <si>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</si>
  <si>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</si>
  <si>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</si>
  <si>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</si>
  <si>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</si>
  <si>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</si>
  <si>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</si>
  <si>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</si>
  <si>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</si>
  <si>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</si>
  <si>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</si>
  <si>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</si>
  <si>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</si>
  <si>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</si>
  <si>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</si>
  <si>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</si>
  <si>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</si>
  <si>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</si>
  <si>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</si>
  <si>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</si>
  <si>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</si>
  <si>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</si>
  <si>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</si>
  <si>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</si>
  <si>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</si>
  <si>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</si>
  <si>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</si>
  <si>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</si>
  <si>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</si>
  <si>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</si>
  <si>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</si>
  <si>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</si>
  <si>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</si>
  <si>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</si>
  <si>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</si>
  <si>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</si>
  <si>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</si>
  <si>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</si>
  <si>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</si>
  <si>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</si>
  <si>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</si>
  <si>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</si>
  <si>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</si>
  <si>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</si>
  <si>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</si>
  <si>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</si>
  <si>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</si>
  <si>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</si>
  <si>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</si>
  <si>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</si>
  <si>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</si>
  <si>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</si>
  <si>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</si>
  <si>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</si>
  <si>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</si>
  <si>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</si>
  <si>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</si>
  <si>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</si>
  <si>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</si>
  <si>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</si>
  <si>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</si>
  <si>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</si>
  <si>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</si>
  <si>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</si>
  <si>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</si>
  <si>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</si>
  <si>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</si>
  <si>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</si>
  <si>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</si>
  <si>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</si>
  <si>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</si>
  <si>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</si>
  <si>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</si>
  <si>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</si>
  <si>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</si>
  <si>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</si>
  <si>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</si>
  <si>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</si>
  <si>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</si>
  <si>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</si>
  <si>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</si>
  <si>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</si>
  <si>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</si>
  <si>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</si>
  <si>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</si>
  <si>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</si>
  <si>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</si>
  <si>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</si>
  <si>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</si>
  <si>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</si>
  <si>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</si>
  <si>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</si>
  <si>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</si>
  <si>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</si>
  <si>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</si>
  <si>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</si>
  <si>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</si>
  <si>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</si>
  <si>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</si>
  <si>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</si>
  <si>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</si>
  <si>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</si>
  <si>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</si>
  <si>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</si>
  <si>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</si>
  <si>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</si>
  <si>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</si>
  <si>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</si>
  <si>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</si>
  <si>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</si>
  <si>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</si>
  <si>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</si>
  <si>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</si>
  <si>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</si>
  <si>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</si>
  <si>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</si>
  <si>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</si>
  <si>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</si>
  <si>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</si>
  <si>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</si>
  <si>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</si>
  <si>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</si>
  <si>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</si>
  <si>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</si>
  <si>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</si>
  <si>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</si>
  <si>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</si>
  <si>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</si>
  <si>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</si>
  <si>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</si>
  <si>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</si>
  <si>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</si>
  <si>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</si>
  <si>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</si>
  <si>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</si>
  <si>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</si>
  <si>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</si>
  <si>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</si>
  <si>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</si>
  <si>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</si>
  <si>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</si>
  <si>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</si>
  <si>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</si>
  <si>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</si>
  <si>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</si>
  <si>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</si>
  <si>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</si>
  <si>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</si>
  <si>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</si>
  <si>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</si>
  <si>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</si>
  <si>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</si>
  <si>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</si>
  <si>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</si>
  <si>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</si>
  <si>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</si>
  <si>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</si>
  <si>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</si>
  <si>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</si>
  <si>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</si>
  <si>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</si>
  <si>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</si>
  <si>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</si>
  <si>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</si>
  <si>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</si>
  <si>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</si>
  <si>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</si>
  <si>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</si>
  <si>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</si>
  <si>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</si>
  <si>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</si>
  <si>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</si>
  <si>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</si>
  <si>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</si>
  <si>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</si>
  <si>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</si>
  <si>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</si>
  <si>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</si>
  <si>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</si>
  <si>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</si>
  <si>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</si>
  <si>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</si>
  <si>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</si>
  <si>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</si>
  <si>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</si>
  <si>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</si>
  <si>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</si>
  <si>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</si>
  <si>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</si>
  <si>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</si>
  <si>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</si>
  <si>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</si>
  <si>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</si>
  <si>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</si>
  <si>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</si>
  <si>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</si>
  <si>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</si>
  <si>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</si>
  <si>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</si>
  <si>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</si>
  <si>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</si>
  <si>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</si>
  <si>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</si>
  <si>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</si>
  <si>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</si>
  <si>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</si>
  <si>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</si>
  <si>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</si>
  <si>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</si>
  <si>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</si>
  <si>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</si>
  <si>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</si>
  <si>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</si>
  <si>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</si>
  <si>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</si>
  <si>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</si>
  <si>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</si>
  <si>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</si>
  <si>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</si>
  <si>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</si>
  <si>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</si>
  <si>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</si>
  <si>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</si>
  <si>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</si>
  <si>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</si>
  <si>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</si>
  <si>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</si>
  <si>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</si>
  <si>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</si>
  <si>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</si>
  <si>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</si>
  <si>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</si>
  <si>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</si>
  <si>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</si>
  <si>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</si>
  <si>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</si>
  <si>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</si>
  <si>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</si>
  <si>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</si>
  <si>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</si>
  <si>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</si>
  <si>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</si>
  <si>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</si>
  <si>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</si>
  <si>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</si>
  <si>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</si>
  <si>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</si>
  <si>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</si>
  <si>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</si>
  <si>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</si>
  <si>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</si>
  <si>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</si>
  <si>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</si>
  <si>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</si>
  <si>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</si>
  <si>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</si>
  <si>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</si>
  <si>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</si>
  <si>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</si>
  <si>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</si>
  <si>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</si>
  <si>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</si>
  <si>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</si>
  <si>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</si>
  <si>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</si>
  <si>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</si>
  <si>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</si>
  <si>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</si>
  <si>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</si>
  <si>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</si>
  <si>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</si>
  <si>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</si>
  <si>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</si>
  <si>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</si>
  <si>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</si>
  <si>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</si>
  <si>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</si>
  <si>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</si>
  <si>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</si>
  <si>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</si>
  <si>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</si>
  <si>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</si>
  <si>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</si>
  <si>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</si>
  <si>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</si>
  <si>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</si>
  <si>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</si>
  <si>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</si>
  <si>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</si>
  <si>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</si>
  <si>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</si>
  <si>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</si>
  <si>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</si>
  <si>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</si>
  <si>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</si>
  <si>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</si>
  <si>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</si>
  <si>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</si>
  <si>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</si>
  <si>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</si>
  <si>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</si>
  <si>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</si>
  <si>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</si>
  <si>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</si>
  <si>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</si>
  <si>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</si>
  <si>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</si>
  <si>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</si>
  <si>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</si>
  <si>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</si>
  <si>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</si>
  <si>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</si>
  <si>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</si>
  <si>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</si>
  <si>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</si>
  <si>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</si>
  <si>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</si>
  <si>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</si>
  <si>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</si>
  <si>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</si>
  <si>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</si>
  <si>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</si>
  <si>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</si>
  <si>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</si>
  <si>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</si>
  <si>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</si>
  <si>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</si>
  <si>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</si>
  <si>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</si>
  <si>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</si>
  <si>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</si>
  <si>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</si>
  <si>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</si>
  <si>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</si>
  <si>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</si>
  <si>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</si>
  <si>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</si>
  <si>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</si>
  <si>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</si>
  <si>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</si>
  <si>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</si>
  <si>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</si>
  <si>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</si>
  <si>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</si>
  <si>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</si>
  <si>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</si>
  <si>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</si>
  <si>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</si>
  <si>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</si>
  <si>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</si>
  <si>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</si>
  <si>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</si>
  <si>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</si>
  <si>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</si>
  <si>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</si>
  <si>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</si>
  <si>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</si>
  <si>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</si>
  <si>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</si>
  <si>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</si>
  <si>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</si>
  <si>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</si>
  <si>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</si>
  <si>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</si>
  <si>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</si>
  <si>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</si>
  <si>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</si>
  <si>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</si>
  <si>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</si>
  <si>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</si>
  <si>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</si>
  <si>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</si>
  <si>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</si>
  <si>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</si>
  <si>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</si>
  <si>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</si>
  <si>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</si>
  <si>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</si>
  <si>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</si>
  <si>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</si>
  <si>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</si>
  <si>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</si>
  <si>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</si>
  <si>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</si>
  <si>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</si>
  <si>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</si>
  <si>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</si>
  <si>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</si>
  <si>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</si>
  <si>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</si>
  <si>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</si>
  <si>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</si>
  <si>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</si>
  <si>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</si>
  <si>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</si>
  <si>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</si>
  <si>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</si>
  <si>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</si>
  <si>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</si>
  <si>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</si>
  <si>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</si>
  <si>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</si>
  <si>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</si>
  <si>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</si>
  <si>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</si>
  <si>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</si>
  <si>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</si>
  <si>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</si>
  <si>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</si>
  <si>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</si>
  <si>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</si>
  <si>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</si>
  <si>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</si>
  <si>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</si>
  <si>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</si>
  <si>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</si>
  <si>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</si>
  <si>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</si>
  <si>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</si>
  <si>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</si>
  <si>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</si>
  <si>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</si>
  <si>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</si>
  <si>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</si>
  <si>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</si>
  <si>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</si>
  <si>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</si>
  <si>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</si>
  <si>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</si>
  <si>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</si>
  <si>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</si>
  <si>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</si>
  <si>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</si>
  <si>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</si>
  <si>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</si>
  <si>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</si>
  <si>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</si>
  <si>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</si>
  <si>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</si>
  <si>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</si>
  <si>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</si>
  <si>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</si>
  <si>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</si>
  <si>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</si>
  <si>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</si>
  <si>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</si>
  <si>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</si>
  <si>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</si>
  <si>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</si>
  <si>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</si>
  <si>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</si>
  <si>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</si>
  <si>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</si>
  <si>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</si>
  <si>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</si>
  <si>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</si>
  <si>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</si>
  <si>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</si>
  <si>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</si>
  <si>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</si>
  <si>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</si>
  <si>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</si>
  <si>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</si>
  <si>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</si>
  <si>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</si>
  <si>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</si>
  <si>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</si>
  <si>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</si>
  <si>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</si>
  <si>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</si>
  <si>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</si>
  <si>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</si>
  <si>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</si>
  <si>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</si>
  <si>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</si>
  <si>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</si>
  <si>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</si>
  <si>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</si>
  <si>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</si>
  <si>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</si>
  <si>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</si>
  <si>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</si>
  <si>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</si>
  <si>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</si>
  <si>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</si>
  <si>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</si>
  <si>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</si>
  <si>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</si>
  <si>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</si>
  <si>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</si>
  <si>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</si>
  <si>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</si>
  <si>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</si>
  <si>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</si>
  <si>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</si>
  <si>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</si>
  <si>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</si>
  <si>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</si>
  <si>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</si>
  <si>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</si>
  <si>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</si>
  <si>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</si>
  <si>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</si>
  <si>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</si>
  <si>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</si>
  <si>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</si>
  <si>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</si>
  <si>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</si>
  <si>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</si>
  <si>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</si>
  <si>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</si>
  <si>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</si>
  <si>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</si>
  <si>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</si>
  <si>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</si>
  <si>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</si>
  <si>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</si>
  <si>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</si>
  <si>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</si>
  <si>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</si>
  <si>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</si>
  <si>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</si>
  <si>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</si>
  <si>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</si>
  <si>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</si>
  <si>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</si>
  <si>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</si>
  <si>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</si>
  <si>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</si>
  <si>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</si>
  <si>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</si>
  <si>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</si>
  <si>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</si>
  <si>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</si>
  <si>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</si>
  <si>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</si>
  <si>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</si>
  <si>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</si>
  <si>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</si>
  <si>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</si>
  <si>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</si>
  <si>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</si>
  <si>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</si>
  <si>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</si>
  <si>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</si>
  <si>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</si>
  <si>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</si>
  <si>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</si>
  <si>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</si>
  <si>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</si>
  <si>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</si>
  <si>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</si>
  <si>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</si>
  <si>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</si>
  <si>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</si>
  <si>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</si>
  <si>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</si>
  <si>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</si>
  <si>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</si>
  <si>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</si>
  <si>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</si>
  <si>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</si>
  <si>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</si>
  <si>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</si>
  <si>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</si>
  <si>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</si>
  <si>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</si>
  <si>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</si>
  <si>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</si>
  <si>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</si>
  <si>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</si>
  <si>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</si>
  <si>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</si>
  <si>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</si>
  <si>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</si>
  <si>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</si>
  <si>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</si>
  <si>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</si>
  <si>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</si>
  <si>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</si>
  <si>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</si>
  <si>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</si>
  <si>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</si>
  <si>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</si>
  <si>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</si>
  <si>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</si>
  <si>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</si>
  <si>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</si>
  <si>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</si>
  <si>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</si>
  <si>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</si>
  <si>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</si>
  <si>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</si>
  <si>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</si>
  <si>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</si>
  <si>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</si>
  <si>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</si>
  <si>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</si>
  <si>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</si>
  <si>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</si>
  <si>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</si>
  <si>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</si>
  <si>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</si>
  <si>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</si>
  <si>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</si>
  <si>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</si>
  <si>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</si>
  <si>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</si>
  <si>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</si>
  <si>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</si>
  <si>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</si>
  <si>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</si>
  <si>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</si>
  <si>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</si>
  <si>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</si>
  <si>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</si>
  <si>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</si>
  <si>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</si>
  <si>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</si>
  <si>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</si>
  <si>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</si>
  <si>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</si>
  <si>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</si>
  <si>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</si>
  <si>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</si>
  <si>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</si>
  <si>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</si>
  <si>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</si>
  <si>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</si>
  <si>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</si>
  <si>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</si>
  <si>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</si>
  <si>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</si>
  <si>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</si>
  <si>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</si>
  <si>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</si>
  <si>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</si>
  <si>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</si>
  <si>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</si>
  <si>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</si>
  <si>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</si>
  <si>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</si>
  <si>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</si>
  <si>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</si>
  <si>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</si>
  <si>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</si>
  <si>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</si>
  <si>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</si>
  <si>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</si>
  <si>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</si>
  <si>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</si>
  <si>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</si>
  <si>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</si>
  <si>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</si>
  <si>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</si>
  <si>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</si>
  <si>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</si>
  <si>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</si>
  <si>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</si>
  <si>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</si>
  <si>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</si>
  <si>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</si>
  <si>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</si>
  <si>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</si>
  <si>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</si>
  <si>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</si>
  <si>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</si>
  <si>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</si>
  <si>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</si>
  <si>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</si>
  <si>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</si>
  <si>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</si>
  <si>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</si>
  <si>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</si>
  <si>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</si>
  <si>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</si>
  <si>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</si>
  <si>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</si>
  <si>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</si>
  <si>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</si>
  <si>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</si>
  <si>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</si>
  <si>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</si>
  <si>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</si>
  <si>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</si>
  <si>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</si>
  <si>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</si>
  <si>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</si>
  <si>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</si>
  <si>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</si>
  <si>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</si>
  <si>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</si>
  <si>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</si>
  <si>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</si>
  <si>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</si>
  <si>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</si>
  <si>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</si>
  <si>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</si>
  <si>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</si>
  <si>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</si>
  <si>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</si>
  <si>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</si>
  <si>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</si>
  <si>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</si>
  <si>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</si>
  <si>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</si>
  <si>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</si>
  <si>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</si>
  <si>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</si>
  <si>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</si>
  <si>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</si>
  <si>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</si>
  <si>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</si>
  <si>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</si>
  <si>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</si>
  <si>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</si>
  <si>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</si>
  <si>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</si>
  <si>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</si>
  <si>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</si>
  <si>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</si>
  <si>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</si>
  <si>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</si>
  <si>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</si>
  <si>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</si>
  <si>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</si>
  <si>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</si>
  <si>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</si>
  <si>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</si>
  <si>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</si>
  <si>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</si>
  <si>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</si>
  <si>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</si>
  <si>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</si>
  <si>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</si>
  <si>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</si>
  <si>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</si>
  <si>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</si>
  <si>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</si>
  <si>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</si>
  <si>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</si>
  <si>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</si>
  <si>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</si>
  <si>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</si>
  <si>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</si>
  <si>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</si>
  <si>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</si>
  <si>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</si>
  <si>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</si>
  <si>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</si>
  <si>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</si>
  <si>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</si>
  <si>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</si>
  <si>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</si>
  <si>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</si>
  <si>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</si>
  <si>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</si>
  <si>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</si>
  <si>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</si>
  <si>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</si>
  <si>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</si>
  <si>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</si>
  <si>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</si>
  <si>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</si>
  <si>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</si>
  <si>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</si>
  <si>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</si>
  <si>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</si>
  <si>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</si>
  <si>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</si>
  <si>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</si>
  <si>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</si>
  <si>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</si>
  <si>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</si>
  <si>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</si>
  <si>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</si>
  <si>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</si>
  <si>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</si>
  <si>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</si>
  <si>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</si>
  <si>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</si>
  <si>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</si>
  <si>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</si>
  <si>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</si>
  <si>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</si>
  <si>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</si>
  <si>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</si>
  <si>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</si>
  <si>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</si>
  <si>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</si>
  <si>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</si>
  <si>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</si>
  <si>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</si>
  <si>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</si>
  <si>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</si>
  <si>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</si>
  <si>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</si>
  <si>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</si>
  <si>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</si>
  <si>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</si>
  <si>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</si>
  <si>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</si>
  <si>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</si>
  <si>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</si>
  <si>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</si>
  <si>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</si>
  <si>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</si>
  <si>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</si>
  <si>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</si>
  <si>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</si>
  <si>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</si>
  <si>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</si>
  <si>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</si>
  <si>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</si>
  <si>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</si>
  <si>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</si>
  <si>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</si>
  <si>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</si>
  <si>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</si>
  <si>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</si>
  <si>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</si>
  <si>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</si>
  <si>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</si>
  <si>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</si>
  <si>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</si>
  <si>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</si>
  <si>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</si>
  <si>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</si>
  <si>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</si>
  <si>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</si>
  <si>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</si>
  <si>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</si>
  <si>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</si>
  <si>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</si>
  <si>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</si>
  <si>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</si>
  <si>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</si>
  <si>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</si>
  <si>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</si>
  <si>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</si>
  <si>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</si>
  <si>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</si>
  <si>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</si>
  <si>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</si>
  <si>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</si>
  <si>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</si>
  <si>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</si>
  <si>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</si>
  <si>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</si>
  <si>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</si>
  <si>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</si>
  <si>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</si>
  <si>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</si>
  <si>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</si>
  <si>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</si>
  <si>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</si>
  <si>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</si>
  <si>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</si>
  <si>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</si>
  <si>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</si>
  <si>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</si>
  <si>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</si>
  <si>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</si>
  <si>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</si>
  <si>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</si>
  <si>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</si>
  <si>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</si>
  <si>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</si>
  <si>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</si>
  <si>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</si>
  <si>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</si>
  <si>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</si>
  <si>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</si>
  <si>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</si>
  <si>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</si>
  <si>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</si>
  <si>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</si>
  <si>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</si>
  <si>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</si>
  <si>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</si>
  <si>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</si>
  <si>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</si>
  <si>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</si>
  <si>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</si>
  <si>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</si>
  <si>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</si>
  <si>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</si>
  <si>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</si>
  <si>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</si>
  <si>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</si>
  <si>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</si>
  <si>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</si>
  <si>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</si>
  <si>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</si>
  <si>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</si>
  <si>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</si>
  <si>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</si>
  <si>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</si>
  <si>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</si>
  <si>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</si>
  <si>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</si>
  <si>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</si>
  <si>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</si>
  <si>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</si>
  <si>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</si>
  <si>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</si>
  <si>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</si>
  <si>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</si>
  <si>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</si>
  <si>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</si>
  <si>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</si>
  <si>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</si>
  <si>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</si>
  <si>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</si>
  <si>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</si>
  <si>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</si>
  <si>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</si>
  <si>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</si>
  <si>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</si>
  <si>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</si>
  <si>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</si>
  <si>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</si>
  <si>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</si>
  <si>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</si>
  <si>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</si>
  <si>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</si>
  <si>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</si>
  <si>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</si>
  <si>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</si>
  <si>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</si>
  <si>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</si>
  <si>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</si>
  <si>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</si>
  <si>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</si>
  <si>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</si>
  <si>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</si>
  <si>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</si>
  <si>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</si>
  <si>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</si>
  <si>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</si>
  <si>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</si>
  <si>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</si>
  <si>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</si>
  <si>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</si>
  <si>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</si>
  <si>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</si>
  <si>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</si>
  <si>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</si>
  <si>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</si>
  <si>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</si>
  <si>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</si>
  <si>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</si>
  <si>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</si>
  <si>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</si>
  <si>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</si>
  <si>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</si>
  <si>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</si>
  <si>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</si>
  <si>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</si>
  <si>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</si>
  <si>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</si>
  <si>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</si>
  <si>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</si>
  <si>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</si>
  <si>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</si>
  <si>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</si>
  <si>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</si>
  <si>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</si>
  <si>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</si>
  <si>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</si>
  <si>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</si>
  <si>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</si>
  <si>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</si>
  <si>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</si>
  <si>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</si>
  <si>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</si>
  <si>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</si>
  <si>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</si>
  <si>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</si>
  <si>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</si>
  <si>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</si>
  <si>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</si>
  <si>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</si>
  <si>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</si>
  <si>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</si>
  <si>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</si>
  <si>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</si>
  <si>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</si>
  <si>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</si>
  <si>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</si>
  <si>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</si>
  <si>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</si>
  <si>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</si>
  <si>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</si>
  <si>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</si>
  <si>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</si>
  <si>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</si>
  <si>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</si>
  <si>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</si>
  <si>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</si>
  <si>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</si>
  <si>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</si>
  <si>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</si>
  <si>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</si>
  <si>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</si>
  <si>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</si>
  <si>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</si>
  <si>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</si>
  <si>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</si>
  <si>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</si>
  <si>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</si>
  <si>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</si>
  <si>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</si>
  <si>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</si>
  <si>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</si>
  <si>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</si>
  <si>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</si>
  <si>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</si>
  <si>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</si>
  <si>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</si>
  <si>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</si>
  <si>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</si>
  <si>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</si>
  <si>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</si>
  <si>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</si>
  <si>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</si>
  <si>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</si>
  <si>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</si>
  <si>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</si>
  <si>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</si>
  <si>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</si>
  <si>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</si>
  <si>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</si>
  <si>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</si>
  <si>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</si>
  <si>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</si>
  <si>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</si>
  <si>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</si>
  <si>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</si>
  <si>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</si>
  <si>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</si>
  <si>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</si>
  <si>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</si>
  <si>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</si>
  <si>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</si>
  <si>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</si>
  <si>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</si>
  <si>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</si>
  <si>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</si>
  <si>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</si>
  <si>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</si>
  <si>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</si>
  <si>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</si>
  <si>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</si>
  <si>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</si>
  <si>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</si>
  <si>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</si>
  <si>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</si>
  <si>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</si>
  <si>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</si>
  <si>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</si>
  <si>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</si>
  <si>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</si>
  <si>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</si>
  <si>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</si>
  <si>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</si>
  <si>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</si>
  <si>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</si>
  <si>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</si>
  <si>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</si>
  <si>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</si>
  <si>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</si>
  <si>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</si>
  <si>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</si>
  <si>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</si>
  <si>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</si>
  <si>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</si>
  <si>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</si>
  <si>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</si>
  <si>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</si>
  <si>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</si>
  <si>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</si>
  <si>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</si>
  <si>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</si>
  <si>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</si>
  <si>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</si>
  <si>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</si>
  <si>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</si>
  <si>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</si>
  <si>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</si>
  <si>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</si>
  <si>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</si>
  <si>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</si>
  <si>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</si>
  <si>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</si>
  <si>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</si>
  <si>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</si>
  <si>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</si>
  <si>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</si>
  <si>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</si>
  <si>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</si>
  <si>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</si>
  <si>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</si>
  <si>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</si>
  <si>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</si>
  <si>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</si>
  <si>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</si>
  <si>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</si>
  <si>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</si>
  <si>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</si>
  <si>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</si>
  <si>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</si>
  <si>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</si>
  <si>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</si>
  <si>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</si>
  <si>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</si>
  <si>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</si>
  <si>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</si>
  <si>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</si>
  <si>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</si>
  <si>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</si>
  <si>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</si>
  <si>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</si>
  <si>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</si>
  <si>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</si>
  <si>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</si>
  <si>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</si>
  <si>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</si>
  <si>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</si>
  <si>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</si>
  <si>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</si>
  <si>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</si>
  <si>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</si>
  <si>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</si>
  <si>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</si>
  <si>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</si>
  <si>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</si>
  <si>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</si>
  <si>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</si>
  <si>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</si>
  <si>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</si>
  <si>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</si>
  <si>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</si>
  <si>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</si>
  <si>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</si>
  <si>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</si>
  <si>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</si>
  <si>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</si>
  <si>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</si>
  <si>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</si>
  <si>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</si>
  <si>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</si>
  <si>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</si>
  <si>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</si>
  <si>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</si>
  <si>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</si>
  <si>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</si>
  <si>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</si>
  <si>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</si>
  <si>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</si>
  <si>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</si>
  <si>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</si>
  <si>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</si>
  <si>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</si>
  <si>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</si>
  <si>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</si>
  <si>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</si>
  <si>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</si>
  <si>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</si>
  <si>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</si>
  <si>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</si>
  <si>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</si>
  <si>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</si>
  <si>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</si>
  <si>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</si>
  <si>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</si>
  <si>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</si>
  <si>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</si>
  <si>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</si>
  <si>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</si>
  <si>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</si>
  <si>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</si>
  <si>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</si>
  <si>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</si>
  <si>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</si>
  <si>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</si>
  <si>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</si>
  <si>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</si>
  <si>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</si>
  <si>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</si>
  <si>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</si>
  <si>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</si>
  <si>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</si>
  <si>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</si>
  <si>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</si>
  <si>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</si>
  <si>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</si>
  <si>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</si>
  <si>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</si>
  <si>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</si>
  <si>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</si>
  <si>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</si>
  <si>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</si>
  <si>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</si>
  <si>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</si>
  <si>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</si>
  <si>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</si>
  <si>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</si>
  <si>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</si>
  <si>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</si>
  <si>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</si>
  <si>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</si>
  <si>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</si>
  <si>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</si>
  <si>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</si>
  <si>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</si>
  <si>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</si>
  <si>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</si>
  <si>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</si>
  <si>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</si>
  <si>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</si>
  <si>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</si>
  <si>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</si>
  <si>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</si>
  <si>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</si>
  <si>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</si>
  <si>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</si>
  <si>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</si>
  <si>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</si>
  <si>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</si>
  <si>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</si>
  <si>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</si>
  <si>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</si>
  <si>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</si>
  <si>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</si>
  <si>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</si>
  <si>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</si>
  <si>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</si>
  <si>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</si>
  <si>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</si>
  <si>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</si>
  <si>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</si>
  <si>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</si>
  <si>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</si>
  <si>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</si>
  <si>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</si>
  <si>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</si>
  <si>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</si>
  <si>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</si>
  <si>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</si>
  <si>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</si>
  <si>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</si>
  <si>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</si>
  <si>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</si>
  <si>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</si>
  <si>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</si>
  <si>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</si>
  <si>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</si>
  <si>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</si>
  <si>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</si>
  <si>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</si>
  <si>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</si>
  <si>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</si>
  <si>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</si>
  <si>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</si>
  <si>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</si>
  <si>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</si>
  <si>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</si>
  <si>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</si>
  <si>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</si>
  <si>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</si>
  <si>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</si>
  <si>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</si>
  <si>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</si>
  <si>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</si>
  <si>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</si>
  <si>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</si>
  <si>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</si>
  <si>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</si>
  <si>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</si>
  <si>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</si>
  <si>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</si>
  <si>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</si>
  <si>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</si>
  <si>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</si>
  <si>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</si>
  <si>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</si>
  <si>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</si>
  <si>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</si>
  <si>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</si>
  <si>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</si>
  <si>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</si>
  <si>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</si>
  <si>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</si>
  <si>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</si>
  <si>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</si>
  <si>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</si>
  <si>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</si>
  <si>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</si>
  <si>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</si>
  <si>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</si>
  <si>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</si>
  <si>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</si>
  <si>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</si>
  <si>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</si>
  <si>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</si>
  <si>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</si>
  <si>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</si>
  <si>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</si>
  <si>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</si>
  <si>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</si>
  <si>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</si>
  <si>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</si>
  <si>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</si>
  <si>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</si>
  <si>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</si>
  <si>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</si>
  <si>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</si>
  <si>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</si>
  <si>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</si>
  <si>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</si>
  <si>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</si>
  <si>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</si>
  <si>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</si>
  <si>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</si>
  <si>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</si>
  <si>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</si>
  <si>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</si>
  <si>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</si>
  <si>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</si>
  <si>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</si>
  <si>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</si>
  <si>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</si>
  <si>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</si>
  <si>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</si>
  <si>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</si>
  <si>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</si>
  <si>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</si>
  <si>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</si>
  <si>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</si>
  <si>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</si>
  <si>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</si>
  <si>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</si>
  <si>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</si>
  <si>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</si>
  <si>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</si>
  <si>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</si>
  <si>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</si>
  <si>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</si>
  <si>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</si>
  <si>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</si>
  <si>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</si>
  <si>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</si>
  <si>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</si>
  <si>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</si>
  <si>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</si>
  <si>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</si>
  <si>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</si>
  <si>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</si>
  <si>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</si>
  <si>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</si>
  <si>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</si>
  <si>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</si>
  <si>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</si>
  <si>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</si>
  <si>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</si>
  <si>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</si>
  <si>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</si>
  <si>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</si>
  <si>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</si>
  <si>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</si>
  <si>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</si>
  <si>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</si>
  <si>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</si>
  <si>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</si>
  <si>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</si>
  <si>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</si>
  <si>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</si>
  <si>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</si>
  <si>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</si>
  <si>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</si>
  <si>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</si>
  <si>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</si>
  <si>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</si>
  <si>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</si>
  <si>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</si>
  <si>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</si>
  <si>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</si>
  <si>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</si>
  <si>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</si>
  <si>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</si>
  <si>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</si>
  <si>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</si>
  <si>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</si>
  <si>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</si>
  <si>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</si>
  <si>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</si>
  <si>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</si>
  <si>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</si>
  <si>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</si>
  <si>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</si>
  <si>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</si>
  <si>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</si>
  <si>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</si>
  <si>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</si>
  <si>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</si>
  <si>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</si>
  <si>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</si>
  <si>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</si>
  <si>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</si>
  <si>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</si>
  <si>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</si>
  <si>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</si>
  <si>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</si>
  <si>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</si>
  <si>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</si>
  <si>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</si>
  <si>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</si>
  <si>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</si>
  <si>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</si>
  <si>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</si>
  <si>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</si>
  <si>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</si>
  <si>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</si>
  <si>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</si>
  <si>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</si>
  <si>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</si>
  <si>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</si>
  <si>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</si>
  <si>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</si>
  <si>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</si>
  <si>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</si>
  <si>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</si>
  <si>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</si>
  <si>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</si>
  <si>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</si>
  <si>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</si>
  <si>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</si>
  <si>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</si>
  <si>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</si>
  <si>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</si>
  <si>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</si>
  <si>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</si>
  <si>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</si>
  <si>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</si>
  <si>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</si>
  <si>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</si>
  <si>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</si>
  <si>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</si>
  <si>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</si>
  <si>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</si>
  <si>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</si>
  <si>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</si>
  <si>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</si>
  <si>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</si>
  <si>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</si>
  <si>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</si>
  <si>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</si>
  <si>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</si>
  <si>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</si>
  <si>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</si>
  <si>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</si>
  <si>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</si>
  <si>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</si>
  <si>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</si>
  <si>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</si>
  <si>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</si>
  <si>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</si>
  <si>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</si>
  <si>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</si>
  <si>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</si>
  <si>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</si>
  <si>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</si>
  <si>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</si>
  <si>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</si>
  <si>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</si>
  <si>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</si>
  <si>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</si>
  <si>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</si>
  <si>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</si>
  <si>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</si>
  <si>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</si>
  <si>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</si>
  <si>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</si>
  <si>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</si>
  <si>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</si>
  <si>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</si>
  <si>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</si>
  <si>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</si>
  <si>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</si>
  <si>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</si>
  <si>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</si>
  <si>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</si>
  <si>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</si>
  <si>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</si>
  <si>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</si>
  <si>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</si>
  <si>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</si>
  <si>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</si>
  <si>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</si>
  <si>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</si>
  <si>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</si>
  <si>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</si>
  <si>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</si>
  <si>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</si>
  <si>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</si>
  <si>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</si>
  <si>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</si>
  <si>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</si>
  <si>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</si>
  <si>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</si>
  <si>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</si>
  <si>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</si>
  <si>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</si>
  <si>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</si>
  <si>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</si>
  <si>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</si>
  <si>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</si>
  <si>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</si>
  <si>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</si>
  <si>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</si>
  <si>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</si>
  <si>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</si>
  <si>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</si>
  <si>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</si>
  <si>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</si>
  <si>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</si>
  <si>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</si>
  <si>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</si>
  <si>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</si>
  <si>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</si>
  <si>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</si>
  <si>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</si>
  <si>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</si>
  <si>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</si>
  <si>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</si>
  <si>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</si>
  <si>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</si>
  <si>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</si>
  <si>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</si>
  <si>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</si>
  <si>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</si>
  <si>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</si>
  <si>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</si>
  <si>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</si>
  <si>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</si>
  <si>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</si>
  <si>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</si>
  <si>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</si>
  <si>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</si>
  <si>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</si>
  <si>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</si>
  <si>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</si>
  <si>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</si>
  <si>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</si>
  <si>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</si>
  <si>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</si>
  <si>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</si>
  <si>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</si>
  <si>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</si>
  <si>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</si>
  <si>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</si>
  <si>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</si>
  <si>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</si>
  <si>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</si>
  <si>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</si>
  <si>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</si>
  <si>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</si>
  <si>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</si>
  <si>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</si>
  <si>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</si>
  <si>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</si>
  <si>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</si>
  <si>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</si>
  <si>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</si>
  <si>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</si>
  <si>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</si>
  <si>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</si>
  <si>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</si>
  <si>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</si>
  <si>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</si>
  <si>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</si>
  <si>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</si>
  <si>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</si>
  <si>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</si>
  <si>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</si>
  <si>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</si>
  <si>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</si>
  <si>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</si>
  <si>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</si>
  <si>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</si>
  <si>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</si>
  <si>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</si>
  <si>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</si>
  <si>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</si>
  <si>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</si>
  <si>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</si>
  <si>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</si>
  <si>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</si>
  <si>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</si>
  <si>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</si>
  <si>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</si>
  <si>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</si>
  <si>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</si>
  <si>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</si>
  <si>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</si>
  <si>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</si>
  <si>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</si>
  <si>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</si>
  <si>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</si>
  <si>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</si>
  <si>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</si>
  <si>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</si>
  <si>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</si>
  <si>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</si>
  <si>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</si>
  <si>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</si>
  <si>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</si>
  <si>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</si>
  <si>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</si>
  <si>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</si>
  <si>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</si>
  <si>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</si>
  <si>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</si>
  <si>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</si>
  <si>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</si>
  <si>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</si>
  <si>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</si>
  <si>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</si>
  <si>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</si>
  <si>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</si>
  <si>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</si>
  <si>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</si>
  <si>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</si>
  <si>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</si>
  <si>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</si>
  <si>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</si>
  <si>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</si>
  <si>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</si>
  <si>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</si>
  <si>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</si>
  <si>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</si>
  <si>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</si>
  <si>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</si>
  <si>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</si>
  <si>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</si>
  <si>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</si>
  <si>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</si>
  <si>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</si>
  <si>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</si>
  <si>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</si>
  <si>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</si>
  <si>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</si>
  <si>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</si>
  <si>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</si>
  <si>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</si>
  <si>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</si>
  <si>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</si>
  <si>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</si>
  <si>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</si>
  <si>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</si>
  <si>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</si>
  <si>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</si>
  <si>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</si>
  <si>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</si>
  <si>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</si>
  <si>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</si>
  <si>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</si>
  <si>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</si>
  <si>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</si>
  <si>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</si>
  <si>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</si>
  <si>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</si>
  <si>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</si>
  <si>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</si>
  <si>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</si>
  <si>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</si>
  <si>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</si>
  <si>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</si>
  <si>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</si>
  <si>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</si>
  <si>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</si>
  <si>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</si>
  <si>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</si>
  <si>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</si>
  <si>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</si>
  <si>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</si>
  <si>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</si>
  <si>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</si>
  <si>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</si>
  <si>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</si>
  <si>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</si>
  <si>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</si>
  <si>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</si>
  <si>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</si>
  <si>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</si>
  <si>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</si>
  <si>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</si>
  <si>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</si>
  <si>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</si>
  <si>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</si>
  <si>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</si>
  <si>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</si>
  <si>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</si>
  <si>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</si>
  <si>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</si>
  <si>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</si>
  <si>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</si>
  <si>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</si>
  <si>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</si>
  <si>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</si>
  <si>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</si>
  <si>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</si>
  <si>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</si>
  <si>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</si>
  <si>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</si>
  <si>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</si>
  <si>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</si>
  <si>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</si>
  <si>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</si>
  <si>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</si>
  <si>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</si>
  <si>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</si>
  <si>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</si>
  <si>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</si>
  <si>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</si>
  <si>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</si>
  <si>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</si>
  <si>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</si>
  <si>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</si>
  <si>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</si>
  <si>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</si>
  <si>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</si>
  <si>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</si>
  <si>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</si>
  <si>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</si>
  <si>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</si>
  <si>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</si>
  <si>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</si>
  <si>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</si>
  <si>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</si>
  <si>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</si>
  <si>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</si>
  <si>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</si>
  <si>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</si>
  <si>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</si>
  <si>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</si>
  <si>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</si>
  <si>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</si>
  <si>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</si>
  <si>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</si>
  <si>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</si>
  <si>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</si>
  <si>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</si>
  <si>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</si>
  <si>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</si>
  <si>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</si>
  <si>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</si>
  <si>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</si>
  <si>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</si>
  <si>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</si>
  <si>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</si>
  <si>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</si>
  <si>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</si>
  <si>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</si>
  <si>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</si>
  <si>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</si>
  <si>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</si>
  <si>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</si>
  <si>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</si>
  <si>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</si>
  <si>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</si>
  <si>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</si>
  <si>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</si>
  <si>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</si>
  <si>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</si>
  <si>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</si>
  <si>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</si>
  <si>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</si>
  <si>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</si>
  <si>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</si>
  <si>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</si>
  <si>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</si>
  <si>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</si>
  <si>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</si>
  <si>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</si>
  <si>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</si>
  <si>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</si>
  <si>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</si>
  <si>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</si>
  <si>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</si>
  <si>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</si>
  <si>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</si>
  <si>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</si>
  <si>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</si>
  <si>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</si>
  <si>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</si>
  <si>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</si>
  <si>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</si>
  <si>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</si>
  <si>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</si>
  <si>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</si>
  <si>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</si>
  <si>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</si>
  <si>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</si>
  <si>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</si>
  <si>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</si>
  <si>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</si>
  <si>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</si>
  <si>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</si>
  <si>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</si>
  <si>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</si>
  <si>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</si>
  <si>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</si>
  <si>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</si>
  <si>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</si>
  <si>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</si>
  <si>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</si>
  <si>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</si>
  <si>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</si>
  <si>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</si>
  <si>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</si>
  <si>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</si>
  <si>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</si>
  <si>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</si>
  <si>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</si>
  <si>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</si>
  <si>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</si>
  <si>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</si>
  <si>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</si>
  <si>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</si>
  <si>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</si>
  <si>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</si>
  <si>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</si>
  <si>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</si>
  <si>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</si>
  <si>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</si>
  <si>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</si>
  <si>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</si>
  <si>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</si>
  <si>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</si>
  <si>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</si>
  <si>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</si>
  <si>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</si>
  <si>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</si>
  <si>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</si>
  <si>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</si>
  <si>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</si>
  <si>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</si>
  <si>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</si>
  <si>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</si>
  <si>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</si>
  <si>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</si>
  <si>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</si>
  <si>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</si>
  <si>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</si>
  <si>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</si>
  <si>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</si>
  <si>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</si>
  <si>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</si>
  <si>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</si>
  <si>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</si>
  <si>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</si>
  <si>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</si>
  <si>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</si>
  <si>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</si>
  <si>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</si>
  <si>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</si>
  <si>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</si>
  <si>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</si>
  <si>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</si>
  <si>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</si>
  <si>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</si>
  <si>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</si>
  <si>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</si>
  <si>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</si>
  <si>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</si>
  <si>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</si>
  <si>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</si>
  <si>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</si>
  <si>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</si>
  <si>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</si>
  <si>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</si>
  <si>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</si>
  <si>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</si>
  <si>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</si>
  <si>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</si>
  <si>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</si>
  <si>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</si>
  <si>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</si>
  <si>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</si>
  <si>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</si>
  <si>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</si>
  <si>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</si>
  <si>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</si>
  <si>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</si>
  <si>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</si>
  <si>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</si>
  <si>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</si>
  <si>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</si>
  <si>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</si>
  <si>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</si>
  <si>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</si>
  <si>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</si>
  <si>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</si>
  <si>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</si>
  <si>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</si>
  <si>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</si>
  <si>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</si>
  <si>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</si>
  <si>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</si>
  <si>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</si>
  <si>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</si>
  <si>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</si>
  <si>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</si>
  <si>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</si>
  <si>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</si>
  <si>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</si>
  <si>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</si>
  <si>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</si>
  <si>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</si>
  <si>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</si>
  <si>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</si>
  <si>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</si>
  <si>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</si>
  <si>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</si>
  <si>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</si>
  <si>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</si>
  <si>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</si>
  <si>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</si>
  <si>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</si>
  <si>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</si>
  <si>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</si>
  <si>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</si>
  <si>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</si>
  <si>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</si>
  <si>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</si>
  <si>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</si>
  <si>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</si>
  <si>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</si>
  <si>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</si>
  <si>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</si>
  <si>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</si>
  <si>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</si>
  <si>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</si>
  <si>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</si>
  <si>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</si>
  <si>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</si>
  <si>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</si>
  <si>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</si>
  <si>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</si>
  <si>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</si>
  <si>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</si>
  <si>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</si>
  <si>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</si>
  <si>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</si>
  <si>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</si>
  <si>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</si>
  <si>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</si>
  <si>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</si>
  <si>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</si>
  <si>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</si>
  <si>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</si>
  <si>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</si>
  <si>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</si>
  <si>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</si>
  <si>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</si>
  <si>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</si>
  <si>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</si>
  <si>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</si>
  <si>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</si>
  <si>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</si>
  <si>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</si>
  <si>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</si>
  <si>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</si>
  <si>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</si>
  <si>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</si>
  <si>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</si>
  <si>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</si>
  <si>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</si>
  <si>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</si>
  <si>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</si>
  <si>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</si>
  <si>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</si>
  <si>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</si>
  <si>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</si>
  <si>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</si>
  <si>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</si>
  <si>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</si>
  <si>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</si>
  <si>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</si>
  <si>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</si>
  <si>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</si>
  <si>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</si>
  <si>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</si>
  <si>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</si>
  <si>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</si>
  <si>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</si>
  <si>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</si>
  <si>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</si>
  <si>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</si>
  <si>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</si>
  <si>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</si>
  <si>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</si>
  <si>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</si>
  <si>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</si>
  <si>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</si>
  <si>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</si>
  <si>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</si>
  <si>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</si>
  <si>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</si>
  <si>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</si>
  <si>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</si>
  <si>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</si>
  <si>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</si>
  <si>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</si>
  <si>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</si>
  <si>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</si>
  <si>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</si>
  <si>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</si>
  <si>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</si>
  <si>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</si>
  <si>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</si>
  <si>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</si>
  <si>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</si>
  <si>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</si>
  <si>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</si>
  <si>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</si>
  <si>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</si>
  <si>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</si>
  <si>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</si>
  <si>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</si>
  <si>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</si>
  <si>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</si>
  <si>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</si>
  <si>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</si>
  <si>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</si>
  <si>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</si>
  <si>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</si>
  <si>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</si>
  <si>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</si>
  <si>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</si>
  <si>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</si>
  <si>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</si>
  <si>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</si>
  <si>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</si>
  <si>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</si>
  <si>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</si>
  <si>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</si>
  <si>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</si>
  <si>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</si>
  <si>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</si>
  <si>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</si>
  <si>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</si>
  <si>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</si>
  <si>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</si>
  <si>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</si>
  <si>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</si>
  <si>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</si>
  <si>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</si>
  <si>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</si>
  <si>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</si>
  <si>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</si>
  <si>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</si>
  <si>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</si>
  <si>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</si>
  <si>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</si>
  <si>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</si>
  <si>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</si>
  <si>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</si>
  <si>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</si>
  <si>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</si>
  <si>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</si>
  <si>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</si>
  <si>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</si>
  <si>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</si>
  <si>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</si>
  <si>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</si>
  <si>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</si>
  <si>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</si>
  <si>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</si>
  <si>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</si>
  <si>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</si>
  <si>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</si>
  <si>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</si>
  <si>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</si>
  <si>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</si>
  <si>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</si>
  <si>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</si>
  <si>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</si>
  <si>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</si>
  <si>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</si>
  <si>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</si>
  <si>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</si>
  <si>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</si>
  <si>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</si>
  <si>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</si>
  <si>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</si>
  <si>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</si>
  <si>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</si>
  <si>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</si>
  <si>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</si>
  <si>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</si>
  <si>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</si>
  <si>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</si>
  <si>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</si>
  <si>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</si>
  <si>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</si>
  <si>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</si>
  <si>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</si>
  <si>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</si>
  <si>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</si>
  <si>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</si>
  <si>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</si>
  <si>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</si>
  <si>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</si>
  <si>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</si>
  <si>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</si>
  <si>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</si>
  <si>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</si>
  <si>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</si>
  <si>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</si>
  <si>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</si>
  <si>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</si>
  <si>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</si>
  <si>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</si>
  <si>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</si>
  <si>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</si>
  <si>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</si>
  <si>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</si>
  <si>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</si>
  <si>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</si>
  <si>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</si>
  <si>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</si>
  <si>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</si>
  <si>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</si>
  <si>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</si>
  <si>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</si>
  <si>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</si>
  <si>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</si>
  <si>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</si>
  <si>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</si>
  <si>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</si>
  <si>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</si>
  <si>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</si>
  <si>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</si>
  <si>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</si>
  <si>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</si>
  <si>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</si>
  <si>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</si>
  <si>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</si>
  <si>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</si>
  <si>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</si>
  <si>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</si>
  <si>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</si>
  <si>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</si>
  <si>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</si>
  <si>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</si>
  <si>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</si>
  <si>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</si>
  <si>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</si>
  <si>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</si>
  <si>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</si>
  <si>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</si>
  <si>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</si>
  <si>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</si>
  <si>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</si>
  <si>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</si>
  <si>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</si>
  <si>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</si>
  <si>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</si>
  <si>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</si>
  <si>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</si>
  <si>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</si>
  <si>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</si>
  <si>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</si>
  <si>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</si>
  <si>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</si>
  <si>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</si>
  <si>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</si>
  <si>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</si>
  <si>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</si>
  <si>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</si>
  <si>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</si>
  <si>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</si>
  <si>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</si>
  <si>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</si>
  <si>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</si>
  <si>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</si>
  <si>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</si>
  <si>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</si>
  <si>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</si>
  <si>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</si>
  <si>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</si>
  <si>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</si>
  <si>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</si>
  <si>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</si>
  <si>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</si>
  <si>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</si>
  <si>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</si>
  <si>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</si>
  <si>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</si>
  <si>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</si>
  <si>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</si>
  <si>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</si>
  <si>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</si>
  <si>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</si>
  <si>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</si>
  <si>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</si>
  <si>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</si>
  <si>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</si>
  <si>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</si>
  <si>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</si>
  <si>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</si>
  <si>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</si>
  <si>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</si>
  <si>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</si>
  <si>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</si>
  <si>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</si>
  <si>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</si>
  <si>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</si>
  <si>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</si>
  <si>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</si>
  <si>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</si>
  <si>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</si>
  <si>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</si>
  <si>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</si>
  <si>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</si>
  <si>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</si>
  <si>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</si>
  <si>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</si>
  <si>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</si>
  <si>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</si>
  <si>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</si>
  <si>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</si>
  <si>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</si>
  <si>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</si>
  <si>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</si>
  <si>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</si>
  <si>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</si>
  <si>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</si>
  <si>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</si>
  <si>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</si>
  <si>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</si>
  <si>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</si>
  <si>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</si>
  <si>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</si>
  <si>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</si>
  <si>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</si>
  <si>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</si>
  <si>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</si>
  <si>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</si>
  <si>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</si>
  <si>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</si>
  <si>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</si>
  <si>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</si>
  <si>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</si>
  <si>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</si>
  <si>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</si>
  <si>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</si>
  <si>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</si>
  <si>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</si>
  <si>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</si>
  <si>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</si>
  <si>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</si>
  <si>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</si>
  <si>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</si>
  <si>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</si>
  <si>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</si>
  <si>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</si>
  <si>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</si>
  <si>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</si>
  <si>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</si>
  <si>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</si>
  <si>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</si>
  <si>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</si>
  <si>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</si>
  <si>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</si>
  <si>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</si>
  <si>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</si>
  <si>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</si>
  <si>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</si>
  <si>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</si>
  <si>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</si>
  <si>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</si>
  <si>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</si>
  <si>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</si>
  <si>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</si>
  <si>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</si>
  <si>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</si>
  <si>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</si>
  <si>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</si>
  <si>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</si>
  <si>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</si>
  <si>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</si>
  <si>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</si>
  <si>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</si>
  <si>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</si>
  <si>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</si>
  <si>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</si>
  <si>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</si>
  <si>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</si>
  <si>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</si>
  <si>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</si>
  <si>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</si>
  <si>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</si>
  <si>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</si>
  <si>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</si>
  <si>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</si>
  <si>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</si>
  <si>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</si>
  <si>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</si>
  <si>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</si>
  <si>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</si>
  <si>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</si>
  <si>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</si>
  <si>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</si>
  <si>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</si>
  <si>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</si>
  <si>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</si>
  <si>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</si>
  <si>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</si>
  <si>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</si>
  <si>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</si>
  <si>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</si>
  <si>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</si>
  <si>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</si>
  <si>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</si>
  <si>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</si>
  <si>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</si>
  <si>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</si>
  <si>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</si>
  <si>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</si>
  <si>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</si>
  <si>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</si>
  <si>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</si>
  <si>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</si>
  <si>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</si>
  <si>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</si>
  <si>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</si>
  <si>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</si>
  <si>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</si>
  <si>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</si>
  <si>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</si>
  <si>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</si>
  <si>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</si>
  <si>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</si>
  <si>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</si>
  <si>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</si>
  <si>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</si>
  <si>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</si>
  <si>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</si>
  <si>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</si>
  <si>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</si>
  <si>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</si>
  <si>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</si>
  <si>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</si>
  <si>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</si>
  <si>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</si>
  <si>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</si>
  <si>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</si>
  <si>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</si>
  <si>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</si>
  <si>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</si>
  <si>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</si>
  <si>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</si>
  <si>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</si>
  <si>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</si>
  <si>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</si>
  <si>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</si>
  <si>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</si>
  <si>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</si>
  <si>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</si>
  <si>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</si>
  <si>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</si>
  <si>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</si>
  <si>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</si>
  <si>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</si>
  <si>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</si>
  <si>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</si>
  <si>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</si>
  <si>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</si>
  <si>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</si>
  <si>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</si>
  <si>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</si>
  <si>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</si>
  <si>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</si>
  <si>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</si>
  <si>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</si>
  <si>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</si>
  <si>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</si>
  <si>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</si>
  <si>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</si>
  <si>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</si>
  <si>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</si>
  <si>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</si>
  <si>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</si>
  <si>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</si>
  <si>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</si>
  <si>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</si>
  <si>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</si>
  <si>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</si>
  <si>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</si>
  <si>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</si>
  <si>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</si>
  <si>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</si>
  <si>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</si>
  <si>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</si>
  <si>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</si>
  <si>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</si>
  <si>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</si>
  <si>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</si>
  <si>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</si>
  <si>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</si>
  <si>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</si>
  <si>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</si>
  <si>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</si>
  <si>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</si>
  <si>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</si>
  <si>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</si>
  <si>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</si>
  <si>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</si>
  <si>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</si>
  <si>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</si>
  <si>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</si>
  <si>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</si>
  <si>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</si>
  <si>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</si>
  <si>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</si>
  <si>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</si>
  <si>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</si>
  <si>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</si>
  <si>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</si>
  <si>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</si>
  <si>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</si>
  <si>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</si>
  <si>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</si>
  <si>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</si>
  <si>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</si>
  <si>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</si>
  <si>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</si>
  <si>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</si>
  <si>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</si>
  <si>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</si>
  <si>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</si>
  <si>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</si>
  <si>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</si>
  <si>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</si>
  <si>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</si>
  <si>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</si>
  <si>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</si>
  <si>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</si>
  <si>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</si>
  <si>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</si>
  <si>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</si>
  <si>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</si>
  <si>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</si>
  <si>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</si>
  <si>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</si>
  <si>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</si>
  <si>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</si>
  <si>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</si>
  <si>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</si>
  <si>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</si>
  <si>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</si>
  <si>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</si>
  <si>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</si>
  <si>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</si>
  <si>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</si>
  <si>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</si>
  <si>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</si>
  <si>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</si>
  <si>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</si>
  <si>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</si>
  <si>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</si>
  <si>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</si>
  <si>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</si>
  <si>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</si>
  <si>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</si>
  <si>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</si>
  <si>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</si>
  <si>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</si>
  <si>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</si>
  <si>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</si>
  <si>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</si>
  <si>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</si>
  <si>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</si>
  <si>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</si>
  <si>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</si>
  <si>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</si>
  <si>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</si>
  <si>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</si>
  <si>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</si>
  <si>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</si>
  <si>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</si>
  <si>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</si>
  <si>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</si>
  <si>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</si>
  <si>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</si>
  <si>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</si>
  <si>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</si>
  <si>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</si>
  <si>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</si>
  <si>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</si>
  <si>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</si>
  <si>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</si>
  <si>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</si>
  <si>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</si>
  <si>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</si>
  <si>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</si>
  <si>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</si>
  <si>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</si>
  <si>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</si>
  <si>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</si>
  <si>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</si>
  <si>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</si>
  <si>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</si>
  <si>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</si>
  <si>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</si>
  <si>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</si>
  <si>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</si>
  <si>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</si>
  <si>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</si>
  <si>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</si>
  <si>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</si>
  <si>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</si>
  <si>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</si>
  <si>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</si>
  <si>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</si>
  <si>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</si>
  <si>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</si>
  <si>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</si>
  <si>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</si>
  <si>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</si>
  <si>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</si>
  <si>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</si>
  <si>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</si>
  <si>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</si>
  <si>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</si>
  <si>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</si>
  <si>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</si>
  <si>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</si>
  <si>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</si>
  <si>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</si>
  <si>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</si>
  <si>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</si>
  <si>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</si>
  <si>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</si>
  <si>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</si>
  <si>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</si>
  <si>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</si>
  <si>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</si>
  <si>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</si>
  <si>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</si>
  <si>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</si>
  <si>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</si>
  <si>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</si>
  <si>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</si>
  <si>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</si>
  <si>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</si>
  <si>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</si>
  <si>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</si>
  <si>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</si>
  <si>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</si>
  <si>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</si>
  <si>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</si>
  <si>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</si>
  <si>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</si>
  <si>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</si>
  <si>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wife placeholder</t>
  </si>
  <si>
    <t>kids placeholder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</si>
  <si>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</si>
  <si>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</si>
  <si>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</si>
  <si>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</si>
  <si>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</si>
  <si>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</si>
  <si>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</si>
  <si>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131.87 !show</t>
  </si>
  <si>
    <t>SgPow{MCSA</t>
  </si>
  <si>
    <t>EGA+Rev</t>
  </si>
  <si>
    <t>eccard</t>
  </si>
  <si>
    <t>~~ keep $0 bal</t>
  </si>
  <si>
    <t>LL=total_6M</t>
  </si>
  <si>
    <t>-outflow over 44 D:</t>
  </si>
  <si>
    <t>-50 !yet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</si>
  <si>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</si>
  <si>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</si>
  <si>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</si>
  <si>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</si>
  <si>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</si>
  <si>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</si>
  <si>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</si>
  <si>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</si>
  <si>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</si>
  <si>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</si>
  <si>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</si>
  <si>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Starhub rebate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</si>
  <si>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</si>
  <si>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</si>
  <si>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</si>
  <si>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</si>
  <si>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</si>
  <si>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</si>
  <si>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</si>
  <si>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</si>
  <si>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</si>
  <si>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</si>
  <si>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</si>
  <si>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</si>
  <si>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</si>
  <si>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InsideOut19/10</t>
  </si>
  <si>
    <t>Chng14/10</t>
  </si>
  <si>
    <t>Chng21/10</t>
  </si>
  <si>
    <t>Y2K phone</t>
  </si>
  <si>
    <t>52.8!show</t>
  </si>
  <si>
    <t>CGC20/10 SCB</t>
  </si>
  <si>
    <t>anyW 23/10</t>
  </si>
  <si>
    <t>Eileen 24/10 SCB</t>
  </si>
  <si>
    <t>1202.04!show</t>
  </si>
  <si>
    <t>HsbcRBBT-I#29D</t>
  </si>
  <si>
    <t>HsbcRBBT-I#32D</t>
  </si>
  <si>
    <t>HDMI's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</si>
</sst>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91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71" fillId="17" borderId="0" xfId="0" quotePrefix="1" applyFont="1" applyFill="1" applyAlignment="1">
      <alignment horizontal="center"/>
    </xf>
    <xf numFmtId="0" fontId="0" fillId="0" borderId="0" xfId="0" applyBorder="1"/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55" t="s">
        <v>1875</v>
      </c>
      <c r="C2" s="1055"/>
      <c r="D2" s="1055"/>
      <c r="E2" s="1057" t="s">
        <v>2491</v>
      </c>
      <c r="F2" s="1057" t="s">
        <v>2513</v>
      </c>
      <c r="G2" s="688"/>
      <c r="H2" s="1043"/>
      <c r="I2" s="1056" t="s">
        <v>2617</v>
      </c>
      <c r="J2" s="1056"/>
      <c r="K2" s="1045" t="s">
        <v>2614</v>
      </c>
      <c r="L2" s="1045" t="s">
        <v>2536</v>
      </c>
      <c r="M2" s="1057" t="s">
        <v>2496</v>
      </c>
      <c r="N2" s="1037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58"/>
      <c r="F3" s="1058"/>
      <c r="G3" s="692"/>
      <c r="H3" s="1044"/>
      <c r="I3" s="693" t="s">
        <v>2579</v>
      </c>
      <c r="J3" s="694" t="s">
        <v>2210</v>
      </c>
      <c r="K3" s="1046"/>
      <c r="L3" s="1046"/>
      <c r="M3" s="1058"/>
      <c r="N3" s="1037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50" t="s">
        <v>2494</v>
      </c>
      <c r="D10" s="1050"/>
      <c r="E10" s="1050"/>
      <c r="F10" s="1050"/>
      <c r="G10" s="1050"/>
      <c r="H10" s="1050"/>
      <c r="I10" s="1050"/>
      <c r="J10" s="1050"/>
      <c r="K10" s="1050"/>
      <c r="L10" s="1050"/>
      <c r="M10" s="1050"/>
      <c r="N10" s="1050"/>
      <c r="O10" s="1050"/>
      <c r="P10" s="1050"/>
    </row>
    <row r="11" spans="2:16" ht="12.75" customHeight="1">
      <c r="B11" s="564"/>
      <c r="C11" s="556" t="s">
        <v>2509</v>
      </c>
      <c r="D11" s="554"/>
      <c r="E11" s="1038" t="s">
        <v>2491</v>
      </c>
      <c r="F11" s="1038" t="s">
        <v>2513</v>
      </c>
      <c r="G11" s="558"/>
      <c r="H11" s="1041" t="s">
        <v>2502</v>
      </c>
      <c r="I11" s="1047" t="s">
        <v>2727</v>
      </c>
      <c r="J11" s="1051" t="s">
        <v>2615</v>
      </c>
      <c r="K11" s="1051"/>
      <c r="L11" s="1052"/>
      <c r="M11" s="1038" t="s">
        <v>2728</v>
      </c>
      <c r="N11" s="1040" t="s">
        <v>2503</v>
      </c>
    </row>
    <row r="12" spans="2:16">
      <c r="B12" s="564"/>
      <c r="C12" s="550" t="s">
        <v>1873</v>
      </c>
      <c r="D12" s="551" t="s">
        <v>2410</v>
      </c>
      <c r="E12" s="1039"/>
      <c r="F12" s="1039"/>
      <c r="G12" s="560"/>
      <c r="H12" s="1042"/>
      <c r="I12" s="1048"/>
      <c r="J12" s="696" t="s">
        <v>2511</v>
      </c>
      <c r="K12" s="561" t="s">
        <v>1874</v>
      </c>
      <c r="L12" s="1053"/>
      <c r="M12" s="1039"/>
      <c r="N12" s="1040"/>
    </row>
    <row r="13" spans="2:16" s="621" customFormat="1">
      <c r="B13" s="1054">
        <v>8</v>
      </c>
      <c r="C13" s="1054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2869</v>
      </c>
    </row>
    <row r="19" spans="2:18" s="728" customFormat="1">
      <c r="B19" s="823"/>
      <c r="C19" s="1049" t="s">
        <v>2495</v>
      </c>
      <c r="D19" s="1049"/>
      <c r="E19" s="1049"/>
      <c r="F19" s="1049"/>
      <c r="G19" s="1049"/>
      <c r="H19" s="1049"/>
      <c r="I19" s="1049"/>
      <c r="J19" s="1049"/>
      <c r="K19" s="1049"/>
      <c r="L19" s="1049"/>
      <c r="M19" s="1049"/>
      <c r="N19" s="1049"/>
      <c r="O19" s="1049"/>
      <c r="P19" s="1049"/>
    </row>
    <row r="20" spans="2:18" s="728" customFormat="1">
      <c r="B20" s="740"/>
      <c r="G20" s="1036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36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36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59">
        <f>SUMPRODUCT(D4:D33,E4:E33)/365</f>
        <v>25.715295438356168</v>
      </c>
      <c r="E34" s="1059"/>
      <c r="F34" s="772"/>
    </row>
    <row r="35" spans="2:11">
      <c r="B35" s="771" t="s">
        <v>2789</v>
      </c>
      <c r="D35" s="1059" t="s">
        <v>2779</v>
      </c>
      <c r="E35" s="1059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E48" sqref="E48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11.5703125" style="580" customWidth="1"/>
    <col min="9" max="10" width="12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2954</v>
      </c>
    </row>
    <row r="3" spans="2:10" ht="14.25">
      <c r="B3" s="242">
        <f t="shared" ref="B3:B33" si="0">MIN(D3,100000)</f>
        <v>0</v>
      </c>
      <c r="C3" s="877">
        <v>45230</v>
      </c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45229</v>
      </c>
      <c r="D4" s="819">
        <v>0</v>
      </c>
      <c r="E4" s="736">
        <f>VLOOKUP(D4,$H$5:$I$8,2)</f>
        <v>1.5E-3</v>
      </c>
      <c r="F4" s="736"/>
      <c r="H4" s="219" t="s">
        <v>2865</v>
      </c>
      <c r="I4" s="219" t="s">
        <v>3065</v>
      </c>
      <c r="J4" s="219" t="s">
        <v>2866</v>
      </c>
    </row>
    <row r="5" spans="2:10" ht="14.25">
      <c r="B5" s="242">
        <f t="shared" si="0"/>
        <v>0</v>
      </c>
      <c r="C5" s="877">
        <v>45228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2868</v>
      </c>
    </row>
    <row r="6" spans="2:10" ht="14.25">
      <c r="B6" s="242">
        <f t="shared" si="0"/>
        <v>0</v>
      </c>
      <c r="C6" s="877">
        <v>45227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45226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45225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2867</v>
      </c>
    </row>
    <row r="9" spans="2:10" ht="14.25">
      <c r="B9" s="242">
        <f t="shared" si="0"/>
        <v>0</v>
      </c>
      <c r="C9" s="877">
        <v>45224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45223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45222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45221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45220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45219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45218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45217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45216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45215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45214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45213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45212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45211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45210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0</v>
      </c>
      <c r="C24" s="877">
        <v>45209</v>
      </c>
      <c r="D24" s="819">
        <v>0</v>
      </c>
      <c r="E24" s="736">
        <f t="shared" si="1"/>
        <v>1.5E-3</v>
      </c>
      <c r="F24" s="736"/>
    </row>
    <row r="25" spans="2:11" ht="14.25">
      <c r="B25" s="242">
        <f t="shared" si="0"/>
        <v>0</v>
      </c>
      <c r="C25" s="877">
        <v>45208</v>
      </c>
      <c r="D25" s="819">
        <v>0</v>
      </c>
      <c r="E25" s="736">
        <f t="shared" si="1"/>
        <v>1.5E-3</v>
      </c>
      <c r="F25" s="736"/>
    </row>
    <row r="26" spans="2:11" ht="14.25">
      <c r="B26" s="242">
        <f t="shared" si="0"/>
        <v>100000</v>
      </c>
      <c r="C26" s="877">
        <v>45207</v>
      </c>
      <c r="D26" s="962">
        <v>101000.83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45206</v>
      </c>
      <c r="D27" s="862">
        <v>100260.82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45205</v>
      </c>
      <c r="D28" s="862">
        <v>101135.62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45204</v>
      </c>
      <c r="D29" s="819">
        <v>101622.62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45203</v>
      </c>
      <c r="D30" s="819">
        <v>101622.62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8.0000000000000002E-3</v>
      </c>
      <c r="K30" s="736"/>
    </row>
    <row r="31" spans="2:11" ht="14.25">
      <c r="B31" s="242">
        <f t="shared" si="0"/>
        <v>100000</v>
      </c>
      <c r="C31" s="877">
        <v>45202</v>
      </c>
      <c r="D31" s="819">
        <v>101622.62</v>
      </c>
      <c r="E31" s="736">
        <f t="shared" si="1"/>
        <v>4.0000000000000001E-3</v>
      </c>
      <c r="F31" s="736"/>
      <c r="H31" s="738">
        <f>$B$35</f>
        <v>25806.451612903227</v>
      </c>
      <c r="I31" s="738">
        <f>$B$35</f>
        <v>25806.451612903227</v>
      </c>
      <c r="J31" s="738">
        <f>$B$35</f>
        <v>25806.451612903227</v>
      </c>
    </row>
    <row r="32" spans="2:11" ht="14.25">
      <c r="B32" s="242">
        <f t="shared" si="0"/>
        <v>100000</v>
      </c>
      <c r="C32" s="877">
        <v>45201</v>
      </c>
      <c r="D32" s="819">
        <v>101622.62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45200</v>
      </c>
      <c r="D33" s="862">
        <v>100669.58</v>
      </c>
      <c r="E33" s="736">
        <f t="shared" si="1"/>
        <v>4.0000000000000001E-3</v>
      </c>
      <c r="F33" s="736"/>
      <c r="H33" s="580">
        <f>H30*H31/365*31</f>
        <v>54.794520547945211</v>
      </c>
      <c r="I33" s="580">
        <f t="shared" ref="I33:J33" si="2">I30*I31/365*31</f>
        <v>19.726027397260275</v>
      </c>
      <c r="J33" s="580">
        <f t="shared" si="2"/>
        <v>17.534246575342465</v>
      </c>
      <c r="K33" s="738">
        <f>D35</f>
        <v>8.8718611506849321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205.48</v>
      </c>
      <c r="I34" s="580">
        <v>73.97</v>
      </c>
      <c r="J34" s="580">
        <v>65.75</v>
      </c>
      <c r="K34" s="580">
        <v>33</v>
      </c>
    </row>
    <row r="35" spans="2:11">
      <c r="B35" s="738">
        <f>AVERAGE(B3:B33)</f>
        <v>25806.451612903227</v>
      </c>
      <c r="D35" s="1059">
        <f>SUMPRODUCT(D3:D33,E3:E33)/365</f>
        <v>8.8718611506849321</v>
      </c>
      <c r="E35" s="1059"/>
      <c r="F35" s="739"/>
    </row>
    <row r="36" spans="2:11">
      <c r="B36" s="733" t="s">
        <v>2789</v>
      </c>
      <c r="D36" s="1059" t="s">
        <v>2779</v>
      </c>
      <c r="E36" s="1059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2919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2990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2862</v>
      </c>
      <c r="C2" s="817" t="s">
        <v>2863</v>
      </c>
      <c r="D2" t="s">
        <v>461</v>
      </c>
    </row>
    <row r="3" spans="1:4">
      <c r="A3" s="818">
        <v>45082</v>
      </c>
      <c r="C3">
        <v>1000</v>
      </c>
      <c r="D3" t="s">
        <v>2861</v>
      </c>
    </row>
    <row r="4" spans="1:4">
      <c r="B4">
        <v>5000</v>
      </c>
      <c r="C4">
        <f>C3+B4</f>
        <v>6000</v>
      </c>
      <c r="D4" t="s">
        <v>2859</v>
      </c>
    </row>
    <row r="5" spans="1:4">
      <c r="B5">
        <v>5000</v>
      </c>
      <c r="C5" s="816">
        <f>C4+B5</f>
        <v>11000</v>
      </c>
      <c r="D5" s="816" t="s">
        <v>2859</v>
      </c>
    </row>
    <row r="6" spans="1:4">
      <c r="B6">
        <v>2000</v>
      </c>
      <c r="C6" s="816">
        <f>C5+B6</f>
        <v>13000</v>
      </c>
      <c r="D6" t="s">
        <v>2858</v>
      </c>
    </row>
    <row r="7" spans="1:4">
      <c r="B7">
        <v>2000</v>
      </c>
      <c r="C7" s="816">
        <f>C6+B7</f>
        <v>15000</v>
      </c>
      <c r="D7" s="816" t="s">
        <v>2858</v>
      </c>
    </row>
    <row r="8" spans="1:4">
      <c r="A8" s="818">
        <v>45098</v>
      </c>
      <c r="B8">
        <v>-12700</v>
      </c>
      <c r="D8" t="s">
        <v>2860</v>
      </c>
    </row>
    <row r="9" spans="1:4">
      <c r="C9" s="816">
        <f>C7+B8</f>
        <v>2300</v>
      </c>
      <c r="D9" t="s">
        <v>2864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60" t="s">
        <v>1897</v>
      </c>
      <c r="D3" s="10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61" t="s">
        <v>2079</v>
      </c>
      <c r="C2" s="1061"/>
      <c r="D2" s="1062" t="s">
        <v>1875</v>
      </c>
      <c r="E2" s="1062"/>
      <c r="F2" s="471"/>
      <c r="G2" s="471"/>
      <c r="H2" s="378"/>
      <c r="I2" s="1065" t="s">
        <v>2255</v>
      </c>
      <c r="J2" s="1066"/>
      <c r="K2" s="1066"/>
      <c r="L2" s="1066"/>
      <c r="M2" s="1066"/>
      <c r="N2" s="1066"/>
      <c r="O2" s="1067"/>
      <c r="P2" s="438"/>
      <c r="Q2" s="1068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73" t="s">
        <v>2281</v>
      </c>
      <c r="G3" s="1074"/>
      <c r="H3" s="378"/>
      <c r="I3" s="433"/>
      <c r="J3" s="472"/>
      <c r="K3" s="1070" t="s">
        <v>2418</v>
      </c>
      <c r="L3" s="1071"/>
      <c r="M3" s="1072"/>
      <c r="N3" s="476"/>
      <c r="O3" s="430"/>
      <c r="P3" s="470"/>
      <c r="Q3" s="10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64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84" t="s">
        <v>124</v>
      </c>
      <c r="C1" s="984"/>
      <c r="D1" s="988" t="s">
        <v>292</v>
      </c>
      <c r="E1" s="988"/>
      <c r="F1" s="988" t="s">
        <v>341</v>
      </c>
      <c r="G1" s="988"/>
      <c r="H1" s="985" t="s">
        <v>127</v>
      </c>
      <c r="I1" s="985"/>
      <c r="J1" s="986" t="s">
        <v>292</v>
      </c>
      <c r="K1" s="986"/>
      <c r="L1" s="987" t="s">
        <v>520</v>
      </c>
      <c r="M1" s="987"/>
      <c r="N1" s="985" t="s">
        <v>146</v>
      </c>
      <c r="O1" s="985"/>
      <c r="P1" s="986" t="s">
        <v>293</v>
      </c>
      <c r="Q1" s="986"/>
      <c r="R1" s="987" t="s">
        <v>522</v>
      </c>
      <c r="S1" s="987"/>
      <c r="T1" s="973" t="s">
        <v>193</v>
      </c>
      <c r="U1" s="973"/>
      <c r="V1" s="986" t="s">
        <v>292</v>
      </c>
      <c r="W1" s="986"/>
      <c r="X1" s="975" t="s">
        <v>524</v>
      </c>
      <c r="Y1" s="975"/>
      <c r="Z1" s="973" t="s">
        <v>241</v>
      </c>
      <c r="AA1" s="973"/>
      <c r="AB1" s="974" t="s">
        <v>292</v>
      </c>
      <c r="AC1" s="974"/>
      <c r="AD1" s="983" t="s">
        <v>524</v>
      </c>
      <c r="AE1" s="983"/>
      <c r="AF1" s="973" t="s">
        <v>367</v>
      </c>
      <c r="AG1" s="973"/>
      <c r="AH1" s="974" t="s">
        <v>292</v>
      </c>
      <c r="AI1" s="974"/>
      <c r="AJ1" s="975" t="s">
        <v>530</v>
      </c>
      <c r="AK1" s="975"/>
      <c r="AL1" s="973" t="s">
        <v>389</v>
      </c>
      <c r="AM1" s="973"/>
      <c r="AN1" s="981" t="s">
        <v>292</v>
      </c>
      <c r="AO1" s="981"/>
      <c r="AP1" s="979" t="s">
        <v>531</v>
      </c>
      <c r="AQ1" s="979"/>
      <c r="AR1" s="973" t="s">
        <v>416</v>
      </c>
      <c r="AS1" s="973"/>
      <c r="AV1" s="979" t="s">
        <v>285</v>
      </c>
      <c r="AW1" s="979"/>
      <c r="AX1" s="982" t="s">
        <v>998</v>
      </c>
      <c r="AY1" s="982"/>
      <c r="AZ1" s="982"/>
      <c r="BA1" s="208"/>
      <c r="BB1" s="977">
        <v>42942</v>
      </c>
      <c r="BC1" s="978"/>
      <c r="BD1" s="9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76" t="s">
        <v>261</v>
      </c>
      <c r="U4" s="976"/>
      <c r="X4" s="119" t="s">
        <v>233</v>
      </c>
      <c r="Y4" s="123">
        <f>Y3-Y6</f>
        <v>4.9669099999591708</v>
      </c>
      <c r="Z4" s="976" t="s">
        <v>262</v>
      </c>
      <c r="AA4" s="976"/>
      <c r="AD4" s="154" t="s">
        <v>233</v>
      </c>
      <c r="AE4" s="154">
        <f>AE3-AE5</f>
        <v>-52.526899999851594</v>
      </c>
      <c r="AF4" s="976" t="s">
        <v>262</v>
      </c>
      <c r="AG4" s="976"/>
      <c r="AH4" s="143"/>
      <c r="AI4" s="143"/>
      <c r="AJ4" s="154" t="s">
        <v>233</v>
      </c>
      <c r="AK4" s="154">
        <f>AK3-AK5</f>
        <v>94.988909999992757</v>
      </c>
      <c r="AL4" s="976" t="s">
        <v>262</v>
      </c>
      <c r="AM4" s="976"/>
      <c r="AP4" s="170" t="s">
        <v>233</v>
      </c>
      <c r="AQ4" s="174">
        <f>AQ3-AQ5</f>
        <v>33.841989999942598</v>
      </c>
      <c r="AR4" s="976" t="s">
        <v>262</v>
      </c>
      <c r="AS4" s="976"/>
      <c r="AX4" s="976" t="s">
        <v>564</v>
      </c>
      <c r="AY4" s="976"/>
      <c r="BB4" s="976" t="s">
        <v>567</v>
      </c>
      <c r="BC4" s="9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76"/>
      <c r="U5" s="976"/>
      <c r="V5" s="3" t="s">
        <v>258</v>
      </c>
      <c r="W5">
        <v>2050</v>
      </c>
      <c r="X5" s="82"/>
      <c r="Z5" s="976"/>
      <c r="AA5" s="9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76"/>
      <c r="AG5" s="976"/>
      <c r="AH5" s="143"/>
      <c r="AI5" s="143"/>
      <c r="AJ5" s="154" t="s">
        <v>352</v>
      </c>
      <c r="AK5" s="162">
        <f>SUM(AK11:AK59)</f>
        <v>30858.011000000002</v>
      </c>
      <c r="AL5" s="976"/>
      <c r="AM5" s="9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76"/>
      <c r="AS5" s="976"/>
      <c r="AX5" s="976"/>
      <c r="AY5" s="976"/>
      <c r="BB5" s="976"/>
      <c r="BC5" s="976"/>
      <c r="BD5" s="980" t="s">
        <v>999</v>
      </c>
      <c r="BE5" s="980"/>
      <c r="BF5" s="980"/>
      <c r="BG5" s="980"/>
      <c r="BH5" s="980"/>
      <c r="BI5" s="980"/>
      <c r="BJ5" s="980"/>
      <c r="BK5" s="9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89" t="s">
        <v>264</v>
      </c>
      <c r="W23" s="9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91"/>
      <c r="W24" s="9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93" t="s">
        <v>2656</v>
      </c>
      <c r="H3" s="994"/>
      <c r="I3" s="590"/>
      <c r="J3" s="993" t="s">
        <v>2657</v>
      </c>
      <c r="K3" s="994"/>
      <c r="L3" s="299"/>
      <c r="M3" s="993">
        <v>43739</v>
      </c>
      <c r="N3" s="994"/>
      <c r="O3" s="993">
        <v>42401</v>
      </c>
      <c r="P3" s="994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99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1000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1000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1000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10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1000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1000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1000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1001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1002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1003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98">
        <f>G40/F42+H40</f>
        <v>1932511.2781954887</v>
      </c>
      <c r="H43" s="9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97">
        <f>H40*F42+G40</f>
        <v>2570240</v>
      </c>
      <c r="H44" s="997"/>
      <c r="I44" s="2"/>
      <c r="J44" s="997">
        <f>K40*1.37+J40</f>
        <v>1877697.6600000001</v>
      </c>
      <c r="K44" s="997"/>
      <c r="L44" s="2"/>
      <c r="M44" s="997">
        <f>N40*1.37+M40</f>
        <v>1789659</v>
      </c>
      <c r="N44" s="997"/>
      <c r="O44" s="997">
        <f>P40*1.36+O40</f>
        <v>1320187.2</v>
      </c>
      <c r="P44" s="9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96" t="s">
        <v>1186</v>
      </c>
      <c r="C47" s="996"/>
      <c r="D47" s="996"/>
      <c r="E47" s="996"/>
      <c r="F47" s="996"/>
      <c r="G47" s="996"/>
      <c r="H47" s="996"/>
      <c r="I47" s="996"/>
      <c r="J47" s="996"/>
      <c r="K47" s="996"/>
      <c r="L47" s="996"/>
      <c r="M47" s="996"/>
      <c r="N47" s="996"/>
    </row>
    <row r="48" spans="2:16">
      <c r="B48" s="996" t="s">
        <v>2553</v>
      </c>
      <c r="C48" s="996"/>
      <c r="D48" s="996"/>
      <c r="E48" s="996"/>
      <c r="F48" s="996"/>
      <c r="G48" s="996"/>
      <c r="H48" s="996"/>
      <c r="I48" s="996"/>
      <c r="J48" s="996"/>
      <c r="K48" s="996"/>
      <c r="L48" s="996"/>
      <c r="M48" s="996"/>
      <c r="N48" s="996"/>
    </row>
    <row r="49" spans="2:14">
      <c r="B49" s="996" t="s">
        <v>2552</v>
      </c>
      <c r="C49" s="996"/>
      <c r="D49" s="996"/>
      <c r="E49" s="996"/>
      <c r="F49" s="996"/>
      <c r="G49" s="996"/>
      <c r="H49" s="996"/>
      <c r="I49" s="996"/>
      <c r="J49" s="996"/>
      <c r="K49" s="996"/>
      <c r="L49" s="996"/>
      <c r="M49" s="996"/>
      <c r="N49" s="996"/>
    </row>
    <row r="50" spans="2:14">
      <c r="B50" s="995" t="s">
        <v>2551</v>
      </c>
      <c r="C50" s="995"/>
      <c r="D50" s="995"/>
      <c r="E50" s="995"/>
      <c r="F50" s="995"/>
      <c r="G50" s="995"/>
      <c r="H50" s="995"/>
      <c r="I50" s="995"/>
      <c r="J50" s="995"/>
      <c r="K50" s="995"/>
      <c r="L50" s="995"/>
      <c r="M50" s="995"/>
      <c r="N50" s="995"/>
    </row>
    <row r="51" spans="2:14">
      <c r="B51" s="995"/>
      <c r="C51" s="995"/>
      <c r="D51" s="995"/>
      <c r="E51" s="995"/>
      <c r="F51" s="995"/>
      <c r="G51" s="995"/>
      <c r="H51" s="995"/>
      <c r="I51" s="995"/>
      <c r="J51" s="995"/>
      <c r="K51" s="995"/>
      <c r="L51" s="995"/>
      <c r="M51" s="995"/>
      <c r="N51" s="995"/>
    </row>
    <row r="52" spans="2:14">
      <c r="B52" s="995"/>
      <c r="C52" s="995"/>
      <c r="D52" s="995"/>
      <c r="E52" s="995"/>
      <c r="F52" s="995"/>
      <c r="G52" s="995"/>
      <c r="H52" s="995"/>
      <c r="I52" s="995"/>
      <c r="J52" s="995"/>
      <c r="K52" s="995"/>
      <c r="L52" s="995"/>
      <c r="M52" s="995"/>
      <c r="N52" s="9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1005" t="s">
        <v>2645</v>
      </c>
      <c r="F38" s="1006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1004" t="s">
        <v>989</v>
      </c>
      <c r="C41" s="1004"/>
      <c r="D41" s="1004"/>
      <c r="E41" s="1004"/>
      <c r="F41" s="1004"/>
      <c r="G41" s="1004"/>
      <c r="H41" s="10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84" t="s">
        <v>909</v>
      </c>
      <c r="C1" s="984"/>
      <c r="D1" s="983" t="s">
        <v>515</v>
      </c>
      <c r="E1" s="983"/>
      <c r="F1" s="984" t="s">
        <v>513</v>
      </c>
      <c r="G1" s="984"/>
      <c r="H1" s="1007" t="s">
        <v>549</v>
      </c>
      <c r="I1" s="1007"/>
      <c r="J1" s="983" t="s">
        <v>515</v>
      </c>
      <c r="K1" s="983"/>
      <c r="L1" s="984" t="s">
        <v>908</v>
      </c>
      <c r="M1" s="984"/>
      <c r="N1" s="1007" t="s">
        <v>549</v>
      </c>
      <c r="O1" s="1007"/>
      <c r="P1" s="983" t="s">
        <v>515</v>
      </c>
      <c r="Q1" s="983"/>
      <c r="R1" s="984" t="s">
        <v>552</v>
      </c>
      <c r="S1" s="984"/>
      <c r="T1" s="1007" t="s">
        <v>549</v>
      </c>
      <c r="U1" s="1007"/>
      <c r="V1" s="983" t="s">
        <v>515</v>
      </c>
      <c r="W1" s="983"/>
      <c r="X1" s="984" t="s">
        <v>907</v>
      </c>
      <c r="Y1" s="984"/>
      <c r="Z1" s="1007" t="s">
        <v>549</v>
      </c>
      <c r="AA1" s="1007"/>
      <c r="AB1" s="983" t="s">
        <v>515</v>
      </c>
      <c r="AC1" s="983"/>
      <c r="AD1" s="984" t="s">
        <v>591</v>
      </c>
      <c r="AE1" s="984"/>
      <c r="AF1" s="1007" t="s">
        <v>549</v>
      </c>
      <c r="AG1" s="1007"/>
      <c r="AH1" s="983" t="s">
        <v>515</v>
      </c>
      <c r="AI1" s="983"/>
      <c r="AJ1" s="984" t="s">
        <v>906</v>
      </c>
      <c r="AK1" s="984"/>
      <c r="AL1" s="1007" t="s">
        <v>626</v>
      </c>
      <c r="AM1" s="1007"/>
      <c r="AN1" s="983" t="s">
        <v>627</v>
      </c>
      <c r="AO1" s="983"/>
      <c r="AP1" s="984" t="s">
        <v>621</v>
      </c>
      <c r="AQ1" s="984"/>
      <c r="AR1" s="1007" t="s">
        <v>549</v>
      </c>
      <c r="AS1" s="1007"/>
      <c r="AT1" s="983" t="s">
        <v>515</v>
      </c>
      <c r="AU1" s="983"/>
      <c r="AV1" s="984" t="s">
        <v>905</v>
      </c>
      <c r="AW1" s="984"/>
      <c r="AX1" s="1007" t="s">
        <v>549</v>
      </c>
      <c r="AY1" s="1007"/>
      <c r="AZ1" s="983" t="s">
        <v>515</v>
      </c>
      <c r="BA1" s="983"/>
      <c r="BB1" s="984" t="s">
        <v>653</v>
      </c>
      <c r="BC1" s="984"/>
      <c r="BD1" s="1007" t="s">
        <v>549</v>
      </c>
      <c r="BE1" s="1007"/>
      <c r="BF1" s="983" t="s">
        <v>515</v>
      </c>
      <c r="BG1" s="983"/>
      <c r="BH1" s="984" t="s">
        <v>904</v>
      </c>
      <c r="BI1" s="984"/>
      <c r="BJ1" s="1007" t="s">
        <v>549</v>
      </c>
      <c r="BK1" s="1007"/>
      <c r="BL1" s="983" t="s">
        <v>515</v>
      </c>
      <c r="BM1" s="983"/>
      <c r="BN1" s="984" t="s">
        <v>921</v>
      </c>
      <c r="BO1" s="984"/>
      <c r="BP1" s="1007" t="s">
        <v>549</v>
      </c>
      <c r="BQ1" s="1007"/>
      <c r="BR1" s="983" t="s">
        <v>515</v>
      </c>
      <c r="BS1" s="983"/>
      <c r="BT1" s="984" t="s">
        <v>903</v>
      </c>
      <c r="BU1" s="984"/>
      <c r="BV1" s="1007" t="s">
        <v>704</v>
      </c>
      <c r="BW1" s="1007"/>
      <c r="BX1" s="983" t="s">
        <v>705</v>
      </c>
      <c r="BY1" s="983"/>
      <c r="BZ1" s="984" t="s">
        <v>703</v>
      </c>
      <c r="CA1" s="984"/>
      <c r="CB1" s="1007" t="s">
        <v>730</v>
      </c>
      <c r="CC1" s="1007"/>
      <c r="CD1" s="983" t="s">
        <v>731</v>
      </c>
      <c r="CE1" s="983"/>
      <c r="CF1" s="984" t="s">
        <v>902</v>
      </c>
      <c r="CG1" s="984"/>
      <c r="CH1" s="1007" t="s">
        <v>730</v>
      </c>
      <c r="CI1" s="1007"/>
      <c r="CJ1" s="983" t="s">
        <v>731</v>
      </c>
      <c r="CK1" s="983"/>
      <c r="CL1" s="984" t="s">
        <v>748</v>
      </c>
      <c r="CM1" s="984"/>
      <c r="CN1" s="1007" t="s">
        <v>730</v>
      </c>
      <c r="CO1" s="1007"/>
      <c r="CP1" s="983" t="s">
        <v>731</v>
      </c>
      <c r="CQ1" s="983"/>
      <c r="CR1" s="984" t="s">
        <v>901</v>
      </c>
      <c r="CS1" s="984"/>
      <c r="CT1" s="1007" t="s">
        <v>730</v>
      </c>
      <c r="CU1" s="1007"/>
      <c r="CV1" s="1011" t="s">
        <v>731</v>
      </c>
      <c r="CW1" s="1011"/>
      <c r="CX1" s="984" t="s">
        <v>769</v>
      </c>
      <c r="CY1" s="984"/>
      <c r="CZ1" s="1007" t="s">
        <v>730</v>
      </c>
      <c r="DA1" s="1007"/>
      <c r="DB1" s="1011" t="s">
        <v>731</v>
      </c>
      <c r="DC1" s="1011"/>
      <c r="DD1" s="984" t="s">
        <v>900</v>
      </c>
      <c r="DE1" s="984"/>
      <c r="DF1" s="1007" t="s">
        <v>816</v>
      </c>
      <c r="DG1" s="1007"/>
      <c r="DH1" s="1011" t="s">
        <v>817</v>
      </c>
      <c r="DI1" s="1011"/>
      <c r="DJ1" s="984" t="s">
        <v>809</v>
      </c>
      <c r="DK1" s="984"/>
      <c r="DL1" s="1007" t="s">
        <v>816</v>
      </c>
      <c r="DM1" s="1007"/>
      <c r="DN1" s="1011" t="s">
        <v>731</v>
      </c>
      <c r="DO1" s="1011"/>
      <c r="DP1" s="984" t="s">
        <v>899</v>
      </c>
      <c r="DQ1" s="984"/>
      <c r="DR1" s="1007" t="s">
        <v>816</v>
      </c>
      <c r="DS1" s="1007"/>
      <c r="DT1" s="1011" t="s">
        <v>731</v>
      </c>
      <c r="DU1" s="1011"/>
      <c r="DV1" s="984" t="s">
        <v>898</v>
      </c>
      <c r="DW1" s="984"/>
      <c r="DX1" s="1007" t="s">
        <v>816</v>
      </c>
      <c r="DY1" s="1007"/>
      <c r="DZ1" s="1011" t="s">
        <v>731</v>
      </c>
      <c r="EA1" s="1011"/>
      <c r="EB1" s="984" t="s">
        <v>897</v>
      </c>
      <c r="EC1" s="984"/>
      <c r="ED1" s="1007" t="s">
        <v>816</v>
      </c>
      <c r="EE1" s="1007"/>
      <c r="EF1" s="1011" t="s">
        <v>731</v>
      </c>
      <c r="EG1" s="1011"/>
      <c r="EH1" s="984" t="s">
        <v>883</v>
      </c>
      <c r="EI1" s="984"/>
      <c r="EJ1" s="1007" t="s">
        <v>816</v>
      </c>
      <c r="EK1" s="1007"/>
      <c r="EL1" s="1011" t="s">
        <v>936</v>
      </c>
      <c r="EM1" s="1011"/>
      <c r="EN1" s="984" t="s">
        <v>922</v>
      </c>
      <c r="EO1" s="984"/>
      <c r="EP1" s="1007" t="s">
        <v>816</v>
      </c>
      <c r="EQ1" s="1007"/>
      <c r="ER1" s="1011" t="s">
        <v>950</v>
      </c>
      <c r="ES1" s="1011"/>
      <c r="ET1" s="984" t="s">
        <v>937</v>
      </c>
      <c r="EU1" s="984"/>
      <c r="EV1" s="1007" t="s">
        <v>816</v>
      </c>
      <c r="EW1" s="1007"/>
      <c r="EX1" s="1011" t="s">
        <v>530</v>
      </c>
      <c r="EY1" s="1011"/>
      <c r="EZ1" s="984" t="s">
        <v>952</v>
      </c>
      <c r="FA1" s="9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1010" t="s">
        <v>779</v>
      </c>
      <c r="CU7" s="9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1010" t="s">
        <v>778</v>
      </c>
      <c r="DA8" s="9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1010" t="s">
        <v>778</v>
      </c>
      <c r="DG8" s="9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1010" t="s">
        <v>778</v>
      </c>
      <c r="DM8" s="9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1010" t="s">
        <v>778</v>
      </c>
      <c r="DS8" s="984"/>
      <c r="DT8" s="142" t="s">
        <v>783</v>
      </c>
      <c r="DU8" s="142">
        <f>SUM(DU13:DU17)</f>
        <v>32</v>
      </c>
      <c r="DV8" s="63"/>
      <c r="DW8" s="63"/>
      <c r="DX8" s="1010" t="s">
        <v>778</v>
      </c>
      <c r="DY8" s="9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1010" t="s">
        <v>928</v>
      </c>
      <c r="EK8" s="9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1010" t="s">
        <v>928</v>
      </c>
      <c r="EQ9" s="9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1010" t="s">
        <v>928</v>
      </c>
      <c r="EW9" s="9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1010" t="s">
        <v>928</v>
      </c>
      <c r="EE11" s="9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1010" t="s">
        <v>778</v>
      </c>
      <c r="CU12" s="9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73" t="s">
        <v>782</v>
      </c>
      <c r="CU19" s="9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96" t="s">
        <v>858</v>
      </c>
      <c r="FA21" s="996"/>
      <c r="FC21" s="238">
        <f>FC20-FC22</f>
        <v>113457.16899999997</v>
      </c>
      <c r="FD21" s="230"/>
      <c r="FE21" s="1012" t="s">
        <v>1546</v>
      </c>
      <c r="FF21" s="1012"/>
      <c r="FG21" s="10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96" t="s">
        <v>871</v>
      </c>
      <c r="FA22" s="9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96" t="s">
        <v>1000</v>
      </c>
      <c r="FA23" s="9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96" t="s">
        <v>1076</v>
      </c>
      <c r="FA24" s="9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10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10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I1" zoomScaleNormal="100" workbookViewId="0">
      <selection activeCell="KX26" sqref="KX2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8" customWidth="1"/>
    <col min="295" max="295" width="8" style="888" customWidth="1"/>
    <col min="296" max="296" width="19.140625" style="888" customWidth="1"/>
    <col min="297" max="297" width="10.140625" style="888" bestFit="1" customWidth="1"/>
    <col min="298" max="298" width="16.85546875" style="888" customWidth="1"/>
    <col min="299" max="299" width="14.5703125" style="888" bestFit="1" customWidth="1"/>
    <col min="300" max="300" width="19" style="888" bestFit="1" customWidth="1"/>
    <col min="301" max="301" width="9.7109375" style="888" bestFit="1" customWidth="1"/>
    <col min="302" max="302" width="19.140625" style="937" customWidth="1"/>
    <col min="303" max="303" width="9.7109375" style="937" customWidth="1"/>
    <col min="304" max="304" width="16.85546875" style="937" customWidth="1"/>
    <col min="305" max="305" width="12" style="937" customWidth="1"/>
    <col min="306" max="306" width="19.28515625" style="937" customWidth="1"/>
    <col min="307" max="307" width="9.7109375" style="937" bestFit="1" customWidth="1"/>
    <col min="308" max="308" width="6.85546875" style="937" bestFit="1" customWidth="1"/>
    <col min="309" max="309" width="7.5703125" bestFit="1" customWidth="1"/>
  </cols>
  <sheetData>
    <row r="1" spans="1:309" s="142" customFormat="1">
      <c r="A1" s="1020" t="s">
        <v>1209</v>
      </c>
      <c r="B1" s="1020"/>
      <c r="C1" s="981" t="s">
        <v>292</v>
      </c>
      <c r="D1" s="981"/>
      <c r="E1" s="979" t="s">
        <v>1010</v>
      </c>
      <c r="F1" s="979"/>
      <c r="G1" s="1020" t="s">
        <v>1210</v>
      </c>
      <c r="H1" s="1020"/>
      <c r="I1" s="981" t="s">
        <v>292</v>
      </c>
      <c r="J1" s="981"/>
      <c r="K1" s="979" t="s">
        <v>1011</v>
      </c>
      <c r="L1" s="979"/>
      <c r="M1" s="1020" t="s">
        <v>1211</v>
      </c>
      <c r="N1" s="1020"/>
      <c r="O1" s="981" t="s">
        <v>292</v>
      </c>
      <c r="P1" s="981"/>
      <c r="Q1" s="979" t="s">
        <v>1057</v>
      </c>
      <c r="R1" s="979"/>
      <c r="S1" s="1020" t="s">
        <v>1212</v>
      </c>
      <c r="T1" s="1020"/>
      <c r="U1" s="981" t="s">
        <v>292</v>
      </c>
      <c r="V1" s="981"/>
      <c r="W1" s="979" t="s">
        <v>627</v>
      </c>
      <c r="X1" s="979"/>
      <c r="Y1" s="1020" t="s">
        <v>1213</v>
      </c>
      <c r="Z1" s="1020"/>
      <c r="AA1" s="981" t="s">
        <v>292</v>
      </c>
      <c r="AB1" s="981"/>
      <c r="AC1" s="979" t="s">
        <v>1084</v>
      </c>
      <c r="AD1" s="979"/>
      <c r="AE1" s="1020" t="s">
        <v>1214</v>
      </c>
      <c r="AF1" s="1020"/>
      <c r="AG1" s="981" t="s">
        <v>292</v>
      </c>
      <c r="AH1" s="981"/>
      <c r="AI1" s="979" t="s">
        <v>1134</v>
      </c>
      <c r="AJ1" s="979"/>
      <c r="AK1" s="1020" t="s">
        <v>1217</v>
      </c>
      <c r="AL1" s="1020"/>
      <c r="AM1" s="981" t="s">
        <v>1132</v>
      </c>
      <c r="AN1" s="981"/>
      <c r="AO1" s="979" t="s">
        <v>1133</v>
      </c>
      <c r="AP1" s="979"/>
      <c r="AQ1" s="1020" t="s">
        <v>1218</v>
      </c>
      <c r="AR1" s="1020"/>
      <c r="AS1" s="981" t="s">
        <v>1132</v>
      </c>
      <c r="AT1" s="981"/>
      <c r="AU1" s="979" t="s">
        <v>1178</v>
      </c>
      <c r="AV1" s="979"/>
      <c r="AW1" s="1020" t="s">
        <v>1215</v>
      </c>
      <c r="AX1" s="1020"/>
      <c r="AY1" s="979" t="s">
        <v>1241</v>
      </c>
      <c r="AZ1" s="979"/>
      <c r="BA1" s="1020" t="s">
        <v>1215</v>
      </c>
      <c r="BB1" s="1020"/>
      <c r="BC1" s="981" t="s">
        <v>816</v>
      </c>
      <c r="BD1" s="981"/>
      <c r="BE1" s="979" t="s">
        <v>1208</v>
      </c>
      <c r="BF1" s="979"/>
      <c r="BG1" s="1020" t="s">
        <v>1216</v>
      </c>
      <c r="BH1" s="1020"/>
      <c r="BI1" s="981" t="s">
        <v>816</v>
      </c>
      <c r="BJ1" s="981"/>
      <c r="BK1" s="979" t="s">
        <v>1208</v>
      </c>
      <c r="BL1" s="979"/>
      <c r="BM1" s="1020" t="s">
        <v>1226</v>
      </c>
      <c r="BN1" s="1020"/>
      <c r="BO1" s="981" t="s">
        <v>816</v>
      </c>
      <c r="BP1" s="981"/>
      <c r="BQ1" s="979" t="s">
        <v>1244</v>
      </c>
      <c r="BR1" s="979"/>
      <c r="BS1" s="1020" t="s">
        <v>1243</v>
      </c>
      <c r="BT1" s="1020"/>
      <c r="BU1" s="981" t="s">
        <v>816</v>
      </c>
      <c r="BV1" s="981"/>
      <c r="BW1" s="979" t="s">
        <v>1248</v>
      </c>
      <c r="BX1" s="979"/>
      <c r="BY1" s="1020" t="s">
        <v>1270</v>
      </c>
      <c r="BZ1" s="1020"/>
      <c r="CA1" s="981" t="s">
        <v>816</v>
      </c>
      <c r="CB1" s="981"/>
      <c r="CC1" s="979" t="s">
        <v>1244</v>
      </c>
      <c r="CD1" s="979"/>
      <c r="CE1" s="1020" t="s">
        <v>1291</v>
      </c>
      <c r="CF1" s="1020"/>
      <c r="CG1" s="981" t="s">
        <v>816</v>
      </c>
      <c r="CH1" s="981"/>
      <c r="CI1" s="979" t="s">
        <v>1248</v>
      </c>
      <c r="CJ1" s="979"/>
      <c r="CK1" s="1020" t="s">
        <v>1307</v>
      </c>
      <c r="CL1" s="1020"/>
      <c r="CM1" s="981" t="s">
        <v>816</v>
      </c>
      <c r="CN1" s="981"/>
      <c r="CO1" s="979" t="s">
        <v>1244</v>
      </c>
      <c r="CP1" s="979"/>
      <c r="CQ1" s="1020" t="s">
        <v>1335</v>
      </c>
      <c r="CR1" s="1020"/>
      <c r="CS1" s="1014" t="s">
        <v>816</v>
      </c>
      <c r="CT1" s="1014"/>
      <c r="CU1" s="979" t="s">
        <v>1391</v>
      </c>
      <c r="CV1" s="979"/>
      <c r="CW1" s="1020" t="s">
        <v>1374</v>
      </c>
      <c r="CX1" s="1020"/>
      <c r="CY1" s="1014" t="s">
        <v>816</v>
      </c>
      <c r="CZ1" s="1014"/>
      <c r="DA1" s="979" t="s">
        <v>1597</v>
      </c>
      <c r="DB1" s="979"/>
      <c r="DC1" s="1020" t="s">
        <v>1394</v>
      </c>
      <c r="DD1" s="1020"/>
      <c r="DE1" s="1014" t="s">
        <v>816</v>
      </c>
      <c r="DF1" s="1014"/>
      <c r="DG1" s="979" t="s">
        <v>1491</v>
      </c>
      <c r="DH1" s="979"/>
      <c r="DI1" s="1020" t="s">
        <v>1594</v>
      </c>
      <c r="DJ1" s="1020"/>
      <c r="DK1" s="1014" t="s">
        <v>816</v>
      </c>
      <c r="DL1" s="1014"/>
      <c r="DM1" s="979" t="s">
        <v>1391</v>
      </c>
      <c r="DN1" s="979"/>
      <c r="DO1" s="1020" t="s">
        <v>1595</v>
      </c>
      <c r="DP1" s="1020"/>
      <c r="DQ1" s="1014" t="s">
        <v>816</v>
      </c>
      <c r="DR1" s="1014"/>
      <c r="DS1" s="979" t="s">
        <v>1590</v>
      </c>
      <c r="DT1" s="979"/>
      <c r="DU1" s="1020" t="s">
        <v>1596</v>
      </c>
      <c r="DV1" s="1020"/>
      <c r="DW1" s="1014" t="s">
        <v>816</v>
      </c>
      <c r="DX1" s="1014"/>
      <c r="DY1" s="979" t="s">
        <v>1616</v>
      </c>
      <c r="DZ1" s="979"/>
      <c r="EA1" s="1016" t="s">
        <v>1611</v>
      </c>
      <c r="EB1" s="1016"/>
      <c r="EC1" s="1014" t="s">
        <v>816</v>
      </c>
      <c r="ED1" s="1014"/>
      <c r="EE1" s="979" t="s">
        <v>1590</v>
      </c>
      <c r="EF1" s="979"/>
      <c r="EG1" s="361"/>
      <c r="EH1" s="1016" t="s">
        <v>1641</v>
      </c>
      <c r="EI1" s="1016"/>
      <c r="EJ1" s="1014" t="s">
        <v>816</v>
      </c>
      <c r="EK1" s="1014"/>
      <c r="EL1" s="979" t="s">
        <v>1675</v>
      </c>
      <c r="EM1" s="979"/>
      <c r="EN1" s="1016" t="s">
        <v>1666</v>
      </c>
      <c r="EO1" s="1016"/>
      <c r="EP1" s="1014" t="s">
        <v>816</v>
      </c>
      <c r="EQ1" s="1014"/>
      <c r="ER1" s="979" t="s">
        <v>1715</v>
      </c>
      <c r="ES1" s="979"/>
      <c r="ET1" s="1016" t="s">
        <v>1708</v>
      </c>
      <c r="EU1" s="1016"/>
      <c r="EV1" s="1014" t="s">
        <v>816</v>
      </c>
      <c r="EW1" s="1014"/>
      <c r="EX1" s="979" t="s">
        <v>1616</v>
      </c>
      <c r="EY1" s="979"/>
      <c r="EZ1" s="1016" t="s">
        <v>1743</v>
      </c>
      <c r="FA1" s="1016"/>
      <c r="FB1" s="1014" t="s">
        <v>816</v>
      </c>
      <c r="FC1" s="1014"/>
      <c r="FD1" s="979" t="s">
        <v>1597</v>
      </c>
      <c r="FE1" s="979"/>
      <c r="FF1" s="1016" t="s">
        <v>1782</v>
      </c>
      <c r="FG1" s="1016"/>
      <c r="FH1" s="1014" t="s">
        <v>816</v>
      </c>
      <c r="FI1" s="1014"/>
      <c r="FJ1" s="979" t="s">
        <v>1391</v>
      </c>
      <c r="FK1" s="979"/>
      <c r="FL1" s="1016" t="s">
        <v>1817</v>
      </c>
      <c r="FM1" s="1016"/>
      <c r="FN1" s="1014" t="s">
        <v>816</v>
      </c>
      <c r="FO1" s="1014"/>
      <c r="FP1" s="979" t="s">
        <v>1864</v>
      </c>
      <c r="FQ1" s="979"/>
      <c r="FR1" s="1016" t="s">
        <v>1853</v>
      </c>
      <c r="FS1" s="1016"/>
      <c r="FT1" s="1014" t="s">
        <v>816</v>
      </c>
      <c r="FU1" s="1014"/>
      <c r="FV1" s="979" t="s">
        <v>1864</v>
      </c>
      <c r="FW1" s="979"/>
      <c r="FX1" s="1016" t="s">
        <v>1996</v>
      </c>
      <c r="FY1" s="1016"/>
      <c r="FZ1" s="1014" t="s">
        <v>816</v>
      </c>
      <c r="GA1" s="1014"/>
      <c r="GB1" s="979" t="s">
        <v>1616</v>
      </c>
      <c r="GC1" s="979"/>
      <c r="GD1" s="1016" t="s">
        <v>1997</v>
      </c>
      <c r="GE1" s="1016"/>
      <c r="GF1" s="1014" t="s">
        <v>816</v>
      </c>
      <c r="GG1" s="1014"/>
      <c r="GH1" s="979" t="s">
        <v>1590</v>
      </c>
      <c r="GI1" s="979"/>
      <c r="GJ1" s="1016" t="s">
        <v>2006</v>
      </c>
      <c r="GK1" s="1016"/>
      <c r="GL1" s="1014" t="s">
        <v>816</v>
      </c>
      <c r="GM1" s="1014"/>
      <c r="GN1" s="979" t="s">
        <v>1590</v>
      </c>
      <c r="GO1" s="979"/>
      <c r="GP1" s="1016" t="s">
        <v>2048</v>
      </c>
      <c r="GQ1" s="1016"/>
      <c r="GR1" s="1014" t="s">
        <v>816</v>
      </c>
      <c r="GS1" s="1014"/>
      <c r="GT1" s="979" t="s">
        <v>1675</v>
      </c>
      <c r="GU1" s="979"/>
      <c r="GV1" s="1016" t="s">
        <v>2082</v>
      </c>
      <c r="GW1" s="1016"/>
      <c r="GX1" s="1014" t="s">
        <v>816</v>
      </c>
      <c r="GY1" s="1014"/>
      <c r="GZ1" s="979" t="s">
        <v>2121</v>
      </c>
      <c r="HA1" s="979"/>
      <c r="HB1" s="1016" t="s">
        <v>2141</v>
      </c>
      <c r="HC1" s="1016"/>
      <c r="HD1" s="1014" t="s">
        <v>816</v>
      </c>
      <c r="HE1" s="1014"/>
      <c r="HF1" s="979" t="s">
        <v>1715</v>
      </c>
      <c r="HG1" s="979"/>
      <c r="HH1" s="1016" t="s">
        <v>2154</v>
      </c>
      <c r="HI1" s="1016"/>
      <c r="HJ1" s="1014" t="s">
        <v>816</v>
      </c>
      <c r="HK1" s="1014"/>
      <c r="HL1" s="979" t="s">
        <v>1391</v>
      </c>
      <c r="HM1" s="979"/>
      <c r="HN1" s="1016" t="s">
        <v>2200</v>
      </c>
      <c r="HO1" s="1016"/>
      <c r="HP1" s="1014" t="s">
        <v>816</v>
      </c>
      <c r="HQ1" s="1014"/>
      <c r="HR1" s="979" t="s">
        <v>1391</v>
      </c>
      <c r="HS1" s="979"/>
      <c r="HT1" s="1016" t="s">
        <v>2241</v>
      </c>
      <c r="HU1" s="1016"/>
      <c r="HV1" s="1014" t="s">
        <v>816</v>
      </c>
      <c r="HW1" s="1014"/>
      <c r="HX1" s="979" t="s">
        <v>1616</v>
      </c>
      <c r="HY1" s="979"/>
      <c r="HZ1" s="1016" t="s">
        <v>2297</v>
      </c>
      <c r="IA1" s="1016"/>
      <c r="IB1" s="1014" t="s">
        <v>816</v>
      </c>
      <c r="IC1" s="1014"/>
      <c r="ID1" s="979" t="s">
        <v>1715</v>
      </c>
      <c r="IE1" s="979"/>
      <c r="IF1" s="1016" t="s">
        <v>2363</v>
      </c>
      <c r="IG1" s="1016"/>
      <c r="IH1" s="1014" t="s">
        <v>816</v>
      </c>
      <c r="II1" s="1014"/>
      <c r="IJ1" s="979" t="s">
        <v>1590</v>
      </c>
      <c r="IK1" s="979"/>
      <c r="IL1" s="1016" t="s">
        <v>2436</v>
      </c>
      <c r="IM1" s="1016"/>
      <c r="IN1" s="1014" t="s">
        <v>816</v>
      </c>
      <c r="IO1" s="1014"/>
      <c r="IP1" s="979" t="s">
        <v>1616</v>
      </c>
      <c r="IQ1" s="979"/>
      <c r="IR1" s="1016" t="s">
        <v>2648</v>
      </c>
      <c r="IS1" s="1016"/>
      <c r="IT1" s="1014" t="s">
        <v>816</v>
      </c>
      <c r="IU1" s="1014"/>
      <c r="IV1" s="979" t="s">
        <v>1748</v>
      </c>
      <c r="IW1" s="979"/>
      <c r="IX1" s="1016" t="s">
        <v>2647</v>
      </c>
      <c r="IY1" s="1016"/>
      <c r="IZ1" s="1014" t="s">
        <v>816</v>
      </c>
      <c r="JA1" s="1014"/>
      <c r="JB1" s="979" t="s">
        <v>1864</v>
      </c>
      <c r="JC1" s="979"/>
      <c r="JD1" s="1016" t="s">
        <v>2691</v>
      </c>
      <c r="JE1" s="1016"/>
      <c r="JF1" s="1014" t="s">
        <v>816</v>
      </c>
      <c r="JG1" s="1014"/>
      <c r="JH1" s="979" t="s">
        <v>1748</v>
      </c>
      <c r="JI1" s="979"/>
      <c r="JJ1" s="1016" t="s">
        <v>2746</v>
      </c>
      <c r="JK1" s="1016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6" t="s">
        <v>1675</v>
      </c>
      <c r="JU1" s="755"/>
      <c r="JV1" s="757" t="s">
        <v>2846</v>
      </c>
      <c r="JW1" s="757"/>
      <c r="JX1" s="796" t="s">
        <v>816</v>
      </c>
      <c r="JY1" s="796"/>
      <c r="JZ1" s="956" t="s">
        <v>3135</v>
      </c>
      <c r="KA1" s="794"/>
      <c r="KB1" s="852" t="s">
        <v>2949</v>
      </c>
      <c r="KC1" s="859"/>
      <c r="KD1" s="849" t="s">
        <v>816</v>
      </c>
      <c r="KE1" s="849"/>
      <c r="KF1" s="946" t="s">
        <v>1391</v>
      </c>
      <c r="KG1" s="847"/>
      <c r="KH1" s="889" t="s">
        <v>2997</v>
      </c>
      <c r="KI1" s="889"/>
      <c r="KJ1" s="890" t="s">
        <v>816</v>
      </c>
      <c r="KK1" s="890"/>
      <c r="KL1" s="946" t="s">
        <v>1590</v>
      </c>
      <c r="KM1" s="887"/>
      <c r="KN1" s="889" t="s">
        <v>3116</v>
      </c>
      <c r="KO1" s="889"/>
      <c r="KP1" s="939" t="s">
        <v>816</v>
      </c>
      <c r="KQ1" s="939"/>
      <c r="KR1" s="936" t="s">
        <v>1748</v>
      </c>
      <c r="KS1" s="936"/>
      <c r="KT1" s="938" t="s">
        <v>3116</v>
      </c>
      <c r="KU1" s="938"/>
      <c r="KV1" s="58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1976</v>
      </c>
      <c r="FY2" s="2">
        <f>FY3+FW14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3" t="s">
        <v>3103</v>
      </c>
      <c r="KI2" s="268">
        <f>KI4+KI3-SUM(KI5:KI6)</f>
        <v>80796.44</v>
      </c>
      <c r="KJ2" s="958" t="s">
        <v>3140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2" t="s">
        <v>3103</v>
      </c>
      <c r="KO2" s="923">
        <f>SUM(KO3:KO4)-KO9</f>
        <v>44555.639999999956</v>
      </c>
      <c r="KP2" s="937" t="s">
        <v>3140</v>
      </c>
      <c r="KQ2" s="492">
        <f>SUM(KQ4:KQ22)</f>
        <v>4893.8999999999996</v>
      </c>
      <c r="KR2" s="334" t="s">
        <v>296</v>
      </c>
      <c r="KS2" s="273">
        <f>KQ2+KO4-KU4</f>
        <v>4382.539999999979</v>
      </c>
      <c r="KU2" s="923"/>
      <c r="KV2" s="606"/>
    </row>
    <row r="3" spans="1:309">
      <c r="A3" s="976" t="s">
        <v>991</v>
      </c>
      <c r="B3" s="976"/>
      <c r="E3" s="170" t="s">
        <v>233</v>
      </c>
      <c r="F3" s="174">
        <f>F2-F4</f>
        <v>17</v>
      </c>
      <c r="G3" s="976" t="s">
        <v>991</v>
      </c>
      <c r="H3" s="976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2018</v>
      </c>
      <c r="EY3" s="286">
        <f>EY2-EY6</f>
        <v>3574.4209999999985</v>
      </c>
      <c r="EZ3" s="1" t="s">
        <v>1630</v>
      </c>
      <c r="FA3" s="1">
        <v>-1778</v>
      </c>
      <c r="FD3" t="s">
        <v>2018</v>
      </c>
      <c r="FE3" s="286">
        <f>FE2-FE6</f>
        <v>3502.921000000008</v>
      </c>
      <c r="FF3" s="1" t="s">
        <v>1630</v>
      </c>
      <c r="FG3" s="1">
        <v>-1252</v>
      </c>
      <c r="FJ3" t="s">
        <v>2018</v>
      </c>
      <c r="FK3" s="286">
        <f>FK2-FK6</f>
        <v>3295.199999999998</v>
      </c>
      <c r="FL3" t="s">
        <v>1806</v>
      </c>
      <c r="FM3" s="2">
        <v>160000</v>
      </c>
      <c r="FP3" t="s">
        <v>2018</v>
      </c>
      <c r="FQ3" s="286">
        <f>FQ2-FQ7-FQ6</f>
        <v>4761.7000000000071</v>
      </c>
      <c r="FR3" t="s">
        <v>1806</v>
      </c>
      <c r="FS3" s="2">
        <v>198000</v>
      </c>
      <c r="FV3" t="s">
        <v>2018</v>
      </c>
      <c r="FW3" s="286">
        <f>FW2-FW7-FW6</f>
        <v>5622.1610000000019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Z3" t="s">
        <v>2018</v>
      </c>
      <c r="HA3" s="286">
        <f>HA2-HA7-HA6</f>
        <v>6840.9766666666601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633</v>
      </c>
      <c r="HQ3">
        <v>15123.78</v>
      </c>
      <c r="HR3" t="s">
        <v>2018</v>
      </c>
      <c r="HS3" s="273">
        <f>HS2-HQ28-HQ27-HS38</f>
        <v>3995.2866666666582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2957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3" t="s">
        <v>3014</v>
      </c>
      <c r="KI3" s="268">
        <v>-100000</v>
      </c>
      <c r="KK3" s="492"/>
      <c r="KL3" s="888" t="s">
        <v>2393</v>
      </c>
      <c r="KM3" s="273">
        <f>KM2-KK37-KK36</f>
        <v>5771.7770000000655</v>
      </c>
      <c r="KN3" s="957" t="s">
        <v>3125</v>
      </c>
      <c r="KO3" s="268">
        <v>-50000</v>
      </c>
      <c r="KQ3" s="492"/>
      <c r="KR3" s="937" t="s">
        <v>2393</v>
      </c>
      <c r="KS3" s="273">
        <f>KS2-KQ34-KQ33</f>
        <v>2382.539999999979</v>
      </c>
      <c r="KT3" s="937" t="s">
        <v>3125</v>
      </c>
      <c r="KU3" s="268">
        <v>-50000</v>
      </c>
      <c r="KV3" s="606"/>
    </row>
    <row r="4" spans="1:309" ht="12.75" customHeight="1" thickBot="1">
      <c r="A4" s="976"/>
      <c r="B4" s="976"/>
      <c r="E4" s="170" t="s">
        <v>352</v>
      </c>
      <c r="F4" s="174">
        <f>SUM(F14:F57)</f>
        <v>12750</v>
      </c>
      <c r="G4" s="976"/>
      <c r="H4" s="976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2229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3144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3144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3144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3145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2958</v>
      </c>
      <c r="KC4" s="268">
        <f>-140000</f>
        <v>-140000</v>
      </c>
      <c r="KD4" s="848" t="s">
        <v>3144</v>
      </c>
      <c r="KE4" s="541">
        <v>17271.3</v>
      </c>
      <c r="KF4" s="848" t="s">
        <v>1203</v>
      </c>
      <c r="KG4" s="286">
        <f>KG2-KG5</f>
        <v>-0.17599999997764826</v>
      </c>
      <c r="KH4" s="957" t="s">
        <v>3134</v>
      </c>
      <c r="KI4" s="363">
        <f>SUM(KI5:KI36)</f>
        <v>337796.44</v>
      </c>
      <c r="KJ4" s="888" t="s">
        <v>3144</v>
      </c>
      <c r="KK4" s="541">
        <v>17211.3</v>
      </c>
      <c r="KL4" s="888" t="s">
        <v>1203</v>
      </c>
      <c r="KM4" s="947">
        <f>KM2-KM5</f>
        <v>0.45000000006257324</v>
      </c>
      <c r="KN4" s="957" t="s">
        <v>3137</v>
      </c>
      <c r="KO4" s="363">
        <f>SUM(KO9:KO38)</f>
        <v>291555.63999999996</v>
      </c>
      <c r="KP4" s="937" t="s">
        <v>3144</v>
      </c>
      <c r="KQ4" s="541"/>
      <c r="KR4" s="937" t="s">
        <v>1203</v>
      </c>
      <c r="KS4" s="947">
        <f>KS2-KS5</f>
        <v>3.9999999979045242E-2</v>
      </c>
      <c r="KT4" s="937" t="s">
        <v>3154</v>
      </c>
      <c r="KU4" s="363">
        <f>SUM(KU11:KU42)</f>
        <v>292067</v>
      </c>
      <c r="KV4" s="606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3144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3144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3144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3144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1920</v>
      </c>
      <c r="FU5" s="242">
        <v>558</v>
      </c>
      <c r="FV5" t="s">
        <v>352</v>
      </c>
      <c r="FW5" s="286">
        <f>SUM(FW12:FW49)</f>
        <v>76726.42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2223</v>
      </c>
      <c r="GY5">
        <v>-1437.02</v>
      </c>
      <c r="GZ5" t="s">
        <v>352</v>
      </c>
      <c r="HA5" s="286">
        <f>SUM(HA12:HA51)</f>
        <v>10745.362000000001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2163</v>
      </c>
      <c r="HQ5">
        <v>51</v>
      </c>
      <c r="HR5" t="s">
        <v>352</v>
      </c>
      <c r="HS5" s="273">
        <f>SUM(HS6:HS45)</f>
        <v>8267.1200000000008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3037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3038</v>
      </c>
      <c r="JY5" s="541">
        <v>-30</v>
      </c>
      <c r="JZ5" s="795" t="s">
        <v>352</v>
      </c>
      <c r="KA5" s="273">
        <f>SUM(KA6:KA71)</f>
        <v>20398.781431282358</v>
      </c>
      <c r="KB5" s="865" t="s">
        <v>2959</v>
      </c>
      <c r="KC5" s="268">
        <f>-135000</f>
        <v>-135000</v>
      </c>
      <c r="KD5" s="848" t="s">
        <v>2961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2972</v>
      </c>
      <c r="KI5" s="442">
        <v>7000</v>
      </c>
      <c r="KJ5" s="888" t="s">
        <v>2650</v>
      </c>
      <c r="KK5" s="541">
        <v>-132.12</v>
      </c>
      <c r="KL5" s="888" t="s">
        <v>352</v>
      </c>
      <c r="KM5" s="273">
        <f>SUM(KM6:KM51)</f>
        <v>61259.000000000007</v>
      </c>
      <c r="KN5" s="927">
        <v>7000</v>
      </c>
      <c r="KO5" s="928">
        <v>45342</v>
      </c>
      <c r="KP5" s="937" t="s">
        <v>2650</v>
      </c>
      <c r="KQ5" s="541"/>
      <c r="KR5" s="937" t="s">
        <v>352</v>
      </c>
      <c r="KS5" s="273">
        <f>SUM(KS6:KS53)</f>
        <v>4382.5</v>
      </c>
      <c r="KT5" s="927">
        <v>7000</v>
      </c>
      <c r="KU5" s="928">
        <v>45342</v>
      </c>
      <c r="KV5" s="606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1958</v>
      </c>
      <c r="FQ6" s="286">
        <f>FQ12</f>
        <v>1800.12</v>
      </c>
      <c r="FR6" s="6" t="s">
        <v>1838</v>
      </c>
      <c r="FS6">
        <v>3740</v>
      </c>
      <c r="FT6" s="342" t="s">
        <v>1939</v>
      </c>
      <c r="FU6">
        <v>15</v>
      </c>
      <c r="FV6" s="352" t="s">
        <v>1958</v>
      </c>
      <c r="FW6" s="286">
        <f>FW12</f>
        <v>1800.01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Y6" s="242"/>
      <c r="GZ6" s="352" t="s">
        <v>1958</v>
      </c>
      <c r="HA6" s="286">
        <f>SUM(HA12:HA12)</f>
        <v>1800.06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2240</v>
      </c>
      <c r="HQ6">
        <v>215.57</v>
      </c>
      <c r="HR6" s="351" t="s">
        <v>1002</v>
      </c>
      <c r="HS6">
        <v>1900.09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2918</v>
      </c>
      <c r="JQ6" s="442"/>
      <c r="JR6" s="756" t="s">
        <v>2650</v>
      </c>
      <c r="JS6" s="541" t="s">
        <v>2811</v>
      </c>
      <c r="JT6" s="814" t="s">
        <v>2903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2894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2986</v>
      </c>
      <c r="KI6" s="442">
        <v>150000</v>
      </c>
      <c r="KJ6" s="888" t="s">
        <v>3018</v>
      </c>
      <c r="KK6" s="492">
        <v>-5.01</v>
      </c>
      <c r="KL6" s="918" t="s">
        <v>1002</v>
      </c>
      <c r="KM6" s="911">
        <v>1900.1</v>
      </c>
      <c r="KN6" s="929">
        <v>150000</v>
      </c>
      <c r="KO6" s="930">
        <v>45356</v>
      </c>
      <c r="KP6" s="937" t="s">
        <v>3018</v>
      </c>
      <c r="KQ6" s="492">
        <v>-30</v>
      </c>
      <c r="KR6" s="918" t="s">
        <v>3161</v>
      </c>
      <c r="KS6" s="911">
        <v>2000</v>
      </c>
      <c r="KT6" s="929">
        <v>150000</v>
      </c>
      <c r="KU6" s="930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88" t="s">
        <v>1959</v>
      </c>
      <c r="FQ7" s="286">
        <f>SUM(FQ13:FQ14)</f>
        <v>11000</v>
      </c>
      <c r="FR7" s="66" t="s">
        <v>1527</v>
      </c>
      <c r="FS7">
        <v>1240</v>
      </c>
      <c r="FT7" t="s">
        <v>1938</v>
      </c>
      <c r="FU7" s="242"/>
      <c r="FV7" s="388" t="s">
        <v>1959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Z7" s="388" t="s">
        <v>1959</v>
      </c>
      <c r="HA7" s="286">
        <f>SUM(HA13:HA13)</f>
        <v>2104.9333333333334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Q7" s="242"/>
      <c r="HR7" s="346" t="s">
        <v>2016</v>
      </c>
      <c r="HS7">
        <v>1059.3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2971</v>
      </c>
      <c r="KE7" s="900">
        <f>ABS(KC3+KC4)</f>
        <v>211000</v>
      </c>
      <c r="KF7" s="346" t="s">
        <v>2977</v>
      </c>
      <c r="KG7" s="848">
        <v>10.25</v>
      </c>
      <c r="KH7" s="902" t="s">
        <v>3011</v>
      </c>
      <c r="KI7" s="268">
        <v>-70600</v>
      </c>
      <c r="KJ7" s="912" t="s">
        <v>3100</v>
      </c>
      <c r="KK7" s="492">
        <v>-1800</v>
      </c>
      <c r="KL7" s="346" t="s">
        <v>3039</v>
      </c>
      <c r="KM7" s="888">
        <v>1112.4000000000001</v>
      </c>
      <c r="KN7" s="929">
        <v>20000</v>
      </c>
      <c r="KO7" s="930">
        <v>45370</v>
      </c>
      <c r="KP7" s="963" t="s">
        <v>3158</v>
      </c>
      <c r="KQ7" s="492">
        <v>3010</v>
      </c>
      <c r="KR7" s="918" t="s">
        <v>1002</v>
      </c>
      <c r="KS7" s="911"/>
      <c r="KT7" s="929">
        <v>20000</v>
      </c>
      <c r="KU7" s="930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2058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1930</v>
      </c>
      <c r="FU8">
        <v>148</v>
      </c>
      <c r="FV8" s="348" t="s">
        <v>1685</v>
      </c>
      <c r="FW8">
        <f>SUM(FW18:FW25)</f>
        <v>363.97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X8" s="60" t="s">
        <v>1580</v>
      </c>
      <c r="GZ8" s="348" t="s">
        <v>1685</v>
      </c>
      <c r="HA8" s="407">
        <f>SUM(HA18:HA24)</f>
        <v>880.40666666666687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2231</v>
      </c>
      <c r="HS8">
        <v>807.85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2931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2970</v>
      </c>
      <c r="KE8" s="494"/>
      <c r="KF8" s="245" t="s">
        <v>2975</v>
      </c>
      <c r="KG8" s="442">
        <v>2000</v>
      </c>
      <c r="KH8" s="888" t="s">
        <v>3012</v>
      </c>
      <c r="KI8" s="268">
        <f>-135000</f>
        <v>-135000</v>
      </c>
      <c r="KJ8" s="906" t="s">
        <v>3099</v>
      </c>
      <c r="KK8" s="492">
        <v>-1800.01</v>
      </c>
      <c r="KL8" s="346" t="s">
        <v>3066</v>
      </c>
      <c r="KM8" s="61">
        <v>9.4499999999999993</v>
      </c>
      <c r="KN8" s="929">
        <v>20000</v>
      </c>
      <c r="KO8" s="930">
        <v>45384</v>
      </c>
      <c r="KQ8" s="492"/>
      <c r="KR8" s="919" t="s">
        <v>3117</v>
      </c>
      <c r="KS8" s="61"/>
      <c r="KT8" s="929">
        <v>20000</v>
      </c>
      <c r="KU8" s="930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1929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s="253" t="s">
        <v>2222</v>
      </c>
      <c r="HQ9">
        <v>75.06</v>
      </c>
      <c r="HR9" s="245" t="s">
        <v>2242</v>
      </c>
      <c r="HS9">
        <v>100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3039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2950</v>
      </c>
      <c r="KA9" s="61">
        <f>27+270.45+2700</f>
        <v>2997.45</v>
      </c>
      <c r="KB9" s="320" t="s">
        <v>2460</v>
      </c>
      <c r="KC9" s="403">
        <v>0</v>
      </c>
      <c r="KD9" s="888"/>
      <c r="KE9" s="494"/>
      <c r="KF9" s="245" t="s">
        <v>2953</v>
      </c>
      <c r="KG9" s="492">
        <v>64875.360000000001</v>
      </c>
      <c r="KH9" s="902" t="s">
        <v>3008</v>
      </c>
      <c r="KI9" s="492">
        <v>4053</v>
      </c>
      <c r="KJ9" s="905" t="s">
        <v>3058</v>
      </c>
      <c r="KK9" s="724">
        <v>1.77</v>
      </c>
      <c r="KL9" s="346" t="s">
        <v>3057</v>
      </c>
      <c r="KM9" s="888">
        <v>79.72</v>
      </c>
      <c r="KN9" s="789" t="s">
        <v>3107</v>
      </c>
      <c r="KO9" s="933">
        <f>SUM(KN5:KN8)</f>
        <v>197000</v>
      </c>
      <c r="KP9" s="937" t="s">
        <v>2933</v>
      </c>
      <c r="KQ9" s="514"/>
      <c r="KR9" s="346" t="s">
        <v>3039</v>
      </c>
      <c r="KS9" s="61">
        <v>874.8</v>
      </c>
      <c r="KT9" s="929">
        <v>30000</v>
      </c>
      <c r="KU9" s="930">
        <v>45398</v>
      </c>
      <c r="KV9" s="959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2099</v>
      </c>
      <c r="GY10">
        <v>50</v>
      </c>
      <c r="GZ10" s="347" t="s">
        <v>1682</v>
      </c>
      <c r="HA10">
        <f>SUM(HA15:HA17)</f>
        <v>2381.65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Q10" s="203"/>
      <c r="HR10" s="245" t="s">
        <v>2245</v>
      </c>
      <c r="HS10">
        <v>156.5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2933</v>
      </c>
      <c r="JY10" s="514"/>
      <c r="JZ10" s="389" t="s">
        <v>2960</v>
      </c>
      <c r="KA10" s="61">
        <v>5.99</v>
      </c>
      <c r="KB10" s="205" t="s">
        <v>2925</v>
      </c>
      <c r="KC10" s="359">
        <v>-166</v>
      </c>
      <c r="KD10" s="848" t="s">
        <v>2933</v>
      </c>
      <c r="KE10" s="514"/>
      <c r="KF10" s="245" t="s">
        <v>2952</v>
      </c>
      <c r="KG10" s="492">
        <f>136363-KG12</f>
        <v>136169.60999999999</v>
      </c>
      <c r="KH10" s="904" t="s">
        <v>3016</v>
      </c>
      <c r="KI10" s="492"/>
      <c r="KJ10" s="908"/>
      <c r="KK10" s="492"/>
      <c r="KL10" s="263" t="s">
        <v>3123</v>
      </c>
      <c r="KM10" s="888">
        <f>82.58+102.97</f>
        <v>185.55</v>
      </c>
      <c r="KN10" s="926" t="s">
        <v>3011</v>
      </c>
      <c r="KO10" s="268">
        <v>-70600</v>
      </c>
      <c r="KP10" s="937" t="s">
        <v>2945</v>
      </c>
      <c r="KQ10" s="724"/>
      <c r="KR10" s="346" t="s">
        <v>3039</v>
      </c>
      <c r="KS10" s="61">
        <v>75.400000000000006</v>
      </c>
      <c r="KT10" s="929">
        <v>20000</v>
      </c>
      <c r="KU10" s="930">
        <v>45412</v>
      </c>
      <c r="KV10" s="959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R11" s="245" t="s">
        <v>2071</v>
      </c>
      <c r="HS11" s="407">
        <f>HS12*5</f>
        <v>2104.9333333333334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2921</v>
      </c>
      <c r="JY11" s="724">
        <f>55.87+0.96</f>
        <v>56.83</v>
      </c>
      <c r="JZ11" s="346" t="s">
        <v>2912</v>
      </c>
      <c r="KA11" s="795">
        <v>29.9</v>
      </c>
      <c r="KB11" s="855" t="s">
        <v>1630</v>
      </c>
      <c r="KC11" s="442">
        <v>-217</v>
      </c>
      <c r="KD11" s="864" t="s">
        <v>2955</v>
      </c>
      <c r="KE11" s="493">
        <f>1.5%*519+1.82</f>
        <v>9.6050000000000004</v>
      </c>
      <c r="KF11" s="345" t="s">
        <v>3009</v>
      </c>
      <c r="KG11" s="492">
        <v>281.16000000000003</v>
      </c>
      <c r="KH11" s="894" t="s">
        <v>2664</v>
      </c>
      <c r="KI11" s="442">
        <v>-82000</v>
      </c>
      <c r="KJ11" s="888" t="s">
        <v>2933</v>
      </c>
      <c r="KK11" s="514"/>
      <c r="KL11" s="263" t="s">
        <v>3079</v>
      </c>
      <c r="KM11" s="911">
        <f>165.2+34.2</f>
        <v>199.39999999999998</v>
      </c>
      <c r="KN11" s="902" t="s">
        <v>3112</v>
      </c>
      <c r="KO11" s="268">
        <v>-127017</v>
      </c>
      <c r="KP11" s="967" t="s">
        <v>3156</v>
      </c>
      <c r="KQ11" s="724">
        <v>35.14</v>
      </c>
      <c r="KR11" s="346" t="s">
        <v>3138</v>
      </c>
      <c r="KS11" s="937">
        <v>487</v>
      </c>
      <c r="KT11" s="789" t="s">
        <v>3107</v>
      </c>
      <c r="KU11" s="933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1915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Q12" s="242"/>
      <c r="HR12" s="345" t="s">
        <v>2070</v>
      </c>
      <c r="HS12" s="407">
        <f>2525.92/6</f>
        <v>420.98666666666668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3040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2999</v>
      </c>
      <c r="KE12" s="724">
        <v>46</v>
      </c>
      <c r="KF12" s="345" t="s">
        <v>3074</v>
      </c>
      <c r="KG12" s="492">
        <v>193.39</v>
      </c>
      <c r="KH12" s="895" t="s">
        <v>2663</v>
      </c>
      <c r="KI12" s="268">
        <v>-4000</v>
      </c>
      <c r="KJ12" s="888" t="s">
        <v>2955</v>
      </c>
      <c r="KK12" s="493" t="s">
        <v>657</v>
      </c>
      <c r="KL12" s="263" t="s">
        <v>1557</v>
      </c>
      <c r="KM12" s="888">
        <f>47.8-21.9</f>
        <v>25.9</v>
      </c>
      <c r="KN12" s="2">
        <f>SUM(KI8:KI9)+180+3750</f>
        <v>-127017</v>
      </c>
      <c r="KO12" s="268" t="s">
        <v>3088</v>
      </c>
      <c r="KP12" s="937" t="s">
        <v>1799</v>
      </c>
      <c r="KQ12" s="724"/>
      <c r="KR12" s="346" t="s">
        <v>3121</v>
      </c>
      <c r="KT12" s="937" t="s">
        <v>3011</v>
      </c>
      <c r="KU12" s="268">
        <v>-70600</v>
      </c>
      <c r="KV12" s="606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2071</v>
      </c>
      <c r="HA13" s="396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1949</v>
      </c>
      <c r="HS13" s="6">
        <v>71.900000000000006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2874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2875</v>
      </c>
      <c r="JM13" s="725">
        <v>5.9</v>
      </c>
      <c r="JN13" s="245" t="s">
        <v>3010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2899</v>
      </c>
      <c r="JY13" s="725">
        <v>7.95</v>
      </c>
      <c r="JZ13" s="346" t="s">
        <v>2889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1" t="s">
        <v>2956</v>
      </c>
      <c r="KI13" s="442">
        <v>366011</v>
      </c>
      <c r="KJ13" s="888" t="s">
        <v>2945</v>
      </c>
      <c r="KK13" s="724">
        <f>73.33+0.96</f>
        <v>74.289999999999992</v>
      </c>
      <c r="KL13" s="263" t="s">
        <v>2475</v>
      </c>
      <c r="KM13" s="888">
        <v>40.590000000000003</v>
      </c>
      <c r="KN13" s="894" t="s">
        <v>3108</v>
      </c>
      <c r="KO13" s="442">
        <v>-82000</v>
      </c>
      <c r="KP13" s="9" t="s">
        <v>2899</v>
      </c>
      <c r="KQ13" s="725"/>
      <c r="KR13" s="263" t="s">
        <v>3120</v>
      </c>
      <c r="KT13" s="937" t="s">
        <v>3122</v>
      </c>
      <c r="KU13" s="268">
        <v>-127017</v>
      </c>
      <c r="KV13" s="606">
        <v>45223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1027" t="s">
        <v>1504</v>
      </c>
      <c r="DP14" s="1028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1906</v>
      </c>
      <c r="FW14">
        <f>10000+20000+30000</f>
        <v>60000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t="s">
        <v>2112</v>
      </c>
      <c r="GY14">
        <v>40</v>
      </c>
      <c r="GZ14" s="389" t="s">
        <v>2111</v>
      </c>
      <c r="HA14">
        <v>1476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84" t="s">
        <v>2185</v>
      </c>
      <c r="HK14" s="984"/>
      <c r="HL14" s="345" t="s">
        <v>1195</v>
      </c>
      <c r="HM14">
        <f>6.5+15</f>
        <v>21.5</v>
      </c>
      <c r="HN14" s="66" t="s">
        <v>1506</v>
      </c>
      <c r="HO14">
        <v>912</v>
      </c>
      <c r="HP14" s="401"/>
      <c r="HQ14" s="398"/>
      <c r="HR14" s="345" t="s">
        <v>2175</v>
      </c>
      <c r="HS14">
        <v>132.94999999999999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2876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2913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2916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2899</v>
      </c>
      <c r="KE14" s="725"/>
      <c r="KF14" s="345" t="s">
        <v>2611</v>
      </c>
      <c r="KG14" s="534">
        <v>131.87</v>
      </c>
      <c r="KH14" s="895" t="s">
        <v>3019</v>
      </c>
      <c r="KI14" s="268">
        <v>100032</v>
      </c>
      <c r="KJ14" s="9"/>
      <c r="KK14" s="725"/>
      <c r="KL14" s="333" t="s">
        <v>1835</v>
      </c>
      <c r="KM14" s="643">
        <v>1000</v>
      </c>
      <c r="KN14" s="895" t="s">
        <v>2663</v>
      </c>
      <c r="KO14" s="268">
        <v>-4000</v>
      </c>
      <c r="KP14" s="1013" t="s">
        <v>2946</v>
      </c>
      <c r="KQ14" s="1013"/>
      <c r="KR14" s="263" t="s">
        <v>3120</v>
      </c>
      <c r="KT14" s="2"/>
      <c r="KU14" s="268" t="s">
        <v>3088</v>
      </c>
      <c r="KV14" s="606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1916</v>
      </c>
      <c r="FD15" s="346" t="s">
        <v>1027</v>
      </c>
      <c r="FE15" s="207">
        <f>797+936</f>
        <v>1733</v>
      </c>
      <c r="FF15" s="6" t="s">
        <v>1739</v>
      </c>
      <c r="FG15" s="274" t="s">
        <v>1916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Z15" s="346" t="s">
        <v>2097</v>
      </c>
      <c r="HA15">
        <f>10+10+120*2</f>
        <v>260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202"/>
      <c r="HR15" s="345" t="s">
        <v>2176</v>
      </c>
      <c r="HS15">
        <v>161.36000000000001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3019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3020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3041</v>
      </c>
      <c r="JW15" s="268">
        <v>2151</v>
      </c>
      <c r="JX15" s="9"/>
      <c r="JY15" s="725"/>
      <c r="JZ15" s="346" t="s">
        <v>2890</v>
      </c>
      <c r="KA15" s="827">
        <v>10</v>
      </c>
      <c r="KB15" s="856" t="s">
        <v>3019</v>
      </c>
      <c r="KC15" s="268">
        <v>100491</v>
      </c>
      <c r="KD15" s="1013" t="s">
        <v>2946</v>
      </c>
      <c r="KE15" s="1013"/>
      <c r="KF15" s="345" t="s">
        <v>1195</v>
      </c>
      <c r="KG15" s="61">
        <f>10+6.5+15</f>
        <v>31.5</v>
      </c>
      <c r="KH15" s="893" t="s">
        <v>2988</v>
      </c>
      <c r="KI15" s="605"/>
      <c r="KJ15" s="888" t="s">
        <v>2932</v>
      </c>
      <c r="KK15" s="725"/>
      <c r="KL15" s="245" t="s">
        <v>3053</v>
      </c>
      <c r="KM15" s="492">
        <v>50065.8</v>
      </c>
      <c r="KN15" s="891" t="s">
        <v>2956</v>
      </c>
      <c r="KO15" s="442">
        <v>199006</v>
      </c>
      <c r="KP15" s="9"/>
      <c r="KQ15" s="725"/>
      <c r="KR15" s="263" t="s">
        <v>3120</v>
      </c>
      <c r="KS15" s="911"/>
      <c r="KT15" s="943" t="s">
        <v>3108</v>
      </c>
      <c r="KU15" s="442">
        <v>-82000</v>
      </c>
      <c r="KV15" s="606"/>
      <c r="KW15" s="949"/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1994</v>
      </c>
      <c r="BF16" s="205">
        <v>420</v>
      </c>
      <c r="BG16" s="63" t="s">
        <v>1204</v>
      </c>
      <c r="BH16" s="64">
        <v>17.37</v>
      </c>
      <c r="BK16" s="264" t="s">
        <v>1995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1907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401"/>
      <c r="HQ16" s="398"/>
      <c r="HR16" s="345" t="s">
        <v>1816</v>
      </c>
      <c r="HS16">
        <v>113.11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3028</v>
      </c>
      <c r="JM16" s="61">
        <f>25.72</f>
        <v>25.72</v>
      </c>
      <c r="JN16" s="345" t="s">
        <v>2693</v>
      </c>
      <c r="JO16" s="61">
        <v>23.96</v>
      </c>
      <c r="JP16" s="717" t="s">
        <v>3041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2932</v>
      </c>
      <c r="JY16" s="725"/>
      <c r="JZ16" s="346" t="s">
        <v>2900</v>
      </c>
      <c r="KA16" s="833">
        <f>6.8+7.8</f>
        <v>14.6</v>
      </c>
      <c r="KB16" s="254" t="s">
        <v>2896</v>
      </c>
      <c r="KC16" s="605"/>
      <c r="KD16" s="897"/>
      <c r="KE16" s="897"/>
      <c r="KF16" s="345" t="s">
        <v>2782</v>
      </c>
      <c r="KG16" s="61">
        <f>14.32+18</f>
        <v>32.32</v>
      </c>
      <c r="KH16" s="320" t="s">
        <v>2987</v>
      </c>
      <c r="KI16" s="403">
        <v>30</v>
      </c>
      <c r="KJ16" s="9" t="s">
        <v>3089</v>
      </c>
      <c r="KK16" s="725">
        <f>7.87+11.3</f>
        <v>19.170000000000002</v>
      </c>
      <c r="KL16" s="245" t="s">
        <v>3007</v>
      </c>
      <c r="KM16" s="492">
        <f>KM19*9</f>
        <v>1272.2760000000001</v>
      </c>
      <c r="KN16" s="895" t="s">
        <v>3019</v>
      </c>
      <c r="KO16" s="268">
        <v>100842</v>
      </c>
      <c r="KP16" s="937" t="s">
        <v>2932</v>
      </c>
      <c r="KQ16" s="725"/>
      <c r="KR16" s="263" t="s">
        <v>3120</v>
      </c>
      <c r="KT16" s="944" t="s">
        <v>2663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1916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1926</v>
      </c>
      <c r="FU17" s="242">
        <v>18.399999999999999</v>
      </c>
      <c r="FV17" s="346" t="s">
        <v>1935</v>
      </c>
      <c r="FW17" s="207">
        <v>29.62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95" t="s">
        <v>2120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1195</v>
      </c>
      <c r="HS17">
        <f>6.5+15</f>
        <v>21.5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3019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3029</v>
      </c>
      <c r="JM17" s="61">
        <f>180.39+64.94+57.72</f>
        <v>303.04999999999995</v>
      </c>
      <c r="JN17" s="345" t="s">
        <v>3042</v>
      </c>
      <c r="JO17" s="61">
        <v>30</v>
      </c>
      <c r="JP17" s="254" t="s">
        <v>2776</v>
      </c>
      <c r="JQ17" s="605"/>
      <c r="JR17" s="778" t="s">
        <v>3020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2888</v>
      </c>
      <c r="JY17" s="725">
        <f>1.29+1.15</f>
        <v>2.44</v>
      </c>
      <c r="JZ17" s="346" t="s">
        <v>2892</v>
      </c>
      <c r="KA17" s="795">
        <f>73.44/2</f>
        <v>36.72</v>
      </c>
      <c r="KB17" s="856" t="s">
        <v>2777</v>
      </c>
      <c r="KC17" s="268">
        <v>0</v>
      </c>
      <c r="KD17" s="848" t="s">
        <v>2932</v>
      </c>
      <c r="KE17" s="725"/>
      <c r="KF17" s="345" t="s">
        <v>3043</v>
      </c>
      <c r="KG17" s="61">
        <v>180</v>
      </c>
      <c r="KH17" s="205" t="s">
        <v>2989</v>
      </c>
      <c r="KI17" s="359">
        <f>686-1000</f>
        <v>-314</v>
      </c>
      <c r="KJ17" s="9" t="s">
        <v>2502</v>
      </c>
      <c r="KK17" s="725">
        <v>7.97</v>
      </c>
      <c r="KL17" s="511" t="s">
        <v>3081</v>
      </c>
      <c r="KM17" s="492">
        <f>KM18*9</f>
        <v>1249.4970000000001</v>
      </c>
      <c r="KN17" s="924" t="s">
        <v>3106</v>
      </c>
      <c r="KO17" s="268">
        <v>129000</v>
      </c>
      <c r="KP17" s="943" t="s">
        <v>3146</v>
      </c>
      <c r="KQ17" s="725">
        <f>205.48+73.97+65.75</f>
        <v>345.2</v>
      </c>
      <c r="KR17" s="263" t="s">
        <v>3120</v>
      </c>
      <c r="KT17" s="950" t="s">
        <v>3124</v>
      </c>
      <c r="KU17" s="268">
        <v>279007</v>
      </c>
      <c r="KV17" s="108">
        <v>45223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1027" t="s">
        <v>1474</v>
      </c>
      <c r="DJ18" s="1028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1917</v>
      </c>
      <c r="FS18" s="274"/>
      <c r="FU18" s="242"/>
      <c r="FV18" s="345" t="s">
        <v>1937</v>
      </c>
      <c r="FW18">
        <f>3.08+89.15</f>
        <v>92.23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X18" s="60"/>
      <c r="GZ18" s="345" t="s">
        <v>2070</v>
      </c>
      <c r="HA18" s="407">
        <f>2525.92/6</f>
        <v>420.98666666666668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2"/>
      <c r="HQ18" s="400"/>
      <c r="HR18" s="345" t="s">
        <v>2187</v>
      </c>
      <c r="HS18">
        <f>9+10.96</f>
        <v>19.96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3019</v>
      </c>
      <c r="IO18">
        <v>3</v>
      </c>
      <c r="IP18" s="345" t="s">
        <v>2457</v>
      </c>
      <c r="IQ18" s="61">
        <v>42.65</v>
      </c>
      <c r="IR18" s="66" t="s">
        <v>3019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3048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3027</v>
      </c>
      <c r="JE18" s="605">
        <v>3083</v>
      </c>
      <c r="JF18" s="401"/>
      <c r="JG18" s="510"/>
      <c r="JH18" s="345" t="s">
        <v>3022</v>
      </c>
      <c r="JI18" s="61">
        <v>30</v>
      </c>
      <c r="JJ18" s="665" t="s">
        <v>3027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3028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2873</v>
      </c>
      <c r="JY18" s="725">
        <f>65.16+2.55</f>
        <v>67.709999999999994</v>
      </c>
      <c r="JZ18" s="346" t="s">
        <v>2936</v>
      </c>
      <c r="KA18" s="61">
        <v>5.01</v>
      </c>
      <c r="KB18" s="856" t="s">
        <v>2675</v>
      </c>
      <c r="KC18" s="268">
        <v>14</v>
      </c>
      <c r="KD18" s="9" t="s">
        <v>2873</v>
      </c>
      <c r="KE18" s="725">
        <v>92.26</v>
      </c>
      <c r="KF18" s="345" t="s">
        <v>2833</v>
      </c>
      <c r="KG18" s="203">
        <v>10.8</v>
      </c>
      <c r="KH18" s="205" t="s">
        <v>3001</v>
      </c>
      <c r="KI18" s="359"/>
      <c r="KJ18" s="9" t="s">
        <v>3054</v>
      </c>
      <c r="KK18" s="725">
        <v>12.01</v>
      </c>
      <c r="KL18" s="920" t="s">
        <v>3087</v>
      </c>
      <c r="KM18" s="505">
        <f>1388.33/10</f>
        <v>138.833</v>
      </c>
      <c r="KN18" s="893" t="s">
        <v>2988</v>
      </c>
      <c r="KO18" s="605"/>
      <c r="KP18" s="9" t="s">
        <v>3126</v>
      </c>
      <c r="KQ18" s="725">
        <f>1.52</f>
        <v>1.52</v>
      </c>
      <c r="KR18" s="333" t="s">
        <v>1863</v>
      </c>
      <c r="KS18" s="643"/>
      <c r="KT18" s="944" t="s">
        <v>3019</v>
      </c>
      <c r="KU18" s="268">
        <v>100832</v>
      </c>
      <c r="KV18" s="606">
        <v>45220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1905</v>
      </c>
      <c r="FV19" s="345" t="s">
        <v>1816</v>
      </c>
      <c r="FW19">
        <v>140.44999999999999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Z19" s="345" t="s">
        <v>2105</v>
      </c>
      <c r="HA19">
        <v>77.3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R19" s="345" t="s">
        <v>2236</v>
      </c>
      <c r="HS19">
        <v>160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3026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3029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2934</v>
      </c>
      <c r="JY19" s="725">
        <v>24.55</v>
      </c>
      <c r="JZ19" s="346" t="s">
        <v>2937</v>
      </c>
      <c r="KA19" s="795">
        <v>10.87</v>
      </c>
      <c r="KB19" s="855" t="s">
        <v>2671</v>
      </c>
      <c r="KC19" s="2">
        <v>220</v>
      </c>
      <c r="KD19" s="9" t="s">
        <v>2935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4" t="s">
        <v>1094</v>
      </c>
      <c r="KI19" s="442">
        <v>-1680</v>
      </c>
      <c r="KJ19" s="894" t="s">
        <v>3029</v>
      </c>
      <c r="KK19" s="725">
        <f>135.77+48.88+27.16</f>
        <v>211.81</v>
      </c>
      <c r="KL19" s="143" t="s">
        <v>3082</v>
      </c>
      <c r="KM19" s="505">
        <f>1413.64/10</f>
        <v>141.364</v>
      </c>
      <c r="KN19" s="320" t="s">
        <v>3109</v>
      </c>
      <c r="KO19" s="403">
        <v>-114.8</v>
      </c>
      <c r="KP19" s="9" t="s">
        <v>3150</v>
      </c>
      <c r="KQ19" s="510">
        <v>939.02</v>
      </c>
      <c r="KR19" s="245" t="s">
        <v>3118</v>
      </c>
      <c r="KS19" s="492"/>
      <c r="KT19" s="940" t="s">
        <v>2956</v>
      </c>
      <c r="KU19" s="442">
        <v>0</v>
      </c>
      <c r="KV19" s="606">
        <v>45208</v>
      </c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82" t="s">
        <v>1886</v>
      </c>
      <c r="FU20">
        <v>1200</v>
      </c>
      <c r="FV20" s="345" t="s">
        <v>1195</v>
      </c>
      <c r="FW20">
        <f>6.5+15</f>
        <v>21.5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2108</v>
      </c>
      <c r="HA20">
        <v>97.12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2235</v>
      </c>
      <c r="HS20">
        <v>42.65</v>
      </c>
      <c r="HT20" s="66" t="s">
        <v>3019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3051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2923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3031</v>
      </c>
      <c r="KE20" s="725" t="s">
        <v>3000</v>
      </c>
      <c r="KF20" s="337" t="s">
        <v>2985</v>
      </c>
      <c r="KG20" s="61">
        <v>10</v>
      </c>
      <c r="KH20" s="205" t="s">
        <v>2992</v>
      </c>
      <c r="KI20" s="888">
        <f>KH21-0.99*195000</f>
        <v>-242</v>
      </c>
      <c r="KJ20" s="9" t="s">
        <v>3114</v>
      </c>
      <c r="KK20" s="725">
        <v>33</v>
      </c>
      <c r="KL20" s="143" t="s">
        <v>3172</v>
      </c>
      <c r="KM20" s="321">
        <v>198.07</v>
      </c>
      <c r="KN20" s="894" t="s">
        <v>3110</v>
      </c>
      <c r="KO20" s="442">
        <v>-425</v>
      </c>
      <c r="KP20" s="9" t="s">
        <v>3127</v>
      </c>
      <c r="KQ20" s="510">
        <v>14.02</v>
      </c>
      <c r="KR20" s="143" t="s">
        <v>3119</v>
      </c>
      <c r="KS20" s="505"/>
      <c r="KT20" s="942" t="s">
        <v>2988</v>
      </c>
      <c r="KU20" s="605"/>
      <c r="KV20" s="606"/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1021" t="s">
        <v>507</v>
      </c>
      <c r="N21" s="1021"/>
      <c r="Q21" s="166" t="s">
        <v>365</v>
      </c>
      <c r="S21" s="1021" t="s">
        <v>507</v>
      </c>
      <c r="T21" s="1021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1018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1887</v>
      </c>
      <c r="FU21">
        <v>200</v>
      </c>
      <c r="FV21" s="345" t="s">
        <v>1933</v>
      </c>
      <c r="FW21">
        <v>10.96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X21" s="60"/>
      <c r="GZ21" s="345" t="s">
        <v>1816</v>
      </c>
      <c r="HA21">
        <v>140.44999999999999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2234</v>
      </c>
      <c r="HS21">
        <v>64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3032</v>
      </c>
      <c r="JY21" s="725">
        <v>13.23</v>
      </c>
      <c r="JZ21" s="245" t="s">
        <v>2948</v>
      </c>
      <c r="KA21" s="492">
        <v>1322.98</v>
      </c>
      <c r="KB21" s="857" t="s">
        <v>2447</v>
      </c>
      <c r="KC21" s="2">
        <v>1000</v>
      </c>
      <c r="KD21" s="861" t="s">
        <v>3033</v>
      </c>
      <c r="KE21" s="510">
        <f>63.91+71.9+199.73+2.07</f>
        <v>337.60999999999996</v>
      </c>
      <c r="KF21" s="337" t="s">
        <v>2996</v>
      </c>
      <c r="KG21" s="61">
        <v>108.001</v>
      </c>
      <c r="KH21" s="884">
        <v>192808</v>
      </c>
      <c r="KI21" s="892"/>
      <c r="KJ21" s="9" t="s">
        <v>3030</v>
      </c>
      <c r="KK21" s="725">
        <v>20.67</v>
      </c>
      <c r="KL21" s="143" t="s">
        <v>2543</v>
      </c>
      <c r="KM21" s="61">
        <v>81.91</v>
      </c>
      <c r="KN21" s="205" t="s">
        <v>3006</v>
      </c>
      <c r="KO21" s="2">
        <f>KN22-0.99*195000</f>
        <v>-55900</v>
      </c>
      <c r="KP21" s="965" t="s">
        <v>3153</v>
      </c>
      <c r="KQ21" s="964">
        <f>30000*(1-0.9807)</f>
        <v>578.99999999999955</v>
      </c>
      <c r="KR21" s="143" t="s">
        <v>3171</v>
      </c>
      <c r="KS21" s="321">
        <v>170.22</v>
      </c>
      <c r="KT21" s="943" t="s">
        <v>3110</v>
      </c>
      <c r="KU21" s="442">
        <v>-425</v>
      </c>
      <c r="KV21" s="606">
        <v>45199</v>
      </c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1019" t="s">
        <v>990</v>
      </c>
      <c r="N22" s="1019"/>
      <c r="Q22" s="166" t="s">
        <v>369</v>
      </c>
      <c r="S22" s="1019" t="s">
        <v>990</v>
      </c>
      <c r="T22" s="1019"/>
      <c r="W22" s="244" t="s">
        <v>1019</v>
      </c>
      <c r="X22" s="142">
        <v>0</v>
      </c>
      <c r="Y22" s="1021" t="s">
        <v>507</v>
      </c>
      <c r="Z22" s="1021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1018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1903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Z22" s="345" t="s">
        <v>2159</v>
      </c>
      <c r="HA22">
        <f>10.96+9.01+6.5+15</f>
        <v>41.47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2239</v>
      </c>
      <c r="HS22">
        <v>10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3019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3044</v>
      </c>
      <c r="II22">
        <f>9.86*4</f>
        <v>39.44</v>
      </c>
      <c r="IJ22" s="345" t="s">
        <v>2249</v>
      </c>
      <c r="IK22">
        <v>64</v>
      </c>
      <c r="IL22" s="66" t="s">
        <v>3026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73" t="s">
        <v>2170</v>
      </c>
      <c r="IU22" s="973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3045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3034</v>
      </c>
      <c r="JY22" s="725">
        <v>31.96</v>
      </c>
      <c r="JZ22" s="245" t="s">
        <v>2938</v>
      </c>
      <c r="KA22" s="492">
        <v>1730.87</v>
      </c>
      <c r="KB22" s="854" t="s">
        <v>2465</v>
      </c>
      <c r="KC22" s="61"/>
      <c r="KD22" s="869" t="s">
        <v>2994</v>
      </c>
      <c r="KE22" s="510">
        <f>7000*(1-98.14%)</f>
        <v>130.19999999999965</v>
      </c>
      <c r="KF22" s="337" t="s">
        <v>2973</v>
      </c>
      <c r="KG22" s="848">
        <v>135.69999999999999</v>
      </c>
      <c r="KH22" s="891" t="s">
        <v>2772</v>
      </c>
      <c r="KI22" s="268">
        <v>2600</v>
      </c>
      <c r="KJ22" s="9" t="s">
        <v>3004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2"/>
      <c r="KP22" s="940"/>
      <c r="KR22" s="143" t="s">
        <v>2543</v>
      </c>
      <c r="KS22" s="61">
        <v>82.42</v>
      </c>
      <c r="KT22" s="205" t="s">
        <v>3006</v>
      </c>
      <c r="KU22" s="2">
        <f>KT23-0.99*195000</f>
        <v>-56023</v>
      </c>
      <c r="KV22" s="108"/>
    </row>
    <row r="23" spans="1:309">
      <c r="A23" s="1021" t="s">
        <v>507</v>
      </c>
      <c r="B23" s="1021"/>
      <c r="E23" s="164" t="s">
        <v>237</v>
      </c>
      <c r="F23" s="166"/>
      <c r="G23" s="1021" t="s">
        <v>507</v>
      </c>
      <c r="H23" s="1021"/>
      <c r="K23" s="244" t="s">
        <v>1019</v>
      </c>
      <c r="L23" s="142">
        <v>0</v>
      </c>
      <c r="M23" s="996"/>
      <c r="N23" s="996"/>
      <c r="Q23" s="166" t="s">
        <v>1056</v>
      </c>
      <c r="S23" s="996"/>
      <c r="T23" s="996"/>
      <c r="W23" s="244" t="s">
        <v>1027</v>
      </c>
      <c r="X23" s="205">
        <v>0</v>
      </c>
      <c r="Y23" s="1019" t="s">
        <v>990</v>
      </c>
      <c r="Z23" s="1019"/>
      <c r="AC23"/>
      <c r="AE23" s="1021" t="s">
        <v>507</v>
      </c>
      <c r="AF23" s="1021"/>
      <c r="AI23"/>
      <c r="AK23" s="1021" t="s">
        <v>507</v>
      </c>
      <c r="AL23" s="1021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1017" t="s">
        <v>1536</v>
      </c>
      <c r="EF23" s="1017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1018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1018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1904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2160</v>
      </c>
      <c r="HA23">
        <f>10+2.2</f>
        <v>12.2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73" t="s">
        <v>2170</v>
      </c>
      <c r="HK23" s="9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1985</v>
      </c>
      <c r="HS23" s="411">
        <f>16.5+14.09+10+1.34+13.21+16.39+15.89+17.3</f>
        <v>104.72</v>
      </c>
      <c r="HT23" s="66" t="s">
        <v>2220</v>
      </c>
      <c r="HU23">
        <f>5002+10000+10000+5000</f>
        <v>30002</v>
      </c>
      <c r="HV23" s="973" t="s">
        <v>2170</v>
      </c>
      <c r="HW23" s="973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3025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3035</v>
      </c>
      <c r="JY23" s="725">
        <f>85.99+30.96</f>
        <v>116.94999999999999</v>
      </c>
      <c r="JZ23" s="245" t="s">
        <v>2924</v>
      </c>
      <c r="KA23" s="492">
        <v>1713.69</v>
      </c>
      <c r="KB23" s="854" t="s">
        <v>2472</v>
      </c>
      <c r="KC23" s="61"/>
      <c r="KD23" s="885" t="s">
        <v>2995</v>
      </c>
      <c r="KE23" s="848">
        <f>1660.5+1107</f>
        <v>2767.5</v>
      </c>
      <c r="KF23" s="337" t="s">
        <v>3021</v>
      </c>
      <c r="KG23" s="533">
        <v>10</v>
      </c>
      <c r="KH23" s="895" t="s">
        <v>2773</v>
      </c>
      <c r="KI23" s="268">
        <v>1</v>
      </c>
      <c r="KJ23" s="9" t="s">
        <v>3003</v>
      </c>
      <c r="KK23" s="510">
        <v>5.68</v>
      </c>
      <c r="KL23" s="143" t="s">
        <v>2782</v>
      </c>
      <c r="KM23" s="61">
        <f>14.32+9*2</f>
        <v>32.32</v>
      </c>
      <c r="KN23" s="891" t="s">
        <v>2772</v>
      </c>
      <c r="KO23" s="268">
        <v>2600</v>
      </c>
      <c r="KR23" s="143" t="s">
        <v>3139</v>
      </c>
      <c r="KS23" s="61">
        <v>30</v>
      </c>
      <c r="KT23" s="884">
        <v>137027</v>
      </c>
      <c r="KU23" s="941"/>
      <c r="KV23" s="606">
        <v>45212</v>
      </c>
      <c r="KW23" s="268"/>
    </row>
    <row r="24" spans="1:309">
      <c r="A24" s="1019" t="s">
        <v>990</v>
      </c>
      <c r="B24" s="1019"/>
      <c r="E24" s="164" t="s">
        <v>139</v>
      </c>
      <c r="F24" s="166"/>
      <c r="G24" s="1019" t="s">
        <v>990</v>
      </c>
      <c r="H24" s="1019"/>
      <c r="K24" s="244" t="s">
        <v>1027</v>
      </c>
      <c r="L24" s="205">
        <v>0</v>
      </c>
      <c r="M24" s="996"/>
      <c r="N24" s="996"/>
      <c r="Q24" s="244" t="s">
        <v>1029</v>
      </c>
      <c r="R24" s="142">
        <v>0</v>
      </c>
      <c r="S24" s="996"/>
      <c r="T24" s="996"/>
      <c r="W24" s="244" t="s">
        <v>1050</v>
      </c>
      <c r="X24" s="142">
        <v>910.17</v>
      </c>
      <c r="Y24" s="996"/>
      <c r="Z24" s="996"/>
      <c r="AC24" s="248" t="s">
        <v>1083</v>
      </c>
      <c r="AD24" s="142">
        <v>90</v>
      </c>
      <c r="AE24" s="1019" t="s">
        <v>990</v>
      </c>
      <c r="AF24" s="1019"/>
      <c r="AI24" s="245" t="s">
        <v>1101</v>
      </c>
      <c r="AJ24" s="142">
        <v>30</v>
      </c>
      <c r="AK24" s="1019" t="s">
        <v>990</v>
      </c>
      <c r="AL24" s="1019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1019"/>
      <c r="BH24" s="1019"/>
      <c r="BK24" s="266" t="s">
        <v>1222</v>
      </c>
      <c r="BL24" s="205">
        <v>48.54</v>
      </c>
      <c r="BM24" s="1019"/>
      <c r="BN24" s="1019"/>
      <c r="BQ24" s="266" t="s">
        <v>1051</v>
      </c>
      <c r="BR24" s="205">
        <v>50.15</v>
      </c>
      <c r="BS24" s="1019" t="s">
        <v>1245</v>
      </c>
      <c r="BT24" s="1019"/>
      <c r="BW24" s="266" t="s">
        <v>1051</v>
      </c>
      <c r="BX24" s="205">
        <v>48.54</v>
      </c>
      <c r="BY24" s="1019"/>
      <c r="BZ24" s="1019"/>
      <c r="CC24" s="266" t="s">
        <v>1051</v>
      </c>
      <c r="CD24" s="205">
        <v>142.91</v>
      </c>
      <c r="CE24" s="1019"/>
      <c r="CF24" s="1019"/>
      <c r="CI24" s="266" t="s">
        <v>1312</v>
      </c>
      <c r="CJ24" s="205">
        <v>35.049999999999997</v>
      </c>
      <c r="CK24" s="996"/>
      <c r="CL24" s="996"/>
      <c r="CO24" s="266" t="s">
        <v>1286</v>
      </c>
      <c r="CP24" s="205">
        <v>153.41</v>
      </c>
      <c r="CQ24" s="996" t="s">
        <v>1327</v>
      </c>
      <c r="CR24" s="996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1018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1931</v>
      </c>
      <c r="FU24">
        <v>15.000999999999999</v>
      </c>
      <c r="FV24" s="345" t="s">
        <v>2011</v>
      </c>
      <c r="FW24">
        <v>18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1985</v>
      </c>
      <c r="HA24">
        <f>15.19+14.56+13.54+14.83+17.61+15.15</f>
        <v>90.88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Q24" s="400"/>
      <c r="HR24" s="337" t="s">
        <v>2211</v>
      </c>
      <c r="HS24">
        <v>20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2882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2917</v>
      </c>
      <c r="KC24" s="61">
        <v>1.64</v>
      </c>
      <c r="KD24" s="848">
        <f>150000*(1-0.98155)</f>
        <v>2767.499999999995</v>
      </c>
      <c r="KE24" s="848" t="s">
        <v>3088</v>
      </c>
      <c r="KF24" s="337" t="s">
        <v>2962</v>
      </c>
      <c r="KG24" s="533">
        <v>38</v>
      </c>
      <c r="KH24" s="895" t="s">
        <v>2774</v>
      </c>
      <c r="KI24" s="517">
        <v>408</v>
      </c>
      <c r="KJ24" s="910" t="s">
        <v>3094</v>
      </c>
      <c r="KK24" s="888">
        <f>20000*(1-0.9814)</f>
        <v>371.99999999999898</v>
      </c>
      <c r="KL24" s="143" t="s">
        <v>2833</v>
      </c>
      <c r="KM24" s="203">
        <v>10.8</v>
      </c>
      <c r="KN24" s="895" t="s">
        <v>2773</v>
      </c>
      <c r="KO24" s="268">
        <v>520</v>
      </c>
      <c r="KQ24" s="943"/>
      <c r="KR24" s="143" t="s">
        <v>3130</v>
      </c>
      <c r="KS24" s="61">
        <v>100</v>
      </c>
      <c r="KT24" s="940" t="s">
        <v>2772</v>
      </c>
      <c r="KU24" s="268">
        <v>2600</v>
      </c>
      <c r="KV24" s="606"/>
      <c r="KW24" s="517"/>
    </row>
    <row r="25" spans="1:309">
      <c r="A25" s="996"/>
      <c r="B25" s="996"/>
      <c r="E25" s="198" t="s">
        <v>362</v>
      </c>
      <c r="F25" s="170"/>
      <c r="G25" s="996"/>
      <c r="H25" s="996"/>
      <c r="K25" s="244" t="s">
        <v>1018</v>
      </c>
      <c r="L25" s="142">
        <f>910+40</f>
        <v>950</v>
      </c>
      <c r="M25" s="996"/>
      <c r="N25" s="996"/>
      <c r="Q25" s="244" t="s">
        <v>1026</v>
      </c>
      <c r="R25" s="142">
        <v>0</v>
      </c>
      <c r="S25" s="996"/>
      <c r="T25" s="996"/>
      <c r="W25" s="143" t="s">
        <v>1085</v>
      </c>
      <c r="X25" s="142">
        <v>110.58</v>
      </c>
      <c r="Y25" s="996"/>
      <c r="Z25" s="996"/>
      <c r="AE25" s="996"/>
      <c r="AF25" s="996"/>
      <c r="AK25" s="996"/>
      <c r="AL25" s="996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996"/>
      <c r="AX25" s="996"/>
      <c r="AY25" s="143"/>
      <c r="AZ25" s="205"/>
      <c r="BA25" s="996"/>
      <c r="BB25" s="996"/>
      <c r="BE25" s="143" t="s">
        <v>1195</v>
      </c>
      <c r="BF25" s="205">
        <f>6.5*2</f>
        <v>13</v>
      </c>
      <c r="BG25" s="996"/>
      <c r="BH25" s="996"/>
      <c r="BK25" s="266" t="s">
        <v>1195</v>
      </c>
      <c r="BL25" s="205">
        <f>6.5*2</f>
        <v>13</v>
      </c>
      <c r="BM25" s="996"/>
      <c r="BN25" s="996"/>
      <c r="BQ25" s="266" t="s">
        <v>1195</v>
      </c>
      <c r="BR25" s="205">
        <v>13</v>
      </c>
      <c r="BS25" s="996"/>
      <c r="BT25" s="996"/>
      <c r="BW25" s="266" t="s">
        <v>1195</v>
      </c>
      <c r="BX25" s="205">
        <v>13</v>
      </c>
      <c r="BY25" s="996"/>
      <c r="BZ25" s="996"/>
      <c r="CC25" s="266" t="s">
        <v>1195</v>
      </c>
      <c r="CD25" s="205">
        <v>13</v>
      </c>
      <c r="CE25" s="996"/>
      <c r="CF25" s="996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1033" t="s">
        <v>1536</v>
      </c>
      <c r="DZ25" s="1034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1017" t="s">
        <v>1536</v>
      </c>
      <c r="ES25" s="1017"/>
      <c r="ET25" s="1" t="s">
        <v>1703</v>
      </c>
      <c r="EU25" s="272">
        <v>20000</v>
      </c>
      <c r="EW25" s="1018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1886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2118</v>
      </c>
      <c r="HA25">
        <f>35+4</f>
        <v>39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2226</v>
      </c>
      <c r="HS25">
        <v>26.6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73" t="s">
        <v>2170</v>
      </c>
      <c r="IC25" s="973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2883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2922</v>
      </c>
      <c r="KA25" s="61">
        <v>219</v>
      </c>
      <c r="KB25" s="854"/>
      <c r="KC25" s="61"/>
      <c r="KD25" s="901"/>
      <c r="KE25" s="901"/>
      <c r="KF25" s="337" t="s">
        <v>2966</v>
      </c>
      <c r="KG25" s="533">
        <v>25.9</v>
      </c>
      <c r="KH25" s="895" t="s">
        <v>2777</v>
      </c>
      <c r="KI25" s="268" t="s">
        <v>2129</v>
      </c>
      <c r="KJ25" s="916" t="s">
        <v>3095</v>
      </c>
      <c r="KK25" s="915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5" t="s">
        <v>2774</v>
      </c>
      <c r="KO25" s="517">
        <v>1334</v>
      </c>
      <c r="KR25" s="143" t="s">
        <v>3148</v>
      </c>
      <c r="KS25" s="281" t="s">
        <v>3136</v>
      </c>
      <c r="KT25" s="944" t="s">
        <v>2773</v>
      </c>
      <c r="KU25" s="268">
        <v>467</v>
      </c>
      <c r="KV25" s="606">
        <v>45222</v>
      </c>
      <c r="KW25" s="268"/>
    </row>
    <row r="26" spans="1:309">
      <c r="A26" s="996"/>
      <c r="B26" s="996"/>
      <c r="F26" s="194"/>
      <c r="G26" s="996"/>
      <c r="H26" s="996"/>
      <c r="K26"/>
      <c r="M26" s="1023" t="s">
        <v>506</v>
      </c>
      <c r="N26" s="1023"/>
      <c r="Q26" s="244" t="s">
        <v>1019</v>
      </c>
      <c r="R26" s="142">
        <v>0</v>
      </c>
      <c r="S26" s="1023" t="s">
        <v>506</v>
      </c>
      <c r="T26" s="1023"/>
      <c r="W26" s="143" t="s">
        <v>1051</v>
      </c>
      <c r="X26" s="142">
        <v>60.75</v>
      </c>
      <c r="Y26" s="996"/>
      <c r="Z26" s="996"/>
      <c r="AC26" s="219" t="s">
        <v>1092</v>
      </c>
      <c r="AD26" s="219"/>
      <c r="AE26" s="1023" t="s">
        <v>506</v>
      </c>
      <c r="AF26" s="1023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1017" t="s">
        <v>1536</v>
      </c>
      <c r="EY26" s="1017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1887</v>
      </c>
      <c r="FU26">
        <f>242.32-FU21</f>
        <v>42.319999999999993</v>
      </c>
      <c r="FV26" s="337" t="s">
        <v>1891</v>
      </c>
      <c r="FW26">
        <v>70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2114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P26" s="973" t="s">
        <v>2170</v>
      </c>
      <c r="HQ26" s="973"/>
      <c r="HR26" s="337" t="s">
        <v>2232</v>
      </c>
      <c r="HS26">
        <v>10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3049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2884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2880</v>
      </c>
      <c r="JU26" s="61">
        <v>41.5</v>
      </c>
      <c r="JV26" s="768"/>
      <c r="JW26" s="61"/>
      <c r="JX26" s="831"/>
      <c r="JY26" s="831"/>
      <c r="JZ26" s="345" t="s">
        <v>3022</v>
      </c>
      <c r="KA26" s="61">
        <v>30</v>
      </c>
      <c r="KB26" s="854" t="s">
        <v>2416</v>
      </c>
      <c r="KC26" s="61"/>
      <c r="KD26" s="901"/>
      <c r="KE26" s="901"/>
      <c r="KF26" s="337" t="s">
        <v>2976</v>
      </c>
      <c r="KG26" s="533">
        <v>63.1</v>
      </c>
      <c r="KH26" s="895" t="s">
        <v>2675</v>
      </c>
      <c r="KI26" s="268">
        <v>15</v>
      </c>
      <c r="KJ26" s="931"/>
      <c r="KK26" s="931"/>
      <c r="KL26" s="337" t="s">
        <v>3086</v>
      </c>
      <c r="KM26" s="61">
        <f>80+115</f>
        <v>195</v>
      </c>
      <c r="KN26" s="254" t="s">
        <v>3111</v>
      </c>
      <c r="KO26" s="517"/>
      <c r="KR26" s="143" t="s">
        <v>3128</v>
      </c>
      <c r="KS26" s="534" t="s">
        <v>3129</v>
      </c>
      <c r="KT26" s="944" t="s">
        <v>2774</v>
      </c>
      <c r="KU26" s="517">
        <v>716</v>
      </c>
      <c r="KV26" s="606">
        <v>45223</v>
      </c>
      <c r="KW26" s="517"/>
    </row>
    <row r="27" spans="1:309" ht="12.75" customHeight="1">
      <c r="A27" s="996"/>
      <c r="B27" s="996"/>
      <c r="E27" s="193" t="s">
        <v>360</v>
      </c>
      <c r="F27" s="194"/>
      <c r="G27" s="996"/>
      <c r="H27" s="996"/>
      <c r="K27" s="143" t="s">
        <v>1017</v>
      </c>
      <c r="L27" s="142">
        <f>60</f>
        <v>60</v>
      </c>
      <c r="M27" s="1023" t="s">
        <v>992</v>
      </c>
      <c r="N27" s="1023"/>
      <c r="Q27" s="244" t="s">
        <v>1073</v>
      </c>
      <c r="R27" s="205">
        <v>200</v>
      </c>
      <c r="S27" s="1023" t="s">
        <v>992</v>
      </c>
      <c r="T27" s="1023"/>
      <c r="W27" s="143" t="s">
        <v>1016</v>
      </c>
      <c r="X27" s="142">
        <v>61.35</v>
      </c>
      <c r="Y27" s="1023" t="s">
        <v>506</v>
      </c>
      <c r="Z27" s="1023"/>
      <c r="AC27" s="219" t="s">
        <v>1088</v>
      </c>
      <c r="AD27" s="219">
        <f>53+207+63</f>
        <v>323</v>
      </c>
      <c r="AE27" s="1023" t="s">
        <v>992</v>
      </c>
      <c r="AF27" s="1023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1017" t="s">
        <v>1747</v>
      </c>
      <c r="FE27" s="1017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1903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Z27" s="337" t="s">
        <v>2126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351" t="s">
        <v>1958</v>
      </c>
      <c r="HQ27" s="286">
        <f>SUM(HS6:HS6)</f>
        <v>1900.09</v>
      </c>
      <c r="HR27" s="337" t="s">
        <v>2230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2951</v>
      </c>
      <c r="KA27" s="534">
        <f>131.87*2</f>
        <v>263.74</v>
      </c>
      <c r="KB27" s="854"/>
      <c r="KC27" s="860"/>
      <c r="KF27" s="337" t="s">
        <v>2980</v>
      </c>
      <c r="KG27" s="533">
        <v>45.74</v>
      </c>
      <c r="KH27" s="894" t="s">
        <v>2671</v>
      </c>
      <c r="KI27" s="2">
        <v>130</v>
      </c>
      <c r="KJ27" s="931"/>
      <c r="KK27" s="932"/>
      <c r="KL27" s="337" t="s">
        <v>3064</v>
      </c>
      <c r="KM27" s="61">
        <v>30</v>
      </c>
      <c r="KN27" s="895" t="s">
        <v>3052</v>
      </c>
      <c r="KO27" s="268">
        <v>12</v>
      </c>
      <c r="KR27" s="143" t="s">
        <v>1195</v>
      </c>
      <c r="KS27" s="61"/>
      <c r="KT27" s="944" t="s">
        <v>3052</v>
      </c>
      <c r="KU27" s="268">
        <v>12</v>
      </c>
      <c r="KV27" s="606"/>
    </row>
    <row r="28" spans="1:309">
      <c r="A28" s="1023" t="s">
        <v>506</v>
      </c>
      <c r="B28" s="1023"/>
      <c r="E28" s="193" t="s">
        <v>282</v>
      </c>
      <c r="F28" s="194"/>
      <c r="G28" s="1023" t="s">
        <v>506</v>
      </c>
      <c r="H28" s="1023"/>
      <c r="K28" s="143" t="s">
        <v>1016</v>
      </c>
      <c r="L28" s="142">
        <v>0</v>
      </c>
      <c r="M28" s="1015" t="s">
        <v>93</v>
      </c>
      <c r="N28" s="1015"/>
      <c r="Q28" s="244" t="s">
        <v>1050</v>
      </c>
      <c r="R28" s="142">
        <v>0</v>
      </c>
      <c r="S28" s="1015" t="s">
        <v>93</v>
      </c>
      <c r="T28" s="1015"/>
      <c r="W28" s="143" t="s">
        <v>1015</v>
      </c>
      <c r="X28" s="142">
        <v>64</v>
      </c>
      <c r="Y28" s="1023" t="s">
        <v>992</v>
      </c>
      <c r="Z28" s="1023"/>
      <c r="AC28" s="219" t="s">
        <v>1089</v>
      </c>
      <c r="AD28" s="219">
        <f>63+46</f>
        <v>109</v>
      </c>
      <c r="AE28" s="1015" t="s">
        <v>93</v>
      </c>
      <c r="AF28" s="1015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1017" t="s">
        <v>1536</v>
      </c>
      <c r="EM28" s="1017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1889</v>
      </c>
      <c r="FU28">
        <f>5984.25-6010</f>
        <v>-25.75</v>
      </c>
      <c r="FV28" s="337" t="s">
        <v>2880</v>
      </c>
      <c r="FW28">
        <v>41.2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2095</v>
      </c>
      <c r="HA28">
        <v>505.66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245" t="s">
        <v>1959</v>
      </c>
      <c r="HQ28" s="286">
        <f>SUM(HS9:HS11)</f>
        <v>2361.4333333333334</v>
      </c>
      <c r="HR28" s="337" t="s">
        <v>2237</v>
      </c>
      <c r="HS28">
        <v>14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73" t="s">
        <v>2170</v>
      </c>
      <c r="JA28" s="973"/>
      <c r="JB28" s="337" t="s">
        <v>2885</v>
      </c>
      <c r="JC28" s="61">
        <v>34</v>
      </c>
      <c r="JF28" s="192" t="s">
        <v>1958</v>
      </c>
      <c r="JG28" s="273">
        <f>SUM(JI6:JI7)</f>
        <v>3900.1</v>
      </c>
      <c r="JH28" s="337" t="s">
        <v>2886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3046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3046</v>
      </c>
      <c r="JU28" s="78">
        <f>13</f>
        <v>13</v>
      </c>
      <c r="JV28" s="791"/>
      <c r="JW28" s="61"/>
      <c r="JX28" s="831"/>
      <c r="JY28" s="831"/>
      <c r="JZ28" s="345" t="s">
        <v>2939</v>
      </c>
      <c r="KA28" s="61">
        <f>(15+6.5)*2</f>
        <v>43</v>
      </c>
      <c r="KB28" s="917"/>
      <c r="KC28" s="917"/>
      <c r="KD28" s="846" t="s">
        <v>2761</v>
      </c>
      <c r="KE28" s="846"/>
      <c r="KF28" s="337" t="s">
        <v>2983</v>
      </c>
      <c r="KG28" s="533">
        <v>21.12</v>
      </c>
      <c r="KH28" s="894" t="s">
        <v>2670</v>
      </c>
      <c r="KI28" s="2"/>
      <c r="KJ28" s="931"/>
      <c r="KK28" s="931"/>
      <c r="KL28" s="337" t="s">
        <v>3005</v>
      </c>
      <c r="KM28" s="61">
        <v>30.06</v>
      </c>
      <c r="KN28" s="894" t="s">
        <v>3013</v>
      </c>
      <c r="KO28" s="2">
        <v>110</v>
      </c>
      <c r="KQ28" s="943"/>
      <c r="KR28" s="143" t="s">
        <v>2782</v>
      </c>
      <c r="KS28" s="61">
        <f>14.32</f>
        <v>14.32</v>
      </c>
      <c r="KT28" s="943" t="s">
        <v>3013</v>
      </c>
      <c r="KU28" s="2">
        <v>110</v>
      </c>
      <c r="KV28" s="606">
        <v>45223</v>
      </c>
    </row>
    <row r="29" spans="1:309">
      <c r="A29" s="1023" t="s">
        <v>992</v>
      </c>
      <c r="B29" s="1023"/>
      <c r="E29" s="193" t="s">
        <v>372</v>
      </c>
      <c r="F29" s="194"/>
      <c r="G29" s="1023" t="s">
        <v>992</v>
      </c>
      <c r="H29" s="1023"/>
      <c r="K29" s="143" t="s">
        <v>1015</v>
      </c>
      <c r="L29" s="142">
        <v>64</v>
      </c>
      <c r="M29" s="996" t="s">
        <v>385</v>
      </c>
      <c r="N29" s="996"/>
      <c r="Q29"/>
      <c r="S29" s="996" t="s">
        <v>385</v>
      </c>
      <c r="T29" s="996"/>
      <c r="W29" s="143" t="s">
        <v>1014</v>
      </c>
      <c r="X29" s="142">
        <v>100.01</v>
      </c>
      <c r="Y29" s="1015" t="s">
        <v>93</v>
      </c>
      <c r="Z29" s="1015"/>
      <c r="AC29" s="142" t="s">
        <v>1087</v>
      </c>
      <c r="AD29" s="142">
        <v>65</v>
      </c>
      <c r="AE29" s="996" t="s">
        <v>385</v>
      </c>
      <c r="AF29" s="996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1017" t="s">
        <v>1747</v>
      </c>
      <c r="FK29" s="1017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1914</v>
      </c>
      <c r="FU29">
        <f>4980.91-5005</f>
        <v>-24.090000000000146</v>
      </c>
      <c r="FV29" s="337" t="s">
        <v>1941</v>
      </c>
      <c r="FW29">
        <v>6.3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2100</v>
      </c>
      <c r="HA29">
        <f>80+105</f>
        <v>185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362" t="s">
        <v>1392</v>
      </c>
      <c r="HQ29">
        <v>0</v>
      </c>
      <c r="HR29" s="337" t="s">
        <v>2100</v>
      </c>
      <c r="HS29">
        <v>80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2887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6" t="s">
        <v>2447</v>
      </c>
      <c r="KI29" s="2">
        <v>1000</v>
      </c>
      <c r="KJ29" s="931"/>
      <c r="KK29" s="931"/>
      <c r="KL29" s="337" t="s">
        <v>3070</v>
      </c>
      <c r="KM29" s="61">
        <v>21.5</v>
      </c>
      <c r="KN29" s="896" t="s">
        <v>2447</v>
      </c>
      <c r="KO29" s="2">
        <v>1000</v>
      </c>
      <c r="KR29" s="143" t="s">
        <v>2998</v>
      </c>
      <c r="KS29" s="61"/>
      <c r="KT29" s="945" t="s">
        <v>2447</v>
      </c>
      <c r="KU29" s="2">
        <v>1000</v>
      </c>
    </row>
    <row r="30" spans="1:309">
      <c r="A30" s="1015" t="s">
        <v>93</v>
      </c>
      <c r="B30" s="1015"/>
      <c r="E30" s="193" t="s">
        <v>1007</v>
      </c>
      <c r="F30" s="170"/>
      <c r="G30" s="1015" t="s">
        <v>93</v>
      </c>
      <c r="H30" s="1015"/>
      <c r="K30" s="143" t="s">
        <v>1014</v>
      </c>
      <c r="L30" s="142">
        <v>50.01</v>
      </c>
      <c r="M30" s="1022" t="s">
        <v>1001</v>
      </c>
      <c r="N30" s="1022"/>
      <c r="Q30" s="143" t="s">
        <v>1052</v>
      </c>
      <c r="R30" s="142">
        <v>26</v>
      </c>
      <c r="S30" s="1022" t="s">
        <v>1001</v>
      </c>
      <c r="T30" s="1022"/>
      <c r="W30"/>
      <c r="Y30" s="996" t="s">
        <v>385</v>
      </c>
      <c r="Z30" s="996"/>
      <c r="AC30" s="142" t="s">
        <v>1090</v>
      </c>
      <c r="AD30" s="142">
        <v>10</v>
      </c>
      <c r="AE30" s="1022" t="s">
        <v>1001</v>
      </c>
      <c r="AF30" s="1022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86" t="s">
        <v>1747</v>
      </c>
      <c r="FW30" s="386"/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46" t="s">
        <v>2165</v>
      </c>
      <c r="HQ30">
        <f>SUM(HS7:HS8)</f>
        <v>1867.15</v>
      </c>
      <c r="HR30" t="s">
        <v>2197</v>
      </c>
      <c r="HS30" s="6">
        <v>37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3160</v>
      </c>
      <c r="KA30" s="61">
        <f>64+30.9</f>
        <v>94.9</v>
      </c>
      <c r="KB30" s="851" t="s">
        <v>93</v>
      </c>
      <c r="KD30" s="388" t="s">
        <v>3096</v>
      </c>
      <c r="KE30" s="273">
        <f>SUM(KG8:KG10)</f>
        <v>203044.96999999997</v>
      </c>
      <c r="KF30" s="412">
        <v>34.15</v>
      </c>
      <c r="KG30" s="534"/>
      <c r="KH30" s="893" t="s">
        <v>2465</v>
      </c>
      <c r="KI30" s="61"/>
      <c r="KL30" s="337" t="s">
        <v>3078</v>
      </c>
      <c r="KM30" s="533">
        <v>44.55</v>
      </c>
      <c r="KN30" s="893" t="s">
        <v>2465</v>
      </c>
      <c r="KO30" s="61"/>
      <c r="KR30" s="143" t="s">
        <v>2362</v>
      </c>
      <c r="KS30" s="61">
        <f>10+18.51+10+16.63+15.78+16.9+10+16.2+16.87+10</f>
        <v>140.88999999999999</v>
      </c>
      <c r="KT30" s="942" t="s">
        <v>2465</v>
      </c>
      <c r="KU30" s="61"/>
    </row>
    <row r="31" spans="1:309" ht="12.75" customHeight="1">
      <c r="A31" s="996" t="s">
        <v>385</v>
      </c>
      <c r="B31" s="996"/>
      <c r="E31" s="170"/>
      <c r="F31" s="170"/>
      <c r="G31" s="996" t="s">
        <v>385</v>
      </c>
      <c r="H31" s="996"/>
      <c r="K31"/>
      <c r="M31" s="1019" t="s">
        <v>243</v>
      </c>
      <c r="N31" s="1019"/>
      <c r="Q31" s="143" t="s">
        <v>1051</v>
      </c>
      <c r="R31" s="142">
        <v>55</v>
      </c>
      <c r="S31" s="1019" t="s">
        <v>243</v>
      </c>
      <c r="T31" s="1019"/>
      <c r="W31" s="243" t="s">
        <v>1072</v>
      </c>
      <c r="X31" s="243">
        <v>0</v>
      </c>
      <c r="Y31" s="1022" t="s">
        <v>1001</v>
      </c>
      <c r="Z31" s="1022"/>
      <c r="AE31" s="1019" t="s">
        <v>243</v>
      </c>
      <c r="AF31" s="1019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1026" t="s">
        <v>1438</v>
      </c>
      <c r="DP31" s="1026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2127</v>
      </c>
      <c r="HA31">
        <v>41.4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5" t="s">
        <v>2166</v>
      </c>
      <c r="HQ31" s="411">
        <f>SUM(HS12:HS23)</f>
        <v>1323.1366666666668</v>
      </c>
      <c r="HR31" s="9" t="s">
        <v>2196</v>
      </c>
      <c r="HS31" s="9">
        <v>429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2969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2833</v>
      </c>
      <c r="KA31" s="203">
        <v>10.8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3" t="s">
        <v>2917</v>
      </c>
      <c r="KI31" s="61">
        <v>1.64</v>
      </c>
      <c r="KK31" s="894"/>
      <c r="KL31" s="337" t="s">
        <v>2756</v>
      </c>
      <c r="KM31" s="533">
        <v>57.86</v>
      </c>
      <c r="KN31" s="934" t="s">
        <v>3115</v>
      </c>
      <c r="KO31" s="61">
        <v>3.54</v>
      </c>
      <c r="KR31" s="337" t="s">
        <v>3168</v>
      </c>
      <c r="KS31" s="61">
        <v>10</v>
      </c>
      <c r="KT31" s="971" t="s">
        <v>3169</v>
      </c>
      <c r="KU31" s="61" t="s">
        <v>3170</v>
      </c>
    </row>
    <row r="32" spans="1:309">
      <c r="A32" s="1022" t="s">
        <v>1001</v>
      </c>
      <c r="B32" s="1022"/>
      <c r="C32" s="3"/>
      <c r="D32" s="3"/>
      <c r="E32" s="246"/>
      <c r="F32" s="246"/>
      <c r="G32" s="1022" t="s">
        <v>1001</v>
      </c>
      <c r="H32" s="1022"/>
      <c r="K32" s="243" t="s">
        <v>1021</v>
      </c>
      <c r="L32" s="243"/>
      <c r="M32" s="1024" t="s">
        <v>1034</v>
      </c>
      <c r="N32" s="1024"/>
      <c r="Q32" s="143" t="s">
        <v>1016</v>
      </c>
      <c r="R32" s="142">
        <v>77.239999999999995</v>
      </c>
      <c r="S32" s="1024" t="s">
        <v>1034</v>
      </c>
      <c r="T32" s="1024"/>
      <c r="Y32" s="1019" t="s">
        <v>243</v>
      </c>
      <c r="Z32" s="1019"/>
      <c r="AC32" s="197" t="s">
        <v>1012</v>
      </c>
      <c r="AD32" s="142">
        <v>350</v>
      </c>
      <c r="AE32" s="1024" t="s">
        <v>1034</v>
      </c>
      <c r="AF32" s="1024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1029" t="s">
        <v>1411</v>
      </c>
      <c r="DB32" s="1030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1919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2880</v>
      </c>
      <c r="GU32">
        <f>37.5+18.7</f>
        <v>56.2</v>
      </c>
      <c r="GV32" s="253"/>
      <c r="GW32" s="278"/>
      <c r="GZ32" s="337" t="s">
        <v>2119</v>
      </c>
      <c r="HA32">
        <f>12.35+5.8</f>
        <v>18.149999999999999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2244</v>
      </c>
      <c r="HQ32" s="411"/>
      <c r="HR32" s="412">
        <v>28.54</v>
      </c>
      <c r="HS32" s="9" t="s">
        <v>2195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73" t="s">
        <v>2170</v>
      </c>
      <c r="IO32" s="973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3046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2362</v>
      </c>
      <c r="KA32" s="61">
        <f>16.3+16.34+12.3+10+15.21+16.19+10+16.01+15.57+10+10+15.19</f>
        <v>163.11000000000001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2872</v>
      </c>
      <c r="KH32" s="893" t="s">
        <v>2974</v>
      </c>
      <c r="KI32" s="61"/>
      <c r="KL32" s="337" t="s">
        <v>3077</v>
      </c>
      <c r="KM32" s="533">
        <v>36.5</v>
      </c>
      <c r="KN32" s="888" t="s">
        <v>3080</v>
      </c>
      <c r="KO32" s="61">
        <v>58.2</v>
      </c>
      <c r="KP32" s="935" t="s">
        <v>2761</v>
      </c>
      <c r="KQ32" s="935"/>
      <c r="KR32" s="337" t="s">
        <v>3149</v>
      </c>
      <c r="KS32" s="61">
        <v>5</v>
      </c>
      <c r="KT32" s="970" t="s">
        <v>3167</v>
      </c>
      <c r="KU32" s="2" t="s">
        <v>3166</v>
      </c>
    </row>
    <row r="33" spans="1:309">
      <c r="A33" s="1019" t="s">
        <v>243</v>
      </c>
      <c r="B33" s="1019"/>
      <c r="E33" s="187" t="s">
        <v>368</v>
      </c>
      <c r="F33" s="170"/>
      <c r="G33" s="1019" t="s">
        <v>243</v>
      </c>
      <c r="H33" s="1019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1024" t="s">
        <v>1034</v>
      </c>
      <c r="Z33" s="1024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2094</v>
      </c>
      <c r="HA33">
        <v>31.78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37" t="s">
        <v>2164</v>
      </c>
      <c r="HQ33">
        <f>SUM(HS24:HS29)</f>
        <v>160.6</v>
      </c>
      <c r="HR33" s="386" t="s">
        <v>2212</v>
      </c>
      <c r="HS33" s="408">
        <f>HO18+HQ36-HU24</f>
        <v>100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2881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3049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3023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37" t="s">
        <v>3159</v>
      </c>
      <c r="KA33" s="61">
        <f>80+115</f>
        <v>195</v>
      </c>
      <c r="KB33" s="851"/>
      <c r="KD33" s="348" t="s">
        <v>2947</v>
      </c>
      <c r="KE33" s="2">
        <f>SUM(KG11:KG19)</f>
        <v>1038.25</v>
      </c>
      <c r="KF33" s="409">
        <v>70</v>
      </c>
      <c r="KG33" s="543" t="s">
        <v>1828</v>
      </c>
      <c r="KH33" s="893" t="s">
        <v>2981</v>
      </c>
      <c r="KI33" s="283">
        <v>52.8</v>
      </c>
      <c r="KL33" s="337" t="s">
        <v>3105</v>
      </c>
      <c r="KM33" s="533">
        <v>50.1</v>
      </c>
      <c r="KN33" s="914" t="s">
        <v>3091</v>
      </c>
      <c r="KO33" s="61">
        <v>16.3</v>
      </c>
      <c r="KP33" s="918" t="s">
        <v>1958</v>
      </c>
      <c r="KQ33" s="273">
        <f>SUM(KS6:KS7)</f>
        <v>2000</v>
      </c>
      <c r="KR33" s="337" t="s">
        <v>1863</v>
      </c>
      <c r="KS33" s="61"/>
      <c r="KT33" s="968" t="s">
        <v>3162</v>
      </c>
      <c r="KU33" s="2">
        <v>200</v>
      </c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1899</v>
      </c>
      <c r="FS34" s="278">
        <v>-738</v>
      </c>
      <c r="FV34" s="340" t="s">
        <v>1943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2096</v>
      </c>
      <c r="HA34">
        <v>64.86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2741</v>
      </c>
      <c r="HR34" s="409">
        <v>4</v>
      </c>
      <c r="HS34" s="340" t="s">
        <v>2246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2871</v>
      </c>
      <c r="KA34" s="61">
        <v>175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3" t="s">
        <v>2991</v>
      </c>
      <c r="KI34" s="888">
        <v>104</v>
      </c>
      <c r="KL34" s="337" t="s">
        <v>3113</v>
      </c>
      <c r="KM34" s="533">
        <v>121.7</v>
      </c>
      <c r="KN34" s="914" t="s">
        <v>3092</v>
      </c>
      <c r="KO34" s="61">
        <v>52.8</v>
      </c>
      <c r="KP34" s="388" t="s">
        <v>3102</v>
      </c>
      <c r="KQ34" s="273">
        <f>SUM(KS18:KS19)</f>
        <v>0</v>
      </c>
      <c r="KR34" s="337" t="s">
        <v>1863</v>
      </c>
      <c r="KS34" s="61"/>
      <c r="KT34" s="968" t="s">
        <v>3164</v>
      </c>
      <c r="KU34" s="2">
        <v>109</v>
      </c>
    </row>
    <row r="35" spans="1:309" ht="14.25" customHeight="1">
      <c r="A35" s="1025"/>
      <c r="B35" s="1025"/>
      <c r="E35" s="172" t="s">
        <v>403</v>
      </c>
      <c r="F35" s="170">
        <v>250</v>
      </c>
      <c r="G35" s="1025"/>
      <c r="H35" s="1025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1936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2104</v>
      </c>
      <c r="HA35">
        <v>32.6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Q35" s="207"/>
      <c r="HR35" s="409">
        <v>40</v>
      </c>
      <c r="HS35" s="340" t="s">
        <v>2122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3050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2920</v>
      </c>
      <c r="KA35" s="533">
        <v>10</v>
      </c>
      <c r="KD35" s="337" t="s">
        <v>2969</v>
      </c>
      <c r="KE35" s="867">
        <f>SUM(KG22:KG28)</f>
        <v>339.56</v>
      </c>
      <c r="KF35" s="409">
        <v>30</v>
      </c>
      <c r="KG35" s="543" t="s">
        <v>2967</v>
      </c>
      <c r="KH35" s="893" t="s">
        <v>2416</v>
      </c>
      <c r="KJ35" s="886" t="s">
        <v>2761</v>
      </c>
      <c r="KK35" s="886"/>
      <c r="KL35" s="888" t="s">
        <v>3055</v>
      </c>
      <c r="KM35" s="78">
        <v>400</v>
      </c>
      <c r="KN35" s="914" t="s">
        <v>3093</v>
      </c>
      <c r="KO35" s="61">
        <v>57.6</v>
      </c>
      <c r="KP35" s="919" t="s">
        <v>3090</v>
      </c>
      <c r="KQ35" s="2">
        <f>KS8</f>
        <v>0</v>
      </c>
      <c r="KR35" s="337" t="s">
        <v>1863</v>
      </c>
      <c r="KS35" s="533"/>
      <c r="KT35" s="942" t="s">
        <v>3056</v>
      </c>
      <c r="KU35" s="61"/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1031" t="s">
        <v>1536</v>
      </c>
      <c r="DT36" s="1032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1890</v>
      </c>
      <c r="FW36">
        <v>9.9</v>
      </c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2115</v>
      </c>
      <c r="HA36">
        <v>40.479999999999997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P36" s="340" t="s">
        <v>2228</v>
      </c>
      <c r="HQ36" s="353">
        <v>100</v>
      </c>
      <c r="HR36" s="409">
        <v>20</v>
      </c>
      <c r="HS36" s="340" t="s">
        <v>2217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2895</v>
      </c>
      <c r="KA36" s="61">
        <f>45.73</f>
        <v>45.73</v>
      </c>
      <c r="KD36" s="341" t="s">
        <v>2982</v>
      </c>
      <c r="KE36" s="868">
        <v>100</v>
      </c>
      <c r="KF36" s="409">
        <v>6</v>
      </c>
      <c r="KG36" s="543" t="s">
        <v>2965</v>
      </c>
      <c r="KH36" s="893" t="s">
        <v>3002</v>
      </c>
      <c r="KI36" s="2">
        <v>194</v>
      </c>
      <c r="KJ36" s="918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7" t="s">
        <v>3056</v>
      </c>
      <c r="KO36" s="61"/>
      <c r="KP36" s="347" t="s">
        <v>3097</v>
      </c>
      <c r="KQ36" s="2">
        <f>SUM(KS9:KS12)</f>
        <v>1437.1999999999998</v>
      </c>
      <c r="KR36" s="337" t="s">
        <v>1863</v>
      </c>
      <c r="KS36" s="533"/>
      <c r="KT36" s="942" t="s">
        <v>2416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86" t="s">
        <v>1747</v>
      </c>
      <c r="FQ37" s="386"/>
      <c r="FR37" t="s">
        <v>1674</v>
      </c>
      <c r="FV37" s="360" t="s">
        <v>1892</v>
      </c>
      <c r="FW37" s="6">
        <v>127.1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98" t="s">
        <v>2139</v>
      </c>
      <c r="HG37" s="342">
        <v>3000</v>
      </c>
      <c r="HH37" t="s">
        <v>93</v>
      </c>
      <c r="HL37" s="398"/>
      <c r="HM37" s="344"/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2901</v>
      </c>
      <c r="KA37" s="533">
        <v>33.03</v>
      </c>
      <c r="KF37" s="409">
        <v>25.9</v>
      </c>
      <c r="KG37" s="543" t="s">
        <v>2993</v>
      </c>
      <c r="KJ37" s="388" t="s">
        <v>3102</v>
      </c>
      <c r="KK37" s="273">
        <f>SUM(KM14:KM17)</f>
        <v>53587.573000000004</v>
      </c>
      <c r="KL37" s="412">
        <v>40.25</v>
      </c>
      <c r="KM37" s="534"/>
      <c r="KN37" s="893" t="s">
        <v>2416</v>
      </c>
      <c r="KO37" s="61"/>
      <c r="KP37" s="263" t="s">
        <v>3098</v>
      </c>
      <c r="KQ37" s="643">
        <f>SUM(KS13:KS17)</f>
        <v>0</v>
      </c>
      <c r="KR37" s="937" t="s">
        <v>3055</v>
      </c>
      <c r="KS37" s="78">
        <v>40</v>
      </c>
      <c r="KT37" s="969" t="s">
        <v>3163</v>
      </c>
      <c r="KU37" s="2">
        <v>79</v>
      </c>
      <c r="KW37" s="966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1908</v>
      </c>
      <c r="FW38" s="6">
        <v>8.5299999999999994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2113</v>
      </c>
      <c r="HA38">
        <f>36.3+3.2+61.6</f>
        <v>101.1</v>
      </c>
      <c r="HB38" t="s">
        <v>506</v>
      </c>
      <c r="HF38" s="398" t="s">
        <v>2131</v>
      </c>
      <c r="HG38" s="342">
        <v>17367.45</v>
      </c>
      <c r="HH38" t="s">
        <v>1149</v>
      </c>
      <c r="HR38" s="398" t="s">
        <v>2225</v>
      </c>
      <c r="HS38" s="410">
        <v>9.9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2870</v>
      </c>
      <c r="KA38" s="61">
        <f>48.9</f>
        <v>48.9</v>
      </c>
      <c r="KF38" s="881" t="s">
        <v>2984</v>
      </c>
      <c r="KG38" s="532">
        <v>70</v>
      </c>
      <c r="KJ38" s="919" t="s">
        <v>3090</v>
      </c>
      <c r="KK38" s="2">
        <v>0</v>
      </c>
      <c r="KL38" s="386" t="s">
        <v>1411</v>
      </c>
      <c r="KM38" s="408">
        <f>KI27+KK45-KO28</f>
        <v>270</v>
      </c>
      <c r="KN38" s="925"/>
      <c r="KO38" s="61"/>
      <c r="KP38" s="921" t="s">
        <v>2947</v>
      </c>
      <c r="KQ38" s="2">
        <f>SUM(KS20:KS30)</f>
        <v>537.84999999999991</v>
      </c>
      <c r="KR38" s="9" t="s">
        <v>2196</v>
      </c>
      <c r="KS38" s="534"/>
      <c r="KT38" s="972"/>
      <c r="KU38" s="2"/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1026" t="s">
        <v>1438</v>
      </c>
      <c r="DJ39" s="1026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1927</v>
      </c>
      <c r="FW39" s="6">
        <v>184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2180</v>
      </c>
      <c r="HA39">
        <v>84.3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2238</v>
      </c>
      <c r="HS39" s="344">
        <v>10.57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2879</v>
      </c>
      <c r="KA39" s="533">
        <v>31</v>
      </c>
      <c r="KF39" s="65" t="s">
        <v>3024</v>
      </c>
      <c r="KG39" s="848">
        <v>324</v>
      </c>
      <c r="KH39" s="888" t="s">
        <v>506</v>
      </c>
      <c r="KJ39" s="347" t="s">
        <v>3097</v>
      </c>
      <c r="KK39" s="2">
        <f>SUM(KM7:KM9)</f>
        <v>1201.5700000000002</v>
      </c>
      <c r="KL39" s="409">
        <v>40</v>
      </c>
      <c r="KM39" s="815" t="s">
        <v>2218</v>
      </c>
      <c r="KN39" s="913"/>
      <c r="KO39" s="61"/>
      <c r="KP39" s="337" t="s">
        <v>2164</v>
      </c>
      <c r="KQ39" s="2">
        <f>SUM(KS31:KS36)</f>
        <v>15</v>
      </c>
      <c r="KR39" s="412">
        <v>40.25</v>
      </c>
      <c r="KS39" s="534"/>
      <c r="KT39" s="960"/>
      <c r="KU39" s="61"/>
    </row>
    <row r="40" spans="1:309">
      <c r="A40" s="744"/>
      <c r="C40" s="744"/>
      <c r="D40" s="744"/>
      <c r="E40" s="580"/>
      <c r="F40" s="580"/>
      <c r="G40" s="744"/>
      <c r="I40" s="744"/>
      <c r="J40" s="744"/>
      <c r="K40" s="580"/>
      <c r="L40" s="580"/>
      <c r="M40" s="744"/>
      <c r="O40" s="744"/>
      <c r="P40" s="744"/>
      <c r="Q40" s="198"/>
      <c r="R40" s="580"/>
      <c r="S40" s="744"/>
      <c r="U40" s="744"/>
      <c r="V40" s="744"/>
      <c r="W40" s="580"/>
      <c r="X40" s="580"/>
      <c r="Y40" s="744"/>
      <c r="AA40" s="744"/>
      <c r="AB40" s="744"/>
      <c r="AC40" s="580"/>
      <c r="AD40" s="580"/>
      <c r="AE40" s="744"/>
      <c r="AG40" s="744"/>
      <c r="AH40" s="744"/>
      <c r="AI40" s="580"/>
      <c r="AJ40" s="580"/>
      <c r="AK40" s="744"/>
      <c r="AM40" s="744"/>
      <c r="AN40" s="744"/>
      <c r="AO40" s="251"/>
      <c r="AP40" s="580"/>
      <c r="AQ40" s="744"/>
      <c r="AS40" s="744"/>
      <c r="AT40" s="744"/>
      <c r="AU40" s="580"/>
      <c r="AV40" s="580"/>
      <c r="AW40" s="744"/>
      <c r="AY40" s="580"/>
      <c r="AZ40" s="580"/>
      <c r="BA40" s="744"/>
      <c r="BC40" s="744"/>
      <c r="BD40" s="744"/>
      <c r="BE40" s="580"/>
      <c r="BF40" s="580"/>
      <c r="BG40" s="744"/>
      <c r="BM40" s="744"/>
      <c r="BS40" s="744"/>
      <c r="BY40" s="744"/>
      <c r="CE40" s="744"/>
      <c r="CK40" s="744"/>
      <c r="CQ40" s="744"/>
      <c r="CW40" s="744"/>
      <c r="DC40" s="288"/>
      <c r="DG40" s="295"/>
      <c r="DH40" s="279"/>
      <c r="DI40" s="750"/>
      <c r="DJ40" s="750"/>
      <c r="DM40" s="217"/>
      <c r="DN40" s="304"/>
      <c r="DO40" s="749"/>
      <c r="DS40" s="217"/>
      <c r="DT40" s="304"/>
      <c r="DU40" s="749"/>
      <c r="DW40" s="744"/>
      <c r="DX40" s="744"/>
      <c r="DY40" s="744"/>
      <c r="DZ40" s="744"/>
      <c r="EA40" s="744"/>
      <c r="EB40" s="744"/>
      <c r="EC40" s="744"/>
      <c r="ED40" s="744"/>
      <c r="EE40" s="744"/>
      <c r="EF40" s="744"/>
      <c r="EG40" s="744"/>
      <c r="EH40" s="744"/>
      <c r="EI40" s="744"/>
      <c r="EJ40" s="744"/>
      <c r="EK40" s="744"/>
      <c r="EL40" s="748"/>
      <c r="EM40" s="748"/>
      <c r="EN40" s="288"/>
      <c r="EO40" s="744"/>
      <c r="EP40" s="744"/>
      <c r="EQ40" s="744"/>
      <c r="ER40" s="747"/>
      <c r="ES40" s="205"/>
      <c r="ET40" s="744"/>
      <c r="EU40" s="744"/>
      <c r="EV40" s="744"/>
      <c r="EW40" s="744"/>
      <c r="EX40" s="747"/>
      <c r="EY40" s="747"/>
      <c r="EZ40" s="744"/>
      <c r="FA40" s="744"/>
      <c r="FB40" s="744"/>
      <c r="FC40" s="744"/>
      <c r="FD40" s="747"/>
      <c r="FE40" s="744"/>
      <c r="FF40" s="747"/>
      <c r="FG40" s="747"/>
      <c r="FH40" s="744"/>
      <c r="FI40" s="744"/>
      <c r="FJ40" s="745"/>
      <c r="FK40" s="748"/>
      <c r="FL40" s="749"/>
      <c r="FM40" s="278"/>
      <c r="FN40" s="744"/>
      <c r="FO40" s="744"/>
      <c r="FP40" s="341"/>
      <c r="FQ40" s="341"/>
      <c r="FR40" s="744"/>
      <c r="FS40" s="744"/>
      <c r="FT40" s="744"/>
      <c r="FU40" s="744"/>
      <c r="FV40" s="745"/>
      <c r="FW40" s="747"/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X40" s="744"/>
      <c r="GY40" s="744"/>
      <c r="GZ40" s="337"/>
      <c r="HA40" s="744"/>
      <c r="HB40" t="s">
        <v>93</v>
      </c>
      <c r="HF40" s="398" t="s">
        <v>2132</v>
      </c>
      <c r="HG40" s="344">
        <v>9.2200000000000006</v>
      </c>
      <c r="HP40" s="744"/>
      <c r="HQ40" s="744"/>
      <c r="HR40" s="398"/>
      <c r="HS40" s="344"/>
      <c r="HX40" s="409">
        <v>20</v>
      </c>
      <c r="HY40" s="340" t="s">
        <v>2296</v>
      </c>
      <c r="ID40" s="409">
        <v>70</v>
      </c>
      <c r="IE40" s="340" t="s">
        <v>2218</v>
      </c>
      <c r="IH40" s="973" t="s">
        <v>2170</v>
      </c>
      <c r="II40" s="973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2905</v>
      </c>
      <c r="KA40" s="533">
        <v>13.15</v>
      </c>
      <c r="KF40" s="898" t="s">
        <v>2968</v>
      </c>
      <c r="KG40" s="848">
        <v>39.700000000000003</v>
      </c>
      <c r="KH40" s="888" t="s">
        <v>93</v>
      </c>
      <c r="KJ40" s="263" t="s">
        <v>3098</v>
      </c>
      <c r="KK40" s="643">
        <f>SUM(KM10:KM13)</f>
        <v>451.43999999999994</v>
      </c>
      <c r="KL40" s="409">
        <v>6</v>
      </c>
      <c r="KM40" s="543" t="s">
        <v>3063</v>
      </c>
      <c r="KN40" s="888" t="s">
        <v>506</v>
      </c>
      <c r="KP40" s="337" t="s">
        <v>2969</v>
      </c>
      <c r="KQ40" s="867">
        <f>SUM(KS33:KS36)</f>
        <v>0</v>
      </c>
      <c r="KR40" s="386" t="s">
        <v>1411</v>
      </c>
      <c r="KS40" s="408">
        <f>KO28+KQ42-KU28</f>
        <v>100</v>
      </c>
      <c r="KT40" s="955"/>
      <c r="KU40" s="61"/>
    </row>
    <row r="41" spans="1:309" s="744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1934</v>
      </c>
      <c r="FW41" s="6">
        <v>80</v>
      </c>
      <c r="GB41" s="342"/>
      <c r="GC41" s="344"/>
      <c r="GH41" s="745"/>
      <c r="GI41" s="747"/>
      <c r="GN41" s="337"/>
      <c r="GP41" s="749"/>
      <c r="GQ41" s="278"/>
      <c r="GT41" s="393"/>
      <c r="GU41" s="746"/>
      <c r="GX41"/>
      <c r="GY41"/>
      <c r="GZ41" s="386" t="s">
        <v>1747</v>
      </c>
      <c r="HA41" s="63"/>
      <c r="HF41" s="398"/>
      <c r="HG41" s="344"/>
      <c r="HP41"/>
      <c r="HQ41"/>
      <c r="HR41" s="398" t="s">
        <v>2266</v>
      </c>
      <c r="HS41" s="344">
        <v>65.7</v>
      </c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3096</v>
      </c>
      <c r="JY41" s="273">
        <f>SUM(KA20:KA23)</f>
        <v>6114.74</v>
      </c>
      <c r="JZ41" s="337" t="s">
        <v>2902</v>
      </c>
      <c r="KA41" s="533">
        <v>38.200000000000003</v>
      </c>
      <c r="KB41" s="843"/>
      <c r="KC41" s="858"/>
      <c r="KD41" s="848"/>
      <c r="KE41" s="894"/>
      <c r="KF41" s="212" t="s">
        <v>2590</v>
      </c>
      <c r="KG41" s="407">
        <v>110.1</v>
      </c>
      <c r="KH41" s="888"/>
      <c r="KI41" s="888"/>
      <c r="KJ41" s="921" t="s">
        <v>2947</v>
      </c>
      <c r="KK41" s="2">
        <f>SUM(KM18:KM25)</f>
        <v>705.447</v>
      </c>
      <c r="KL41" s="409">
        <v>10</v>
      </c>
      <c r="KM41" s="543" t="s">
        <v>3062</v>
      </c>
      <c r="KN41" s="1015" t="s">
        <v>3073</v>
      </c>
      <c r="KO41" s="1015"/>
      <c r="KP41" s="937"/>
      <c r="KQ41" s="937"/>
      <c r="KR41" s="409">
        <v>45</v>
      </c>
      <c r="KS41" s="815" t="s">
        <v>2218</v>
      </c>
      <c r="KT41" s="955"/>
      <c r="KU41" s="61"/>
      <c r="KV41" s="937"/>
    </row>
    <row r="42" spans="1:309">
      <c r="A42" s="806"/>
      <c r="C42" s="806"/>
      <c r="D42" s="806"/>
      <c r="E42" s="580"/>
      <c r="F42" s="580"/>
      <c r="G42" s="806"/>
      <c r="I42" s="806"/>
      <c r="J42" s="806"/>
      <c r="K42" s="197"/>
      <c r="L42" s="580"/>
      <c r="M42" s="806"/>
      <c r="O42" s="806"/>
      <c r="P42" s="806"/>
      <c r="Q42" s="580"/>
      <c r="R42" s="580"/>
      <c r="S42" s="806"/>
      <c r="U42" s="806"/>
      <c r="V42" s="806"/>
      <c r="W42" s="580"/>
      <c r="X42" s="580"/>
      <c r="Y42" s="806"/>
      <c r="AA42" s="806"/>
      <c r="AB42" s="806"/>
      <c r="AC42" s="580"/>
      <c r="AD42" s="580"/>
      <c r="AE42" s="806"/>
      <c r="AG42" s="806"/>
      <c r="AH42" s="806"/>
      <c r="AI42" s="580"/>
      <c r="AJ42" s="580"/>
      <c r="AK42" s="806"/>
      <c r="AM42" s="806"/>
      <c r="AN42" s="806"/>
      <c r="AO42" s="251"/>
      <c r="AP42" s="580"/>
      <c r="AQ42" s="806"/>
      <c r="AS42" s="806"/>
      <c r="AT42" s="806"/>
      <c r="AU42" s="580"/>
      <c r="AV42" s="580"/>
      <c r="AW42" s="806"/>
      <c r="AY42" s="580"/>
      <c r="AZ42" s="580"/>
      <c r="BA42" s="806"/>
      <c r="BC42" s="806"/>
      <c r="BD42" s="806"/>
      <c r="BE42" s="580"/>
      <c r="BF42" s="580"/>
      <c r="BG42" s="806"/>
      <c r="BM42" s="806"/>
      <c r="BS42" s="806"/>
      <c r="BY42" s="806"/>
      <c r="CE42" s="806"/>
      <c r="CK42" s="806"/>
      <c r="CQ42" s="806"/>
      <c r="CW42" s="806"/>
      <c r="DC42" s="806"/>
      <c r="DG42" s="295"/>
      <c r="DH42" s="279"/>
      <c r="DI42" s="290"/>
      <c r="DJ42" s="290"/>
      <c r="DM42" s="217"/>
      <c r="DN42" s="304"/>
      <c r="DO42" s="806"/>
      <c r="DS42" s="217"/>
      <c r="DT42" s="304"/>
      <c r="DU42" s="806"/>
      <c r="DW42" s="806"/>
      <c r="DX42" s="806"/>
      <c r="DY42" s="806"/>
      <c r="DZ42" s="806"/>
      <c r="EA42" s="806"/>
      <c r="EB42" s="806"/>
      <c r="EC42" s="806"/>
      <c r="ED42" s="806"/>
      <c r="EE42" s="806"/>
      <c r="EF42" s="806"/>
      <c r="EG42" s="806"/>
      <c r="EH42" s="806"/>
      <c r="EI42" s="806"/>
      <c r="EJ42" s="806"/>
      <c r="EK42" s="806"/>
      <c r="EL42" s="806"/>
      <c r="EM42" s="806"/>
      <c r="EN42" s="806"/>
      <c r="EO42" s="806"/>
      <c r="EP42" s="806"/>
      <c r="EQ42" s="806"/>
      <c r="ER42" s="810"/>
      <c r="ES42" s="320"/>
      <c r="ET42" s="806"/>
      <c r="EU42" s="806"/>
      <c r="EV42" s="806"/>
      <c r="EW42" s="806"/>
      <c r="EX42" s="809"/>
      <c r="EY42" s="809"/>
      <c r="EZ42" s="806"/>
      <c r="FA42" s="806"/>
      <c r="FB42" s="806"/>
      <c r="FC42" s="806"/>
      <c r="FD42" s="809"/>
      <c r="FE42" s="809"/>
      <c r="FF42" s="809"/>
      <c r="FG42" s="809"/>
      <c r="FH42" s="806"/>
      <c r="FI42" s="806"/>
      <c r="FJ42" s="809"/>
      <c r="FK42" s="809"/>
      <c r="FL42" s="811"/>
      <c r="FM42" s="278"/>
      <c r="FN42" s="806"/>
      <c r="FO42" s="806"/>
      <c r="FP42" s="808"/>
      <c r="FQ42" s="341"/>
      <c r="FR42" s="806"/>
      <c r="FS42" s="806"/>
      <c r="FT42" s="806"/>
      <c r="FU42" s="806"/>
      <c r="FV42" s="807"/>
      <c r="FW42" s="809"/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X42" s="806"/>
      <c r="GY42" s="806"/>
      <c r="GZ42" s="386"/>
      <c r="HA42" s="63"/>
      <c r="HB42" t="s">
        <v>1149</v>
      </c>
      <c r="HF42" s="210" t="s">
        <v>2162</v>
      </c>
      <c r="HG42" s="210">
        <v>440</v>
      </c>
      <c r="HP42" s="806"/>
      <c r="HQ42" s="806"/>
      <c r="HR42" s="398"/>
      <c r="HS42" s="344"/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2904</v>
      </c>
      <c r="KA42" s="533">
        <v>10.5</v>
      </c>
      <c r="KE42" s="894"/>
      <c r="KF42" s="898" t="s">
        <v>2978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3061</v>
      </c>
      <c r="KP42" s="341" t="s">
        <v>3155</v>
      </c>
      <c r="KQ42" s="868">
        <v>100</v>
      </c>
      <c r="KR42" s="409">
        <v>12.4</v>
      </c>
      <c r="KS42" s="543" t="s">
        <v>3151</v>
      </c>
      <c r="KT42" s="955"/>
      <c r="KU42" s="61"/>
    </row>
    <row r="43" spans="1:309" s="806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1940</v>
      </c>
      <c r="FW43" s="6">
        <v>4.5999999999999996</v>
      </c>
      <c r="GB43" s="809"/>
      <c r="GH43" s="807"/>
      <c r="GI43" s="809"/>
      <c r="GN43" s="337"/>
      <c r="GP43" s="811"/>
      <c r="GQ43" s="278"/>
      <c r="GT43" s="393"/>
      <c r="GU43" s="808"/>
      <c r="GV43" s="288"/>
      <c r="GX43"/>
      <c r="GY43"/>
      <c r="GZ43" s="353">
        <v>50</v>
      </c>
      <c r="HA43" s="386"/>
      <c r="HF43" s="210"/>
      <c r="HG43" s="210"/>
      <c r="HP43"/>
      <c r="HQ43"/>
      <c r="HR43" s="398" t="s">
        <v>2213</v>
      </c>
      <c r="HS43" s="344">
        <v>2.54</v>
      </c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2940</v>
      </c>
      <c r="KA43" s="61">
        <f>47.8+1.2+2.5+3.2</f>
        <v>54.7</v>
      </c>
      <c r="KB43" s="843"/>
      <c r="KC43" s="858"/>
      <c r="KD43" s="848"/>
      <c r="KE43" s="909" t="s">
        <v>2855</v>
      </c>
      <c r="KF43" s="898" t="s">
        <v>2964</v>
      </c>
      <c r="KG43" s="848">
        <v>37.700000000000003</v>
      </c>
      <c r="KH43" s="888"/>
      <c r="KI43" s="888"/>
      <c r="KJ43" s="337" t="s">
        <v>2969</v>
      </c>
      <c r="KK43" s="867">
        <f>SUM(KM28:KM34)</f>
        <v>362.27</v>
      </c>
      <c r="KL43" s="409">
        <v>100</v>
      </c>
      <c r="KM43" s="543" t="s">
        <v>3059</v>
      </c>
      <c r="KN43" s="888" t="s">
        <v>3071</v>
      </c>
      <c r="KO43" s="888"/>
      <c r="KP43" s="937"/>
      <c r="KQ43" s="937"/>
      <c r="KR43" s="409">
        <f>10+10+5+5</f>
        <v>30</v>
      </c>
      <c r="KS43" s="543" t="s">
        <v>3173</v>
      </c>
      <c r="KT43" s="953" t="s">
        <v>3133</v>
      </c>
      <c r="KU43" s="937"/>
      <c r="KV43" s="937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41" t="s">
        <v>2101</v>
      </c>
      <c r="HA44" s="354">
        <f>GW16+GZ43-HC17</f>
        <v>134</v>
      </c>
      <c r="HB44" t="s">
        <v>1034</v>
      </c>
      <c r="HE44" s="207"/>
      <c r="HF44" s="404">
        <v>29.54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SUM(KA24:KA32)</f>
        <v>1008.43</v>
      </c>
      <c r="JZ44" s="337" t="s">
        <v>2929</v>
      </c>
      <c r="KA44" s="533">
        <v>26.5</v>
      </c>
      <c r="KE44" s="894"/>
      <c r="KF44" s="898" t="s">
        <v>2963</v>
      </c>
      <c r="KG44" s="848">
        <v>35.25</v>
      </c>
      <c r="KL44" s="409">
        <v>9</v>
      </c>
      <c r="KM44" s="543" t="s">
        <v>3060</v>
      </c>
      <c r="KN44" s="888" t="s">
        <v>3072</v>
      </c>
      <c r="KP44" s="937" t="s">
        <v>3067</v>
      </c>
      <c r="KQ44" s="943"/>
      <c r="KR44" s="409"/>
      <c r="KS44" s="543"/>
      <c r="KT44" s="953" t="s">
        <v>3132</v>
      </c>
      <c r="KU44" s="954"/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92">
        <v>60</v>
      </c>
      <c r="HA45" s="340" t="s">
        <v>1828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3036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SUM(KA33:KA44)</f>
        <v>681.71</v>
      </c>
      <c r="JZ45" s="795" t="s">
        <v>3046</v>
      </c>
      <c r="KA45" s="78">
        <f>8+61+1</f>
        <v>70</v>
      </c>
      <c r="KE45" s="894"/>
      <c r="KF45" s="899" t="s">
        <v>2979</v>
      </c>
      <c r="KG45" s="848">
        <v>98.58</v>
      </c>
      <c r="KJ45" s="341" t="s">
        <v>3075</v>
      </c>
      <c r="KK45" s="868">
        <v>250</v>
      </c>
      <c r="KL45" s="409">
        <v>10</v>
      </c>
      <c r="KM45" s="543" t="s">
        <v>3069</v>
      </c>
      <c r="KP45" s="937" t="s">
        <v>3068</v>
      </c>
      <c r="KQ45" s="943"/>
      <c r="KR45" s="409"/>
      <c r="KS45" s="543"/>
      <c r="KT45" s="952" t="s">
        <v>3131</v>
      </c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1942</v>
      </c>
      <c r="FW46" s="6"/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3">
        <v>20</v>
      </c>
      <c r="HA46" s="340" t="s">
        <v>2147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2969</v>
      </c>
      <c r="JY46" s="2">
        <f>SUM(KA36:KA44)</f>
        <v>301.70999999999998</v>
      </c>
      <c r="JZ46" s="843" t="s">
        <v>3047</v>
      </c>
      <c r="KA46" s="78">
        <v>300</v>
      </c>
      <c r="KE46" s="894"/>
      <c r="KL46" s="409">
        <v>20</v>
      </c>
      <c r="KM46" s="543" t="s">
        <v>3101</v>
      </c>
      <c r="KR46" s="409"/>
      <c r="KS46" s="543"/>
      <c r="KT46" s="951" t="s">
        <v>2777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30</v>
      </c>
      <c r="HA47" s="340" t="s">
        <v>2106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9" t="s">
        <v>2196</v>
      </c>
      <c r="KA47" s="534">
        <f>670+187</f>
        <v>857</v>
      </c>
      <c r="KE47" s="894"/>
      <c r="KJ47" s="888" t="s">
        <v>3067</v>
      </c>
      <c r="KK47" s="894"/>
      <c r="KL47" s="409">
        <v>24</v>
      </c>
      <c r="KM47" s="543" t="s">
        <v>3076</v>
      </c>
      <c r="KR47" s="409"/>
      <c r="KS47" s="543"/>
      <c r="KT47" s="937" t="s">
        <v>506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60" t="s">
        <v>2110</v>
      </c>
      <c r="HA48" s="6">
        <v>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412">
        <v>47.04</v>
      </c>
      <c r="KA48" s="534" t="s">
        <v>2941</v>
      </c>
      <c r="KJ48" s="888" t="s">
        <v>3068</v>
      </c>
      <c r="KK48" s="894"/>
      <c r="KL48" s="409">
        <v>8</v>
      </c>
      <c r="KM48" s="543" t="s">
        <v>3104</v>
      </c>
      <c r="KR48" s="937" t="s">
        <v>3157</v>
      </c>
      <c r="KS48" s="937">
        <v>120</v>
      </c>
      <c r="KT48" s="958" t="s">
        <v>3143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35" t="s">
        <v>2092</v>
      </c>
      <c r="GZ49" t="s">
        <v>2086</v>
      </c>
      <c r="HA49" s="210">
        <v>670.00099999999998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386" t="s">
        <v>1411</v>
      </c>
      <c r="KA49" s="408">
        <f>JW19+JY53+JY8-KC19</f>
        <v>280</v>
      </c>
      <c r="KL49" s="888" t="s">
        <v>3085</v>
      </c>
      <c r="KM49" s="888">
        <v>7.2</v>
      </c>
      <c r="KR49" s="937" t="s">
        <v>3152</v>
      </c>
      <c r="KS49" s="937">
        <v>82.45</v>
      </c>
      <c r="KT49" s="958" t="s">
        <v>3142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35"/>
      <c r="GZ50" s="210" t="s">
        <v>2117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09">
        <v>34</v>
      </c>
      <c r="KA50" s="815" t="s">
        <v>2942</v>
      </c>
      <c r="KG50" s="850"/>
      <c r="KL50" s="888" t="s">
        <v>3083</v>
      </c>
      <c r="KM50" s="888">
        <v>32.4</v>
      </c>
      <c r="KR50" s="881" t="s">
        <v>3165</v>
      </c>
      <c r="KS50" s="532">
        <v>50</v>
      </c>
      <c r="KT50" s="958" t="s">
        <v>3141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1928</v>
      </c>
      <c r="FQ51" s="253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35"/>
      <c r="GZ51" t="s">
        <v>2085</v>
      </c>
      <c r="HA51" s="6">
        <v>50.000999999999998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409">
        <v>25</v>
      </c>
      <c r="KA51" s="543" t="s">
        <v>2872</v>
      </c>
      <c r="KL51" s="881" t="s">
        <v>3084</v>
      </c>
      <c r="KM51" s="948">
        <v>1746</v>
      </c>
      <c r="KT51" s="954" t="s">
        <v>3073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2035</v>
      </c>
      <c r="GO52">
        <v>38.9</v>
      </c>
      <c r="GU52" s="6"/>
      <c r="GV52" s="1035"/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7</v>
      </c>
      <c r="KA52" s="543" t="s">
        <v>1310</v>
      </c>
      <c r="KR52" s="881"/>
      <c r="KS52" s="532"/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2930</v>
      </c>
      <c r="JY53" s="353">
        <v>200</v>
      </c>
      <c r="JZ53" s="825">
        <v>20</v>
      </c>
      <c r="KA53" s="826" t="s">
        <v>2877</v>
      </c>
      <c r="KL53" s="881"/>
      <c r="KM53" s="532"/>
      <c r="KT53" s="937" t="s">
        <v>3071</v>
      </c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20</v>
      </c>
      <c r="KA54" s="543" t="s">
        <v>2906</v>
      </c>
      <c r="KT54" s="937" t="s">
        <v>3072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409">
        <v>80</v>
      </c>
      <c r="KA55" s="543" t="s">
        <v>2908</v>
      </c>
      <c r="KS55" s="940"/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6</v>
      </c>
      <c r="KA56" s="543" t="s">
        <v>2907</v>
      </c>
      <c r="KM56" s="891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50</v>
      </c>
      <c r="KA57" s="54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795" t="s">
        <v>2911</v>
      </c>
      <c r="KA58" s="795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795" t="s">
        <v>3017</v>
      </c>
      <c r="KA59" s="407">
        <f>30/5.217</f>
        <v>5.7504312823461765</v>
      </c>
      <c r="KC59" s="390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2909</v>
      </c>
      <c r="KA60" s="795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2944</v>
      </c>
      <c r="KA61" s="795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2870</v>
      </c>
      <c r="KA62" s="795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2897</v>
      </c>
      <c r="KA63" s="824">
        <v>36.200000000000003</v>
      </c>
    </row>
    <row r="64" spans="41:306">
      <c r="DG64" s="218" t="s">
        <v>1167</v>
      </c>
      <c r="DH64" s="302">
        <v>1500</v>
      </c>
      <c r="ID64" s="400"/>
      <c r="IP64" s="400"/>
      <c r="IQ64" s="202"/>
      <c r="IY64" s="390"/>
      <c r="JE64" s="390"/>
      <c r="JZ64" s="836" t="s">
        <v>2891</v>
      </c>
      <c r="KA64" s="795">
        <v>9.8000000000000007</v>
      </c>
    </row>
    <row r="65" spans="205:307">
      <c r="IP65" s="400"/>
      <c r="JK65" s="390"/>
      <c r="JQ65" s="390"/>
      <c r="JZ65" s="834" t="s">
        <v>2927</v>
      </c>
      <c r="KA65" s="834">
        <v>9.77</v>
      </c>
    </row>
    <row r="66" spans="205:307">
      <c r="IJ66" s="398"/>
      <c r="IK66" s="344"/>
      <c r="IP66" s="400"/>
      <c r="JZ66" s="834" t="s">
        <v>2926</v>
      </c>
      <c r="KA66" s="834">
        <v>11.9</v>
      </c>
    </row>
    <row r="67" spans="205:307">
      <c r="IK67" s="493"/>
      <c r="IM67" s="390"/>
      <c r="IP67" s="400"/>
      <c r="IS67" s="390"/>
      <c r="JZ67" s="834" t="s">
        <v>2928</v>
      </c>
      <c r="KA67" s="834">
        <v>6.62</v>
      </c>
      <c r="KI67" s="390"/>
      <c r="KO67" s="390"/>
    </row>
    <row r="68" spans="205:307">
      <c r="IJ68" s="400"/>
      <c r="IP68" s="400"/>
      <c r="JY68" s="795" t="s">
        <v>2855</v>
      </c>
      <c r="JZ68" s="11" t="s">
        <v>2878</v>
      </c>
      <c r="KA68" s="806">
        <v>69</v>
      </c>
    </row>
    <row r="69" spans="205:307">
      <c r="HO69" s="390"/>
      <c r="IG69" s="390"/>
      <c r="IJ69" s="400"/>
      <c r="JZ69" s="11" t="s">
        <v>2898</v>
      </c>
      <c r="KA69" s="795">
        <v>8</v>
      </c>
    </row>
    <row r="70" spans="205:307">
      <c r="IJ70" s="400"/>
      <c r="JZ70" s="844" t="s">
        <v>2943</v>
      </c>
      <c r="KA70" s="842">
        <v>29.7</v>
      </c>
      <c r="KU70" s="390"/>
    </row>
    <row r="71" spans="205:307">
      <c r="IJ71" s="400"/>
      <c r="JZ71" s="11" t="s">
        <v>2910</v>
      </c>
      <c r="KA71" s="795">
        <v>8.1999999999999993</v>
      </c>
    </row>
    <row r="72" spans="205:307">
      <c r="IJ72" s="400"/>
    </row>
    <row r="73" spans="205:307">
      <c r="IJ73" s="400"/>
    </row>
    <row r="74" spans="205:307">
      <c r="HI74" s="390"/>
    </row>
    <row r="76" spans="205:307">
      <c r="GW76" s="390"/>
    </row>
    <row r="77" spans="205:307">
      <c r="HU77" s="390"/>
    </row>
    <row r="78" spans="205:307">
      <c r="HC78" s="390"/>
    </row>
    <row r="79" spans="205:307">
      <c r="IA79" s="390"/>
    </row>
  </sheetData>
  <mergeCells count="252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39: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J1" zoomScaleNormal="100" workbookViewId="0">
      <selection activeCell="R56" sqref="R5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style="906" customWidth="1"/>
    <col min="20" max="20" width="8.5703125" style="906" bestFit="1" customWidth="1"/>
  </cols>
  <sheetData>
    <row r="1" spans="2:20" s="766" customFormat="1" ht="5.45" customHeight="1">
      <c r="B1" s="878"/>
      <c r="F1" s="878"/>
      <c r="J1" s="878"/>
      <c r="N1" s="878"/>
      <c r="R1" s="878"/>
      <c r="S1" s="906"/>
      <c r="T1" s="906"/>
    </row>
    <row r="2" spans="2:20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906"/>
      <c r="T2" s="906"/>
    </row>
    <row r="3" spans="2:20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</row>
    <row r="4" spans="2:20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84" t="s">
        <v>3147</v>
      </c>
      <c r="S4" s="984"/>
      <c r="T4" s="906" t="s">
        <v>2808</v>
      </c>
    </row>
    <row r="5" spans="2:20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45230</v>
      </c>
      <c r="S5" s="906">
        <v>0</v>
      </c>
      <c r="T5" s="830">
        <f>S5*1000*3.5%/365</f>
        <v>0</v>
      </c>
    </row>
    <row r="6" spans="2:20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45229</v>
      </c>
      <c r="S6" s="961">
        <v>0</v>
      </c>
      <c r="T6" s="830">
        <f t="shared" ref="T6:T35" si="4">S6*1000*3.5%/365</f>
        <v>0</v>
      </c>
    </row>
    <row r="7" spans="2:20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5">O7*1000*0.05%/365</f>
        <v>1.0136986301369864</v>
      </c>
      <c r="R7" s="878">
        <v>45228</v>
      </c>
      <c r="S7" s="961">
        <v>0</v>
      </c>
      <c r="T7" s="830">
        <f t="shared" si="4"/>
        <v>0</v>
      </c>
    </row>
    <row r="8" spans="2:20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5"/>
        <v>1.0136986301369864</v>
      </c>
      <c r="R8" s="878">
        <v>45227</v>
      </c>
      <c r="S8" s="961">
        <v>0</v>
      </c>
      <c r="T8" s="830">
        <f t="shared" si="4"/>
        <v>0</v>
      </c>
    </row>
    <row r="9" spans="2:20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5"/>
        <v>0.93835616438356162</v>
      </c>
      <c r="R9" s="878">
        <v>45226</v>
      </c>
      <c r="S9" s="961">
        <v>0</v>
      </c>
      <c r="T9" s="830">
        <f t="shared" si="4"/>
        <v>0</v>
      </c>
    </row>
    <row r="10" spans="2:20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5"/>
        <v>0.93835616438356162</v>
      </c>
      <c r="R10" s="878">
        <v>45225</v>
      </c>
      <c r="S10" s="961">
        <v>0</v>
      </c>
      <c r="T10" s="830">
        <f t="shared" si="4"/>
        <v>0</v>
      </c>
    </row>
    <row r="11" spans="2:20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5"/>
        <v>0.93835616438356162</v>
      </c>
      <c r="R11" s="878">
        <v>45224</v>
      </c>
      <c r="S11" s="961">
        <v>0</v>
      </c>
      <c r="T11" s="830">
        <f t="shared" si="4"/>
        <v>0</v>
      </c>
    </row>
    <row r="12" spans="2:20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5"/>
        <v>1.0232876712328767</v>
      </c>
      <c r="R12" s="878">
        <v>45223</v>
      </c>
      <c r="S12" s="961">
        <v>0</v>
      </c>
      <c r="T12" s="830">
        <f t="shared" si="4"/>
        <v>0</v>
      </c>
    </row>
    <row r="13" spans="2:20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5"/>
        <v>1.0205479452054795</v>
      </c>
      <c r="R13" s="878">
        <v>45222</v>
      </c>
      <c r="S13" s="961">
        <v>0</v>
      </c>
      <c r="T13" s="830">
        <f t="shared" si="4"/>
        <v>0</v>
      </c>
    </row>
    <row r="14" spans="2:20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5"/>
        <v>1.0205479452054795</v>
      </c>
      <c r="R14" s="878">
        <v>45221</v>
      </c>
      <c r="S14" s="961">
        <v>0</v>
      </c>
      <c r="T14" s="830">
        <f t="shared" si="4"/>
        <v>0</v>
      </c>
    </row>
    <row r="15" spans="2:20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5"/>
        <v>1.0205479452054795</v>
      </c>
      <c r="R15" s="878">
        <v>45220</v>
      </c>
      <c r="S15" s="961">
        <v>0</v>
      </c>
      <c r="T15" s="830">
        <f t="shared" si="4"/>
        <v>0</v>
      </c>
    </row>
    <row r="16" spans="2:20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5"/>
        <v>1.0205479452054795</v>
      </c>
      <c r="R16" s="878">
        <v>45219</v>
      </c>
      <c r="S16" s="961">
        <v>0</v>
      </c>
      <c r="T16" s="830">
        <f t="shared" si="4"/>
        <v>0</v>
      </c>
    </row>
    <row r="17" spans="2:20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5"/>
        <v>1.0205479452054795</v>
      </c>
      <c r="R17" s="878">
        <v>45218</v>
      </c>
      <c r="S17" s="961">
        <v>0</v>
      </c>
      <c r="T17" s="830">
        <f t="shared" si="4"/>
        <v>0</v>
      </c>
    </row>
    <row r="18" spans="2:20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5"/>
        <v>0.81506849315068497</v>
      </c>
      <c r="R18" s="878">
        <v>45217</v>
      </c>
      <c r="S18" s="961">
        <v>0</v>
      </c>
      <c r="T18" s="830">
        <f t="shared" si="4"/>
        <v>0</v>
      </c>
    </row>
    <row r="19" spans="2:20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5"/>
        <v>1.0068493150684932</v>
      </c>
      <c r="R19" s="878">
        <v>45216</v>
      </c>
      <c r="S19" s="961">
        <v>0</v>
      </c>
      <c r="T19" s="830">
        <f t="shared" si="4"/>
        <v>0</v>
      </c>
    </row>
    <row r="20" spans="2:20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5"/>
        <v>1.0068493150684932</v>
      </c>
      <c r="R20" s="878">
        <v>45215</v>
      </c>
      <c r="S20" s="961">
        <v>0</v>
      </c>
      <c r="T20" s="830">
        <f t="shared" si="4"/>
        <v>0</v>
      </c>
    </row>
    <row r="21" spans="2:20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5"/>
        <v>1.0068493150684932</v>
      </c>
      <c r="R21" s="878">
        <v>45214</v>
      </c>
      <c r="S21" s="961">
        <v>0</v>
      </c>
      <c r="T21" s="830">
        <f t="shared" si="4"/>
        <v>0</v>
      </c>
    </row>
    <row r="22" spans="2:20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5"/>
        <v>1.0068493150684932</v>
      </c>
      <c r="R22" s="878">
        <v>45213</v>
      </c>
      <c r="S22" s="961">
        <v>0</v>
      </c>
      <c r="T22" s="830">
        <f t="shared" si="4"/>
        <v>0</v>
      </c>
    </row>
    <row r="23" spans="2:20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5"/>
        <v>1.0068493150684932</v>
      </c>
      <c r="R23" s="878">
        <v>45212</v>
      </c>
      <c r="S23" s="961">
        <v>0</v>
      </c>
      <c r="T23" s="830">
        <f t="shared" si="4"/>
        <v>0</v>
      </c>
    </row>
    <row r="24" spans="2:20">
      <c r="B24" s="878">
        <v>45068</v>
      </c>
      <c r="C24" s="767">
        <v>545</v>
      </c>
      <c r="D24" s="830">
        <f t="shared" ref="D24:D32" si="6">C24*1000*0.05%/365</f>
        <v>0.74657534246575341</v>
      </c>
      <c r="F24" s="878">
        <v>45099</v>
      </c>
      <c r="G24" s="829">
        <v>585</v>
      </c>
      <c r="H24" s="830">
        <f t="shared" ref="H24:H32" si="7">G24*1000*0.05%/365</f>
        <v>0.80136986301369861</v>
      </c>
      <c r="J24" s="878">
        <v>45129</v>
      </c>
      <c r="K24" s="829">
        <v>735</v>
      </c>
      <c r="L24" s="830">
        <f t="shared" ref="L24:L32" si="8">K24*1000*0.05%/365</f>
        <v>1.0068493150684932</v>
      </c>
      <c r="N24" s="878">
        <v>45160</v>
      </c>
      <c r="O24" s="766">
        <v>735</v>
      </c>
      <c r="P24" s="830">
        <f t="shared" si="5"/>
        <v>1.0068493150684932</v>
      </c>
      <c r="R24" s="878">
        <v>45211</v>
      </c>
      <c r="S24" s="961">
        <v>0</v>
      </c>
      <c r="T24" s="830">
        <f t="shared" si="4"/>
        <v>0</v>
      </c>
    </row>
    <row r="25" spans="2:20" s="873" customFormat="1">
      <c r="B25" s="879">
        <v>45069</v>
      </c>
      <c r="C25" s="873">
        <v>545</v>
      </c>
      <c r="D25" s="875">
        <f t="shared" si="6"/>
        <v>0.74657534246575341</v>
      </c>
      <c r="F25" s="879">
        <v>45100</v>
      </c>
      <c r="G25" s="873">
        <v>585</v>
      </c>
      <c r="H25" s="875">
        <f t="shared" si="7"/>
        <v>0.80136986301369861</v>
      </c>
      <c r="J25" s="879">
        <v>45130</v>
      </c>
      <c r="K25" s="873">
        <v>735</v>
      </c>
      <c r="L25" s="875">
        <f t="shared" si="8"/>
        <v>1.0068493150684932</v>
      </c>
      <c r="N25" s="879">
        <v>45161</v>
      </c>
      <c r="O25" s="873">
        <v>738</v>
      </c>
      <c r="P25" s="875">
        <f t="shared" si="5"/>
        <v>1.010958904109589</v>
      </c>
      <c r="R25" s="878">
        <v>45210</v>
      </c>
      <c r="S25" s="961">
        <v>0</v>
      </c>
      <c r="T25" s="830">
        <f t="shared" si="4"/>
        <v>0</v>
      </c>
    </row>
    <row r="26" spans="2:20">
      <c r="B26" s="878">
        <v>45070</v>
      </c>
      <c r="C26" s="829">
        <v>550</v>
      </c>
      <c r="D26" s="830">
        <f t="shared" si="6"/>
        <v>0.75342465753424659</v>
      </c>
      <c r="F26" s="878">
        <v>45101</v>
      </c>
      <c r="G26" s="829">
        <v>585</v>
      </c>
      <c r="H26" s="830">
        <f t="shared" si="7"/>
        <v>0.80136986301369861</v>
      </c>
      <c r="J26" s="878">
        <v>45131</v>
      </c>
      <c r="K26" s="840">
        <v>735</v>
      </c>
      <c r="L26" s="830">
        <f t="shared" si="8"/>
        <v>1.0068493150684932</v>
      </c>
      <c r="N26" s="878">
        <v>45162</v>
      </c>
      <c r="O26" s="874">
        <v>738</v>
      </c>
      <c r="P26" s="830">
        <f t="shared" si="5"/>
        <v>1.010958904109589</v>
      </c>
      <c r="R26" s="878">
        <v>45209</v>
      </c>
      <c r="S26" s="961">
        <v>0</v>
      </c>
      <c r="T26" s="830">
        <f t="shared" si="4"/>
        <v>0</v>
      </c>
    </row>
    <row r="27" spans="2:20">
      <c r="B27" s="878">
        <v>45071</v>
      </c>
      <c r="C27" s="829">
        <v>550</v>
      </c>
      <c r="D27" s="830">
        <f t="shared" si="6"/>
        <v>0.75342465753424659</v>
      </c>
      <c r="F27" s="878">
        <v>45102</v>
      </c>
      <c r="G27" s="829">
        <v>585</v>
      </c>
      <c r="H27" s="830">
        <f t="shared" si="7"/>
        <v>0.80136986301369861</v>
      </c>
      <c r="J27" s="878">
        <v>45132</v>
      </c>
      <c r="K27" s="841">
        <v>740</v>
      </c>
      <c r="L27" s="830">
        <f t="shared" si="8"/>
        <v>1.0136986301369864</v>
      </c>
      <c r="N27" s="878">
        <v>45163</v>
      </c>
      <c r="O27" s="876">
        <v>748</v>
      </c>
      <c r="P27" s="830">
        <f t="shared" si="5"/>
        <v>1.0246575342465754</v>
      </c>
      <c r="R27" s="878">
        <v>45208</v>
      </c>
      <c r="S27" s="961">
        <v>0</v>
      </c>
      <c r="T27" s="830">
        <f t="shared" si="4"/>
        <v>0</v>
      </c>
    </row>
    <row r="28" spans="2:20">
      <c r="B28" s="878">
        <v>45072</v>
      </c>
      <c r="C28" s="829">
        <v>550</v>
      </c>
      <c r="D28" s="830">
        <f t="shared" si="6"/>
        <v>0.75342465753424659</v>
      </c>
      <c r="F28" s="878">
        <v>45103</v>
      </c>
      <c r="G28" s="829">
        <v>585</v>
      </c>
      <c r="H28" s="830">
        <f t="shared" si="7"/>
        <v>0.80136986301369861</v>
      </c>
      <c r="J28" s="878">
        <v>45133</v>
      </c>
      <c r="K28" s="863">
        <v>740</v>
      </c>
      <c r="L28" s="830">
        <f t="shared" si="8"/>
        <v>1.0136986301369864</v>
      </c>
      <c r="N28" s="878">
        <v>45164</v>
      </c>
      <c r="O28" s="880">
        <v>749</v>
      </c>
      <c r="P28" s="830">
        <f t="shared" si="5"/>
        <v>1.026027397260274</v>
      </c>
      <c r="R28" s="878">
        <v>45207</v>
      </c>
      <c r="S28" s="961">
        <v>306</v>
      </c>
      <c r="T28" s="830">
        <f t="shared" si="4"/>
        <v>29.342465753424662</v>
      </c>
    </row>
    <row r="29" spans="2:20">
      <c r="B29" s="878">
        <v>45073</v>
      </c>
      <c r="C29" s="829">
        <v>550</v>
      </c>
      <c r="D29" s="830">
        <f t="shared" si="6"/>
        <v>0.75342465753424659</v>
      </c>
      <c r="F29" s="878">
        <v>45104</v>
      </c>
      <c r="G29" s="829">
        <v>585</v>
      </c>
      <c r="H29" s="830">
        <f t="shared" si="7"/>
        <v>0.80136986301369861</v>
      </c>
      <c r="J29" s="878">
        <v>45134</v>
      </c>
      <c r="K29" s="863">
        <v>740</v>
      </c>
      <c r="L29" s="830">
        <f t="shared" si="8"/>
        <v>1.0136986301369864</v>
      </c>
      <c r="N29" s="878">
        <v>45165</v>
      </c>
      <c r="O29" s="882">
        <v>749</v>
      </c>
      <c r="P29" s="830">
        <f t="shared" si="5"/>
        <v>1.026027397260274</v>
      </c>
      <c r="R29" s="878">
        <v>45206</v>
      </c>
      <c r="S29" s="961">
        <v>0</v>
      </c>
      <c r="T29" s="830">
        <f t="shared" si="4"/>
        <v>0</v>
      </c>
    </row>
    <row r="30" spans="2:20">
      <c r="B30" s="878">
        <v>45074</v>
      </c>
      <c r="C30" s="829">
        <v>550</v>
      </c>
      <c r="D30" s="830">
        <f t="shared" si="6"/>
        <v>0.75342465753424659</v>
      </c>
      <c r="F30" s="878">
        <v>45105</v>
      </c>
      <c r="G30" s="829">
        <v>600</v>
      </c>
      <c r="H30" s="830">
        <f t="shared" si="7"/>
        <v>0.82191780821917804</v>
      </c>
      <c r="J30" s="878">
        <v>45135</v>
      </c>
      <c r="K30" s="863">
        <v>740</v>
      </c>
      <c r="L30" s="830">
        <f t="shared" si="8"/>
        <v>1.0136986301369864</v>
      </c>
      <c r="N30" s="878">
        <v>45166</v>
      </c>
      <c r="O30" s="766">
        <v>740</v>
      </c>
      <c r="P30" s="830">
        <f t="shared" si="5"/>
        <v>1.0136986301369864</v>
      </c>
      <c r="R30" s="878">
        <v>45205</v>
      </c>
      <c r="S30" s="961">
        <v>0</v>
      </c>
      <c r="T30" s="830">
        <f t="shared" si="4"/>
        <v>0</v>
      </c>
    </row>
    <row r="31" spans="2:20">
      <c r="B31" s="878">
        <v>45075</v>
      </c>
      <c r="C31" s="766">
        <v>550</v>
      </c>
      <c r="D31" s="830">
        <f t="shared" si="6"/>
        <v>0.75342465753424659</v>
      </c>
      <c r="F31" s="878">
        <v>45106</v>
      </c>
      <c r="G31" s="829">
        <v>600</v>
      </c>
      <c r="H31" s="830">
        <f t="shared" si="7"/>
        <v>0.82191780821917804</v>
      </c>
      <c r="J31" s="878">
        <v>45136</v>
      </c>
      <c r="K31" s="829">
        <v>750</v>
      </c>
      <c r="L31" s="830">
        <f t="shared" si="8"/>
        <v>1.0273972602739727</v>
      </c>
      <c r="N31" s="878">
        <v>45167</v>
      </c>
      <c r="O31" s="766">
        <v>604</v>
      </c>
      <c r="P31" s="830">
        <f t="shared" si="5"/>
        <v>0.82739726027397265</v>
      </c>
      <c r="R31" s="878">
        <v>45204</v>
      </c>
      <c r="S31" s="906">
        <v>0</v>
      </c>
      <c r="T31" s="830">
        <f t="shared" si="4"/>
        <v>0</v>
      </c>
    </row>
    <row r="32" spans="2:20">
      <c r="B32" s="878">
        <v>45076</v>
      </c>
      <c r="C32" s="766">
        <v>585</v>
      </c>
      <c r="D32" s="830">
        <f t="shared" si="6"/>
        <v>0.80136986301369861</v>
      </c>
      <c r="F32" s="878">
        <v>45107</v>
      </c>
      <c r="G32" s="829">
        <v>600</v>
      </c>
      <c r="H32" s="830">
        <f t="shared" si="7"/>
        <v>0.82191780821917804</v>
      </c>
      <c r="J32" s="878">
        <v>45137</v>
      </c>
      <c r="K32" s="829">
        <v>750</v>
      </c>
      <c r="L32" s="830">
        <f t="shared" si="8"/>
        <v>1.0273972602739727</v>
      </c>
      <c r="N32" s="878">
        <v>45168</v>
      </c>
      <c r="O32" s="766">
        <v>471</v>
      </c>
      <c r="P32" s="830">
        <f t="shared" si="5"/>
        <v>0.64520547945205475</v>
      </c>
      <c r="R32" s="878">
        <v>45203</v>
      </c>
      <c r="S32" s="906">
        <v>0</v>
      </c>
      <c r="T32" s="830">
        <f t="shared" si="4"/>
        <v>0</v>
      </c>
    </row>
    <row r="33" spans="1:20">
      <c r="B33" s="878">
        <v>45077</v>
      </c>
      <c r="C33" s="766">
        <v>585</v>
      </c>
      <c r="D33" s="830">
        <f t="shared" ref="D33" si="9">C33*1000*0.05/100/365</f>
        <v>0.80136986301369861</v>
      </c>
      <c r="J33" s="878">
        <v>45138</v>
      </c>
      <c r="K33" s="829">
        <v>750</v>
      </c>
      <c r="L33" s="830">
        <f t="shared" ref="L33" si="10">K33*1000*0.05/100/365</f>
        <v>1.0273972602739727</v>
      </c>
      <c r="N33" s="878">
        <v>45169</v>
      </c>
      <c r="O33" s="766">
        <v>480</v>
      </c>
      <c r="P33" s="830">
        <f t="shared" si="5"/>
        <v>0.65753424657534243</v>
      </c>
      <c r="R33" s="878">
        <v>45202</v>
      </c>
      <c r="S33" s="906">
        <v>0</v>
      </c>
      <c r="T33" s="830">
        <f t="shared" si="4"/>
        <v>0</v>
      </c>
    </row>
    <row r="34" spans="1:20">
      <c r="R34" s="878">
        <v>45201</v>
      </c>
      <c r="S34" s="906">
        <v>0</v>
      </c>
      <c r="T34" s="830">
        <f t="shared" si="4"/>
        <v>0</v>
      </c>
    </row>
    <row r="35" spans="1:20">
      <c r="B35" s="878" t="s">
        <v>2893</v>
      </c>
      <c r="D35" s="407">
        <f>SUM(D3:D33)*88</f>
        <v>1895.7128767123286</v>
      </c>
      <c r="F35" s="878" t="s">
        <v>2893</v>
      </c>
      <c r="H35" s="407">
        <f>SUM(H3:H33)*88</f>
        <v>2121.0410958904108</v>
      </c>
      <c r="J35" s="878" t="s">
        <v>2893</v>
      </c>
      <c r="L35" s="407">
        <f>SUM(L3:L33)*88</f>
        <v>2597.8082191780818</v>
      </c>
      <c r="N35" s="878" t="s">
        <v>2893</v>
      </c>
      <c r="P35" s="407">
        <f>SUM(P3:P33)*88</f>
        <v>2650.7287671232875</v>
      </c>
      <c r="R35" s="878">
        <v>45200</v>
      </c>
      <c r="S35" s="906">
        <v>300</v>
      </c>
      <c r="T35" s="830">
        <f t="shared" si="4"/>
        <v>28.767123287671239</v>
      </c>
    </row>
    <row r="36" spans="1:20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2893</v>
      </c>
      <c r="T36" s="407">
        <f>SUM(T5:T35)</f>
        <v>58.109589041095902</v>
      </c>
    </row>
    <row r="37" spans="1:20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3015</v>
      </c>
      <c r="S37" s="906"/>
      <c r="T37" s="906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2023-10-24T20:20:53Z</dcterms:modified>
</cp:coreProperties>
</file>