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4BDFABD0-3163-4BD4-8AEC-49688CFBCB84}" xr6:coauthVersionLast="41" xr6:coauthVersionMax="47" xr10:uidLastSave="{00000000-0000-0000-0000-000000000000}"/>
  <bookViews>
    <workbookView xWindow="810" yWindow="-120" windowWidth="28110" windowHeight="1644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</workbook>
</file>

<file path=xl/calcChain.xml><?xml version="1.0" encoding="utf-8"?>
<calcChain xmlns="http://schemas.openxmlformats.org/spreadsheetml/2006/main">
  <c r="NM30" i="32" l="1"/>
  <c r="NK16" i="32" l="1"/>
  <c r="NO2" i="32"/>
  <c r="NM32" i="32" l="1"/>
  <c r="NM5" i="32" s="1"/>
  <c r="NK2" i="32"/>
  <c r="NO21" i="32"/>
  <c r="NK24" i="32"/>
  <c r="NK25" i="32"/>
  <c r="NK26" i="32"/>
  <c r="NK28" i="32"/>
  <c r="NG30" i="32"/>
  <c r="NG15" i="32"/>
  <c r="NG28" i="32"/>
  <c r="NG16" i="32"/>
  <c r="NG14" i="32"/>
  <c r="NG18" i="32"/>
  <c r="NG24" i="32"/>
  <c r="NG23" i="32"/>
  <c r="NK29" i="32" l="1"/>
  <c r="NK27" i="32"/>
  <c r="NK30" i="32"/>
  <c r="NE15" i="32"/>
  <c r="NG8" i="32" l="1"/>
  <c r="NE24" i="32" s="1"/>
  <c r="NF33" i="32" l="1"/>
  <c r="NE11" i="32" l="1"/>
  <c r="NE18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C2" i="32" l="1"/>
  <c r="NG13" i="32"/>
  <c r="NI20" i="32" l="1"/>
  <c r="NI2" i="32" s="1"/>
  <c r="NM2" i="32" s="1"/>
  <c r="NG21" i="32"/>
  <c r="NE28" i="32" s="1"/>
  <c r="NM3" i="32" l="1"/>
  <c r="NM4" i="32"/>
  <c r="NE19" i="32"/>
  <c r="NE2" i="32" s="1"/>
  <c r="NG32" i="32" l="1"/>
  <c r="NE23" i="32"/>
  <c r="NE27" i="32"/>
  <c r="NG5" i="32" l="1"/>
  <c r="NE26" i="32"/>
  <c r="NE25" i="32"/>
  <c r="NA33" i="32"/>
  <c r="NA13" i="32" l="1"/>
  <c r="NA12" i="32"/>
  <c r="NA14" i="32"/>
  <c r="NA34" i="32"/>
  <c r="NA28" i="32"/>
  <c r="NA32" i="32"/>
  <c r="NA22" i="32"/>
  <c r="NA23" i="32"/>
  <c r="MY23" i="32"/>
  <c r="MY35" i="32" l="1"/>
  <c r="MS38" i="32"/>
  <c r="MY10" i="32"/>
  <c r="MY14" i="32"/>
  <c r="MY15" i="32"/>
  <c r="NA25" i="32" l="1"/>
  <c r="MY33" i="32" l="1"/>
  <c r="NG2" i="32"/>
  <c r="MY16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MG48" i="32" l="1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<sst xmlns="http://schemas.openxmlformats.org/spreadsheetml/2006/main" count="8762" uniqueCount="3590">
  <si>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</si>
  <si>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</si>
  <si>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</si>
  <si>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</si>
  <si>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</si>
  <si>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</si>
  <si>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</si>
  <si>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</si>
  <si>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</si>
  <si>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</si>
  <si>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</si>
  <si>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</si>
  <si>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</si>
  <si>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</si>
  <si>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</si>
  <si>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</si>
  <si>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</si>
  <si>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</si>
  <si>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</si>
  <si>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</si>
  <si>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</si>
  <si>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</si>
  <si>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</si>
  <si>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</si>
  <si>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</si>
  <si>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</si>
  <si>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</si>
  <si>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</si>
  <si>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</si>
  <si>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</si>
  <si>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</si>
  <si>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</si>
  <si>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</si>
  <si>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</si>
  <si>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</si>
  <si>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</si>
  <si>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</si>
  <si>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</si>
  <si>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</si>
  <si>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</si>
  <si>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</si>
  <si>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</si>
  <si>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</si>
  <si>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</si>
  <si>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</si>
  <si>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</si>
  <si>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</si>
  <si>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</si>
  <si>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</si>
  <si>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</si>
  <si>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</si>
  <si>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</si>
  <si>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</si>
  <si>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</si>
  <si>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</si>
  <si>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</si>
  <si>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</si>
  <si>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</si>
  <si>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</si>
  <si>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</si>
  <si>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</si>
  <si>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</si>
  <si>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</si>
  <si>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</si>
  <si>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</si>
  <si>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</si>
  <si>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</si>
  <si>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</si>
  <si>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</si>
  <si>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</si>
  <si>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</si>
  <si>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</si>
  <si>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</si>
  <si>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</si>
  <si>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</si>
  <si>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</si>
  <si>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</si>
  <si>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</si>
  <si>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</si>
  <si>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</si>
  <si>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</si>
  <si>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</si>
  <si>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</si>
  <si>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</si>
  <si>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</si>
  <si>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</si>
  <si>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</si>
  <si>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</si>
  <si>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</si>
  <si>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</si>
  <si>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</si>
  <si>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</si>
  <si>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</si>
  <si>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</si>
  <si>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</si>
  <si>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</si>
  <si>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</si>
  <si>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</si>
  <si>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</si>
  <si>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</si>
  <si>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</si>
  <si>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</si>
  <si>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</si>
  <si>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</si>
  <si>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</si>
  <si>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</si>
  <si>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</si>
  <si>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</si>
  <si>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</si>
  <si>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</si>
  <si>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</si>
  <si>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</si>
  <si>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</si>
  <si>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</si>
  <si>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</si>
  <si>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</si>
  <si>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</si>
  <si>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</si>
  <si>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</si>
  <si>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</si>
  <si>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</si>
  <si>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</si>
  <si>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</si>
  <si>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</si>
  <si>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</si>
  <si>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</si>
  <si>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</si>
  <si>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</si>
  <si>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</si>
  <si>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</si>
  <si>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</si>
  <si>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</si>
  <si>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</si>
  <si>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</si>
  <si>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</si>
  <si>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</si>
  <si>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</si>
  <si>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</si>
  <si>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</si>
  <si>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</si>
  <si>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</si>
  <si>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</si>
  <si>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</si>
  <si>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</si>
  <si>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</si>
  <si>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</si>
  <si>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</si>
  <si>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</si>
  <si>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</si>
  <si>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</si>
  <si>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</si>
  <si>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</si>
  <si>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</si>
  <si>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</si>
  <si>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</si>
  <si>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</si>
  <si>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</si>
  <si>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</si>
  <si>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</si>
  <si>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</si>
  <si>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</si>
  <si>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</si>
  <si>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</si>
  <si>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</si>
  <si>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</si>
  <si>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</si>
  <si>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</si>
  <si>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</si>
  <si>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</si>
  <si>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</si>
  <si>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</si>
  <si>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</si>
  <si>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</si>
  <si>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</si>
  <si>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</si>
  <si>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</si>
  <si>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</si>
  <si>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</si>
  <si>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</si>
  <si>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</si>
  <si>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</si>
  <si>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</si>
  <si>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</si>
  <si>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</si>
  <si>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</si>
  <si>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</si>
  <si>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</si>
  <si>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</si>
  <si>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</si>
  <si>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</si>
  <si>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</si>
  <si>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</si>
  <si>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</si>
  <si>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</si>
  <si>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</si>
  <si>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</si>
  <si>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</si>
  <si>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</si>
  <si>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</si>
  <si>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</si>
  <si>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</si>
  <si>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</si>
  <si>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</si>
  <si>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</si>
  <si>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</si>
  <si>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</si>
  <si>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</si>
  <si>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</si>
  <si>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</si>
  <si>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</si>
  <si>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</si>
  <si>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</si>
  <si>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</si>
  <si>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</si>
  <si>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</si>
  <si>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</si>
  <si>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</si>
  <si>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</si>
  <si>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</si>
  <si>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</si>
  <si>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</si>
  <si>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</si>
  <si>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</si>
  <si>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</si>
  <si>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</si>
  <si>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</si>
  <si>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</si>
  <si>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</si>
  <si>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</si>
  <si>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</si>
  <si>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</si>
  <si>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</si>
  <si>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</si>
  <si>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</si>
  <si>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</si>
  <si>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</si>
  <si>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</si>
  <si>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</si>
  <si>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</si>
  <si>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</si>
  <si>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</si>
  <si>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</si>
  <si>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</si>
  <si>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</si>
  <si>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</si>
  <si>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</si>
  <si>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</si>
  <si>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</si>
  <si>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</si>
  <si>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</si>
  <si>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</si>
  <si>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</si>
  <si>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</si>
  <si>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</si>
  <si>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</si>
  <si>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</si>
  <si>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</si>
  <si>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</si>
  <si>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</si>
  <si>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</si>
  <si>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</si>
  <si>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</si>
  <si>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</si>
  <si>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</si>
  <si>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</si>
  <si>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</si>
  <si>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</si>
  <si>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</si>
  <si>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</si>
  <si>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</si>
  <si>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</si>
  <si>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</si>
  <si>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</si>
  <si>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</si>
  <si>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</si>
  <si>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</si>
  <si>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</si>
  <si>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</si>
  <si>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</si>
  <si>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</si>
  <si>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</si>
  <si>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</si>
  <si>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</si>
  <si>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</si>
  <si>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</si>
  <si>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</si>
  <si>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</si>
  <si>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</si>
  <si>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</si>
  <si>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</si>
  <si>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</si>
  <si>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</si>
  <si>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</si>
  <si>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</si>
  <si>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</si>
  <si>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</si>
  <si>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</si>
  <si>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</si>
  <si>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</si>
  <si>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</si>
  <si>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</si>
  <si>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</si>
  <si>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</si>
  <si>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</si>
  <si>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</si>
  <si>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</si>
  <si>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</si>
  <si>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</si>
  <si>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</si>
  <si>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</si>
  <si>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</si>
  <si>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</si>
  <si>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</si>
  <si>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</si>
  <si>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</si>
  <si>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</si>
  <si>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</si>
  <si>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</si>
  <si>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</si>
  <si>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</si>
  <si>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</si>
  <si>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</si>
  <si>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</si>
  <si>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</si>
  <si>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</si>
  <si>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</si>
  <si>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</si>
  <si>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</si>
  <si>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</si>
  <si>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</si>
  <si>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</si>
  <si>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</si>
  <si>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</si>
  <si>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</si>
  <si>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</si>
  <si>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</si>
  <si>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</si>
  <si>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</si>
  <si>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</si>
  <si>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</si>
  <si>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</si>
  <si>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</si>
  <si>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</si>
  <si>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</si>
  <si>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</si>
  <si>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</si>
  <si>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</si>
  <si>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</si>
  <si>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</si>
  <si>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</si>
  <si>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</si>
  <si>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</si>
  <si>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</si>
  <si>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</si>
  <si>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</si>
  <si>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</si>
  <si>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</si>
  <si>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</si>
  <si>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</si>
  <si>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</si>
  <si>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</si>
  <si>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</si>
  <si>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</si>
  <si>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</si>
  <si>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</si>
  <si>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</si>
  <si>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</si>
  <si>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</si>
  <si>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</si>
  <si>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</si>
  <si>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</si>
  <si>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</si>
  <si>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</si>
  <si>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</si>
  <si>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</si>
  <si>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</si>
  <si>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</si>
  <si>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</si>
  <si>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</si>
  <si>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</si>
  <si>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</si>
  <si>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</si>
  <si>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</si>
  <si>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</si>
  <si>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</si>
  <si>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</si>
  <si>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</si>
  <si>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</si>
  <si>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</si>
  <si>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</si>
  <si>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</si>
  <si>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</si>
  <si>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</si>
  <si>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</si>
  <si>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</si>
  <si>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</si>
  <si>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</si>
  <si>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</si>
  <si>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</si>
  <si>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</si>
  <si>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</si>
  <si>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</si>
  <si>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</si>
  <si>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</si>
  <si>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</si>
  <si>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</si>
  <si>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</si>
  <si>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</si>
  <si>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</si>
  <si>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</si>
  <si>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</si>
  <si>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</si>
  <si>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</si>
  <si>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</si>
  <si>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</si>
  <si>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</si>
  <si>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</si>
  <si>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</si>
  <si>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</si>
  <si>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</si>
  <si>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</si>
  <si>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</si>
  <si>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</si>
  <si>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</si>
  <si>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</si>
  <si>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</si>
  <si>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</si>
  <si>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</si>
  <si>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</si>
  <si>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</si>
  <si>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</si>
  <si>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</si>
  <si>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</si>
  <si>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</si>
  <si>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</si>
  <si>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</si>
  <si>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</si>
  <si>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</si>
  <si>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</si>
  <si>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</si>
  <si>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</si>
  <si>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</si>
  <si>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</si>
  <si>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</si>
  <si>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</si>
  <si>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</si>
  <si>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</si>
  <si>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</si>
  <si>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</si>
  <si>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</si>
  <si>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</si>
  <si>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</si>
  <si>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</si>
  <si>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</si>
  <si>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</si>
  <si>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</si>
  <si>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</si>
  <si>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</si>
  <si>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</si>
  <si>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</si>
  <si>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</si>
  <si>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</si>
  <si>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</si>
  <si>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</si>
  <si>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</si>
  <si>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</si>
  <si>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</si>
  <si>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</si>
  <si>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</si>
  <si>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</si>
  <si>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</si>
  <si>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</si>
  <si>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</si>
  <si>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</si>
  <si>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</si>
  <si>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</si>
  <si>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</si>
  <si>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</si>
  <si>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</si>
  <si>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</si>
  <si>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</si>
  <si>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</si>
  <si>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</si>
  <si>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</si>
  <si>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</si>
  <si>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</si>
  <si>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</si>
  <si>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</si>
  <si>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</si>
  <si>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</si>
  <si>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</si>
  <si>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</si>
  <si>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</si>
  <si>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</si>
  <si>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</si>
  <si>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</si>
  <si>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</si>
  <si>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</si>
  <si>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</si>
  <si>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</si>
  <si>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</si>
  <si>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</si>
  <si>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</si>
  <si>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</si>
  <si>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</si>
  <si>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</si>
  <si>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</si>
  <si>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</si>
  <si>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</si>
  <si>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</si>
  <si>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</si>
  <si>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</si>
  <si>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</si>
  <si>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</si>
  <si>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</si>
  <si>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</si>
  <si>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</si>
  <si>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</si>
  <si>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</si>
  <si>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</si>
  <si>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</si>
  <si>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</si>
  <si>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</si>
  <si>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</si>
  <si>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</si>
  <si>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</si>
  <si>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</si>
  <si>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</si>
  <si>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</si>
  <si>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</si>
  <si>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</si>
  <si>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</si>
  <si>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</si>
  <si>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</si>
  <si>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</si>
  <si>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</si>
  <si>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</si>
  <si>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</si>
  <si>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</si>
  <si>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</si>
  <si>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</si>
  <si>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</si>
  <si>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</si>
  <si>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</si>
  <si>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</si>
  <si>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</si>
  <si>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</si>
  <si>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</si>
  <si>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</si>
  <si>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</si>
  <si>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</si>
  <si>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</si>
  <si>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</si>
  <si>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</si>
  <si>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</si>
  <si>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</si>
  <si>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</si>
  <si>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</si>
  <si>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</si>
  <si>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</si>
  <si>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</si>
  <si>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</si>
  <si>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</si>
  <si>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</si>
  <si>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</si>
  <si>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</si>
  <si>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</si>
  <si>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</si>
  <si>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</si>
  <si>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</si>
  <si>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</si>
  <si>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</si>
  <si>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</si>
  <si>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</si>
  <si>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</si>
  <si>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</si>
  <si>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</si>
  <si>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</si>
  <si>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</si>
  <si>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</si>
  <si>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</si>
  <si>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</si>
  <si>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</si>
  <si>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</si>
  <si>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</si>
  <si>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</si>
  <si>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</si>
  <si>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</si>
  <si>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</si>
  <si>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</si>
  <si>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</si>
  <si>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</si>
  <si>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</si>
  <si>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</si>
  <si>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</si>
  <si>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</si>
  <si>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</si>
  <si>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</si>
  <si>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</si>
  <si>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</si>
  <si>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</si>
  <si>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</si>
  <si>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</si>
  <si>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</si>
  <si>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</si>
  <si>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</si>
  <si>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</si>
  <si>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</si>
  <si>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</si>
  <si>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</si>
  <si>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</si>
  <si>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</si>
  <si>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</si>
  <si>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</si>
  <si>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</si>
  <si>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</si>
  <si>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</si>
  <si>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</si>
  <si>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</si>
  <si>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</si>
  <si>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</si>
  <si>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</si>
  <si>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</si>
  <si>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</si>
  <si>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</si>
  <si>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</si>
  <si>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</si>
  <si>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</si>
  <si>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</si>
  <si>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</si>
  <si>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</si>
  <si>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</si>
  <si>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</si>
  <si>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</si>
  <si>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</si>
  <si>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</si>
  <si>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</si>
  <si>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</si>
  <si>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</si>
  <si>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</si>
  <si>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</si>
  <si>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</si>
  <si>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</si>
  <si>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</si>
  <si>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</si>
  <si>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</si>
  <si>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</si>
  <si>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</si>
  <si>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</si>
  <si>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</si>
  <si>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</si>
  <si>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</si>
  <si>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</si>
  <si>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</si>
  <si>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</si>
  <si>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</si>
  <si>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</si>
  <si>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</si>
  <si>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</si>
  <si>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</si>
  <si>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</si>
  <si>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</si>
  <si>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</si>
  <si>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</si>
  <si>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</si>
  <si>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</si>
  <si>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</si>
  <si>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</si>
  <si>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</si>
  <si>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</si>
  <si>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</si>
  <si>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</si>
  <si>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</si>
  <si>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</si>
  <si>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</si>
  <si>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</si>
  <si>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</si>
  <si>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</si>
  <si>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</si>
  <si>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</si>
  <si>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</si>
  <si>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</si>
  <si>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</si>
  <si>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</si>
  <si>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</si>
  <si>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</si>
  <si>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</si>
  <si>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</si>
  <si>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</si>
  <si>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</si>
  <si>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</si>
  <si>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</si>
  <si>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</si>
  <si>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</si>
  <si>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</si>
  <si>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</si>
  <si>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</si>
  <si>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</si>
  <si>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</si>
  <si>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</si>
  <si>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</si>
  <si>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</si>
  <si>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</si>
  <si>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</si>
  <si>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</si>
  <si>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</si>
  <si>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</si>
  <si>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</si>
  <si>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</si>
  <si>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</si>
  <si>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</si>
  <si>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</si>
  <si>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</si>
  <si>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</si>
  <si>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</si>
  <si>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</si>
  <si>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</si>
  <si>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</si>
  <si>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</si>
  <si>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</si>
  <si>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</si>
  <si>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</si>
  <si>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</si>
  <si>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</si>
  <si>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</si>
  <si>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</si>
  <si>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</si>
  <si>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</si>
  <si>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</si>
  <si>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</si>
  <si>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</si>
  <si>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</si>
  <si>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</si>
  <si>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</si>
  <si>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</si>
  <si>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</si>
  <si>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</si>
  <si>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</si>
  <si>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</si>
  <si>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</si>
  <si>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</si>
  <si>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</si>
  <si>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</si>
  <si>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</si>
  <si>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</si>
  <si>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</si>
  <si>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</si>
  <si>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</si>
  <si>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</si>
  <si>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</si>
  <si>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</si>
  <si>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</si>
  <si>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</si>
  <si>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</si>
  <si>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</si>
  <si>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</si>
  <si>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</si>
  <si>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</si>
  <si>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</si>
  <si>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</si>
  <si>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</si>
  <si>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</si>
  <si>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</si>
  <si>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</si>
  <si>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</si>
  <si>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</si>
  <si>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</si>
  <si>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</si>
  <si>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</si>
  <si>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</si>
  <si>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</si>
  <si>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</si>
  <si>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</si>
  <si>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</si>
  <si>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</si>
  <si>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</si>
  <si>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</si>
  <si>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</si>
  <si>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</si>
  <si>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</si>
  <si>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</si>
  <si>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</si>
  <si>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</si>
  <si>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</si>
  <si>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</si>
  <si>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</si>
  <si>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</si>
  <si>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</si>
  <si>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</si>
  <si>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</si>
  <si>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</si>
  <si>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</si>
  <si>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</si>
  <si>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</si>
  <si>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</si>
  <si>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</si>
  <si>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</si>
  <si>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</si>
  <si>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</si>
  <si>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</si>
  <si>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</si>
  <si>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</si>
  <si>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</si>
  <si>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</si>
  <si>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</si>
  <si>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</si>
  <si>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</si>
  <si>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</si>
  <si>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</si>
  <si>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</si>
  <si>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</si>
  <si>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</si>
  <si>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</si>
  <si>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</si>
  <si>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</si>
  <si>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</si>
  <si>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</si>
  <si>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</si>
  <si>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</si>
  <si>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</si>
  <si>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</si>
  <si>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</si>
  <si>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</si>
  <si>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</si>
  <si>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</si>
  <si>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</si>
  <si>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</si>
  <si>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</si>
  <si>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</si>
  <si>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</si>
  <si>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</si>
  <si>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</si>
  <si>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</si>
  <si>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</si>
  <si>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</si>
  <si>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</si>
  <si>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</si>
  <si>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</si>
  <si>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</si>
  <si>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</si>
  <si>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</si>
  <si>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</si>
  <si>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</si>
  <si>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</si>
  <si>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</si>
  <si>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</si>
  <si>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</si>
  <si>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</si>
  <si>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</si>
  <si>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</si>
  <si>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</si>
  <si>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</si>
  <si>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</si>
  <si>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</si>
  <si>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</si>
  <si>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</si>
  <si>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</si>
  <si>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</si>
  <si>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</si>
  <si>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</si>
  <si>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</si>
  <si>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</si>
  <si>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</si>
  <si>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</si>
  <si>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</si>
  <si>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</si>
  <si>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</si>
  <si>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</si>
  <si>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</si>
  <si>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</si>
  <si>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</si>
  <si>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</si>
  <si>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</si>
  <si>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</si>
  <si>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</si>
  <si>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</si>
  <si>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</si>
  <si>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</si>
  <si>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</si>
  <si>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</si>
  <si>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</si>
  <si>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</si>
  <si>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</si>
  <si>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</si>
  <si>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</si>
  <si>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</si>
  <si>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</si>
  <si>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</si>
  <si>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</si>
  <si>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</si>
  <si>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</si>
  <si>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</si>
  <si>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</si>
  <si>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</si>
  <si>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</si>
  <si>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</si>
  <si>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</si>
  <si>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</si>
  <si>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</si>
  <si>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</si>
  <si>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</si>
  <si>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</si>
  <si>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</si>
  <si>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</si>
  <si>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</si>
  <si>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</si>
  <si>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</si>
  <si>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</si>
  <si>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</si>
  <si>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</si>
  <si>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</si>
  <si>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</si>
  <si>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</si>
  <si>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</si>
  <si>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</si>
  <si>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</si>
  <si>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</si>
  <si>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</si>
  <si>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</si>
  <si>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</si>
  <si>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</si>
  <si>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</si>
  <si>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</si>
  <si>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</si>
  <si>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</si>
  <si>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</si>
  <si>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</si>
  <si>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</si>
  <si>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</si>
  <si>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</si>
  <si>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</si>
  <si>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</si>
  <si>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</si>
  <si>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</si>
  <si>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</si>
  <si>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</si>
  <si>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</si>
  <si>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</si>
  <si>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</si>
  <si>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</si>
  <si>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</si>
  <si>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</si>
  <si>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</si>
  <si>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</si>
  <si>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</si>
  <si>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</si>
  <si>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</si>
  <si>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</si>
  <si>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</si>
  <si>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</si>
  <si>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</si>
  <si>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</si>
  <si>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</si>
  <si>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</si>
  <si>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</si>
  <si>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</si>
  <si>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</si>
  <si>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</si>
  <si>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</si>
  <si>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</si>
  <si>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</si>
  <si>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</si>
  <si>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</si>
  <si>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</si>
  <si>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</si>
  <si>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</si>
  <si>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</si>
  <si>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</si>
  <si>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</si>
  <si>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</si>
  <si>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</si>
  <si>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</si>
  <si>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</si>
  <si>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</si>
  <si>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</si>
  <si>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</si>
  <si>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</si>
  <si>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</si>
  <si>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</si>
  <si>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</si>
  <si>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</si>
  <si>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</si>
  <si>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</si>
  <si>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</si>
  <si>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</si>
  <si>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</si>
  <si>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</si>
  <si>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</si>
  <si>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</si>
  <si>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</si>
  <si>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</si>
  <si>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</si>
  <si>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</si>
  <si>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</si>
  <si>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</si>
  <si>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</si>
  <si>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</si>
  <si>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</si>
  <si>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</si>
  <si>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</si>
  <si>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</si>
  <si>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</si>
  <si>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</si>
  <si>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</si>
  <si>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</si>
  <si>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</si>
  <si>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</si>
  <si>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</si>
  <si>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</si>
  <si>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</si>
  <si>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</si>
  <si>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</si>
  <si>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</si>
  <si>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</si>
  <si>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</si>
  <si>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</si>
  <si>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</si>
  <si>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</si>
  <si>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</si>
  <si>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</si>
  <si>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</si>
  <si>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</si>
  <si>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</si>
  <si>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</si>
  <si>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</si>
  <si>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</si>
  <si>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</si>
  <si>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</si>
  <si>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</si>
  <si>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</si>
  <si>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</si>
  <si>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</si>
  <si>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</si>
  <si>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</si>
  <si>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</si>
  <si>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</si>
  <si>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</si>
  <si>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</si>
  <si>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</si>
  <si>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</si>
  <si>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</si>
  <si>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</si>
  <si>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</si>
  <si>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</si>
  <si>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</si>
  <si>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</si>
  <si>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</si>
  <si>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</si>
  <si>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</si>
  <si>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</si>
  <si>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</si>
  <si>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</si>
  <si>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</si>
  <si>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</si>
  <si>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</si>
  <si>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</si>
  <si>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</si>
  <si>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</si>
  <si>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</si>
  <si>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</si>
  <si>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</si>
  <si>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</si>
  <si>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</si>
  <si>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</si>
  <si>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</si>
  <si>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</si>
  <si>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</si>
  <si>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</si>
  <si>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</si>
  <si>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</si>
  <si>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</si>
  <si>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</si>
  <si>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</si>
  <si>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</si>
  <si>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</si>
  <si>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</si>
  <si>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</si>
  <si>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</si>
  <si>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</si>
  <si>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</si>
  <si>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</si>
  <si>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</si>
  <si>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</si>
  <si>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</si>
  <si>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</si>
  <si>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</si>
  <si>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</si>
  <si>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</si>
  <si>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</si>
  <si>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</si>
  <si>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</si>
  <si>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</si>
  <si>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</si>
  <si>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</si>
  <si>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</si>
  <si>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</si>
  <si>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</si>
  <si>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</si>
  <si>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</si>
  <si>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</si>
  <si>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</si>
  <si>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</si>
  <si>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</si>
  <si>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</si>
  <si>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</si>
  <si>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</si>
  <si>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</si>
  <si>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</si>
  <si>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</si>
  <si>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</si>
  <si>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</si>
  <si>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</si>
  <si>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</si>
  <si>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</si>
  <si>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</si>
  <si>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</si>
  <si>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</si>
  <si>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</si>
  <si>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</si>
  <si>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</si>
  <si>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</si>
  <si>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</si>
  <si>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</si>
  <si>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</si>
  <si>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</si>
  <si>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</si>
  <si>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</si>
  <si>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</si>
  <si>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</si>
  <si>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</si>
  <si>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</si>
  <si>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</si>
  <si>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</si>
  <si>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</si>
  <si>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</si>
  <si>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</si>
  <si>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</si>
  <si>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</si>
  <si>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</si>
  <si>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</si>
  <si>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</si>
  <si>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</si>
  <si>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</si>
  <si>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</si>
  <si>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</si>
  <si>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</si>
  <si>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</si>
  <si>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</si>
  <si>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</si>
  <si>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</si>
  <si>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</si>
  <si>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</si>
  <si>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</si>
  <si>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</si>
  <si>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</si>
  <si>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</si>
  <si>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</si>
  <si>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</si>
  <si>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</si>
  <si>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</si>
  <si>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</si>
  <si>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</si>
  <si>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</si>
  <si>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</si>
  <si>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</si>
  <si>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</si>
  <si>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</si>
  <si>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</si>
  <si>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</si>
  <si>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</si>
  <si>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</si>
  <si>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</si>
  <si>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</si>
  <si>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</si>
  <si>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</si>
  <si>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</si>
  <si>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</si>
  <si>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</si>
  <si>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</si>
  <si>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</si>
  <si>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</si>
  <si>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</si>
  <si>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</si>
  <si>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</si>
  <si>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</si>
  <si>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</si>
  <si>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</si>
  <si>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</si>
  <si>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</si>
  <si>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</si>
  <si>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</si>
  <si>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</si>
  <si>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</si>
  <si>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</si>
  <si>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</si>
  <si>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</si>
  <si>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</si>
  <si>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</si>
  <si>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</si>
  <si>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</si>
  <si>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</si>
  <si>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</si>
  <si>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</si>
  <si>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</si>
  <si>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</si>
  <si>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</si>
  <si>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</si>
  <si>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</si>
  <si>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</si>
  <si>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</si>
  <si>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</si>
  <si>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</si>
  <si>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</si>
  <si>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</si>
  <si>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</si>
  <si>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</si>
  <si>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</si>
  <si>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</si>
  <si>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</si>
  <si>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</si>
  <si>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</si>
  <si>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</si>
  <si>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</si>
  <si>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</si>
  <si>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</si>
  <si>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</si>
  <si>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</si>
  <si>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</si>
  <si>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</si>
  <si>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</si>
  <si>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</si>
  <si>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</si>
  <si>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</si>
  <si>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</si>
  <si>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</si>
  <si>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</si>
  <si>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</si>
  <si>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</si>
  <si>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</si>
  <si>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</si>
  <si>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</si>
  <si>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</si>
  <si>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</si>
  <si>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</si>
  <si>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</si>
  <si>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</si>
  <si>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</si>
  <si>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</si>
  <si>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</si>
  <si>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</si>
  <si>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</si>
  <si>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</si>
  <si>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</si>
  <si>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</si>
  <si>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</si>
  <si>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</si>
  <si>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</si>
  <si>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</si>
  <si>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</si>
  <si>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</si>
  <si>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</si>
  <si>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</si>
  <si>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</si>
  <si>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</si>
  <si>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</si>
  <si>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</si>
  <si>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</si>
  <si>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</si>
  <si>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</si>
  <si>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</si>
  <si>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</si>
  <si>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</si>
  <si>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</si>
  <si>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</si>
  <si>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</si>
  <si>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</si>
  <si>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</si>
  <si>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</si>
  <si>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</si>
  <si>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</si>
  <si>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</si>
  <si>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</si>
  <si>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</si>
  <si>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</si>
  <si>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</si>
  <si>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</si>
  <si>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</si>
  <si>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</si>
  <si>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</si>
  <si>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</si>
  <si>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</si>
  <si>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</si>
  <si>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</si>
  <si>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</si>
  <si>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</si>
  <si>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</si>
  <si>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</si>
  <si>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</si>
  <si>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</si>
  <si>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</si>
  <si>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</si>
  <si>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</si>
  <si>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</si>
  <si>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</si>
  <si>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</si>
  <si>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</si>
  <si>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</si>
  <si>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</si>
  <si>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</si>
  <si>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</si>
  <si>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</si>
  <si>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</si>
  <si>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</si>
  <si>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</si>
  <si>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</si>
  <si>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</si>
  <si>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</si>
  <si>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</si>
  <si>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</si>
  <si>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</si>
  <si>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</si>
  <si>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</si>
  <si>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</si>
  <si>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</si>
  <si>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</si>
  <si>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</si>
  <si>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</si>
  <si>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</si>
  <si>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</si>
  <si>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</si>
  <si>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</si>
  <si>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</si>
  <si>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</si>
  <si>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</si>
  <si>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</si>
  <si>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</si>
  <si>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</si>
  <si>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</si>
  <si>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</si>
  <si>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</si>
  <si>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</si>
  <si>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</si>
  <si>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</si>
  <si>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</si>
  <si>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</si>
  <si>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</si>
  <si>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</si>
  <si>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</si>
  <si>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</si>
  <si>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</si>
  <si>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</si>
  <si>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</si>
  <si>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</si>
  <si>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</si>
  <si>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</si>
  <si>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</si>
  <si>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</si>
  <si>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</si>
  <si>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</si>
  <si>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</si>
  <si>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</si>
  <si>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</si>
  <si>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</si>
  <si>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</si>
  <si>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</si>
  <si>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</si>
  <si>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</si>
  <si>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</si>
  <si>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</si>
  <si>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</si>
  <si>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</si>
  <si>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</si>
  <si>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</si>
  <si>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</si>
  <si>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</si>
  <si>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</si>
  <si>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</si>
  <si>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</si>
  <si>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</si>
  <si>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</si>
  <si>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</si>
  <si>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</si>
  <si>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</si>
  <si>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</si>
  <si>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</si>
  <si>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</si>
  <si>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</si>
  <si>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</si>
  <si>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</si>
  <si>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</si>
  <si>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</si>
  <si>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</si>
  <si>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</si>
  <si>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</si>
  <si>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</si>
  <si>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</si>
  <si>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</si>
  <si>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</si>
  <si>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</si>
  <si>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</si>
  <si>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</si>
  <si>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</si>
  <si>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</si>
  <si>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</si>
  <si>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</si>
  <si>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</si>
  <si>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</si>
  <si>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</si>
  <si>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</si>
  <si>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</si>
  <si>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</si>
  <si>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</si>
  <si>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</si>
  <si>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</si>
  <si>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</si>
  <si>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</si>
  <si>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</si>
  <si>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</si>
  <si>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</si>
  <si>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</si>
  <si>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</si>
  <si>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</si>
  <si>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</si>
  <si>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</si>
  <si>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</si>
  <si>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</si>
  <si>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</si>
  <si>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</si>
  <si>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</si>
  <si>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</si>
  <si>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</si>
  <si>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</si>
  <si>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</si>
  <si>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</si>
  <si>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</si>
  <si>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</si>
  <si>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</si>
  <si>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</si>
  <si>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</si>
  <si>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</si>
  <si>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</si>
  <si>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</si>
  <si>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</si>
  <si>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</si>
  <si>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</si>
  <si>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</si>
  <si>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</si>
  <si>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</si>
  <si>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</si>
  <si>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</si>
  <si>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</si>
  <si>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</si>
  <si>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</si>
  <si>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</si>
  <si>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</si>
  <si>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</si>
  <si>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</si>
  <si>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</si>
  <si>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</si>
  <si>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</si>
  <si>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</si>
  <si>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</si>
  <si>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</si>
  <si>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</si>
  <si>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</si>
  <si>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</si>
  <si>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</si>
  <si>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</si>
  <si>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</si>
  <si>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</si>
  <si>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</si>
  <si>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</si>
  <si>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</si>
  <si>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</si>
  <si>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</si>
  <si>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</si>
  <si>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</si>
  <si>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</si>
  <si>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</si>
  <si>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</si>
  <si>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</si>
  <si>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</si>
  <si>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</si>
  <si>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</si>
  <si>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</si>
  <si>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</si>
  <si>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</si>
  <si>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</si>
  <si>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</si>
  <si>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</si>
  <si>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</si>
  <si>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</si>
  <si>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</si>
  <si>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</si>
  <si>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</si>
  <si>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</si>
  <si>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</si>
  <si>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</si>
  <si>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</si>
  <si>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</si>
  <si>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</si>
  <si>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</si>
  <si>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</si>
  <si>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</si>
  <si>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</si>
  <si>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</si>
  <si>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</si>
  <si>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</si>
  <si>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</si>
  <si>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</si>
  <si>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</si>
  <si>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</si>
  <si>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</si>
  <si>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</si>
  <si>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</si>
  <si>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</si>
  <si>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</si>
  <si>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</si>
  <si>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</si>
  <si>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</si>
  <si>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</si>
  <si>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</si>
  <si>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</si>
  <si>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</si>
  <si>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</si>
  <si>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</si>
  <si>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</si>
  <si>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</si>
  <si>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</si>
  <si>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</si>
  <si>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</si>
  <si>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</si>
  <si>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</si>
  <si>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</si>
  <si>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</si>
  <si>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</si>
  <si>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</si>
  <si>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</si>
  <si>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</si>
  <si>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</si>
  <si>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</si>
  <si>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</si>
  <si>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</si>
  <si>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</si>
  <si>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</si>
  <si>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</si>
  <si>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</si>
  <si>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</si>
  <si>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</si>
  <si>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</si>
  <si>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</si>
  <si>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</si>
  <si>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</si>
  <si>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</si>
  <si>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</si>
  <si>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</si>
  <si>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</si>
  <si>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</si>
  <si>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</si>
  <si>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</si>
  <si>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</si>
  <si>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</si>
  <si>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</si>
  <si>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</si>
  <si>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</si>
  <si>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</si>
  <si>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</si>
  <si>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</si>
  <si>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</si>
  <si>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</si>
  <si>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</si>
  <si>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</si>
  <si>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</si>
  <si>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</si>
  <si>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</si>
  <si>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</si>
  <si>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</si>
  <si>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</si>
  <si>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</si>
  <si>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</si>
  <si>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</si>
  <si>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</si>
  <si>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</si>
  <si>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</si>
  <si>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</si>
  <si>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</si>
  <si>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</si>
  <si>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</si>
  <si>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</si>
  <si>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</si>
  <si>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</si>
  <si>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</si>
  <si>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</si>
  <si>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</si>
  <si>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</si>
  <si>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</si>
  <si>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</si>
  <si>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</si>
  <si>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</si>
  <si>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</si>
  <si>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</si>
  <si>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</si>
  <si>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</si>
  <si>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</si>
  <si>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</si>
  <si>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</si>
  <si>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</si>
  <si>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</si>
  <si>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</si>
  <si>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</si>
  <si>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</si>
  <si>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</si>
  <si>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</si>
  <si>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</si>
  <si>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</si>
  <si>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</si>
  <si>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</si>
  <si>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</si>
  <si>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</si>
  <si>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</si>
  <si>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</si>
  <si>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</si>
  <si>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</si>
  <si>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</si>
  <si>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</si>
  <si>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</si>
  <si>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</si>
  <si>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</si>
  <si>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</si>
  <si>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</si>
  <si>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</si>
  <si>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</si>
  <si>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</si>
  <si>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</si>
  <si>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</si>
  <si>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</si>
  <si>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</si>
  <si>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</si>
  <si>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</si>
  <si>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</si>
  <si>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</si>
  <si>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</si>
  <si>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</si>
  <si>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</si>
  <si>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</si>
  <si>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</si>
  <si>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</si>
  <si>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</si>
  <si>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</si>
  <si>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</si>
  <si>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</si>
  <si>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</si>
  <si>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</si>
  <si>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</si>
  <si>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</si>
  <si>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</si>
  <si>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</si>
  <si>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</si>
  <si>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</si>
  <si>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</si>
  <si>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</si>
  <si>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</si>
  <si>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</si>
  <si>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</si>
  <si>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</si>
  <si>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</si>
  <si>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</si>
  <si>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</si>
  <si>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</si>
  <si>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</si>
  <si>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</si>
  <si>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</si>
  <si>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</si>
  <si>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</si>
  <si>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</si>
  <si>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</si>
  <si>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</si>
  <si>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</si>
  <si>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</si>
  <si>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</si>
  <si>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</si>
  <si>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</si>
  <si>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</si>
  <si>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</si>
  <si>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</si>
  <si>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</si>
  <si>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</si>
  <si>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</si>
  <si>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</si>
  <si>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</si>
  <si>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</si>
  <si>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</si>
  <si>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</si>
  <si>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</si>
  <si>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</si>
  <si>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</si>
  <si>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</si>
  <si>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</si>
  <si>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</si>
  <si>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</si>
  <si>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</si>
  <si>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</si>
  <si>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</si>
  <si>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</si>
  <si>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</si>
  <si>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</si>
  <si>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</si>
  <si>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</si>
  <si>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</si>
  <si>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</si>
  <si>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</si>
  <si>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</si>
  <si>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</si>
  <si>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</si>
  <si>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</si>
  <si>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</si>
  <si>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</si>
  <si>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</si>
  <si>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</si>
  <si>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</si>
  <si>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</si>
  <si>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</si>
  <si>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</si>
  <si>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</si>
  <si>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</si>
  <si>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</si>
  <si>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</si>
  <si>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</si>
  <si>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</si>
  <si>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</si>
  <si>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</si>
  <si>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</si>
  <si>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</si>
  <si>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</si>
  <si>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</si>
  <si>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</si>
  <si>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</si>
  <si>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</si>
  <si>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</si>
  <si>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</si>
  <si>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</si>
  <si>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</si>
  <si>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</si>
  <si>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</si>
  <si>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</si>
  <si>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</si>
  <si>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</si>
  <si>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</si>
  <si>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</si>
  <si>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</si>
  <si>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</si>
  <si>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</si>
  <si>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</si>
  <si>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</si>
  <si>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</si>
  <si>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</si>
  <si>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</si>
  <si>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</si>
  <si>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</si>
  <si>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</si>
  <si>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</si>
  <si>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</si>
  <si>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</si>
  <si>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</si>
  <si>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</si>
  <si>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</si>
  <si>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</si>
  <si>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</si>
  <si>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</si>
  <si>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</si>
  <si>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</si>
  <si>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</si>
  <si>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</si>
  <si>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</si>
  <si>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</si>
  <si>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</si>
  <si>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</si>
  <si>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</si>
  <si>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</si>
  <si>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</si>
  <si>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</si>
  <si>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</si>
  <si>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</si>
  <si>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</si>
  <si>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</si>
  <si>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</si>
  <si>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</si>
  <si>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</si>
  <si>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</si>
  <si>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</si>
  <si>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</si>
  <si>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</si>
  <si>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</si>
  <si>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</si>
  <si>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</si>
  <si>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</si>
  <si>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</si>
  <si>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</si>
  <si>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</si>
  <si>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</si>
  <si>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</si>
  <si>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</si>
  <si>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</si>
  <si>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</si>
  <si>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</si>
  <si>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</si>
  <si>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</si>
  <si>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</si>
  <si>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</si>
  <si>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</si>
  <si>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</si>
  <si>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</si>
  <si>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</si>
  <si>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</si>
  <si>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</si>
  <si>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</si>
  <si>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</si>
  <si>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</si>
  <si>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</si>
  <si>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</si>
  <si>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</si>
  <si>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</si>
  <si>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</si>
  <si>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</si>
  <si>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</si>
  <si>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</si>
  <si>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</si>
  <si>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</si>
  <si>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</si>
  <si>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</si>
  <si>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</si>
  <si>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</si>
  <si>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</si>
  <si>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</si>
  <si>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</si>
  <si>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</si>
  <si>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</si>
  <si>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</si>
  <si>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</si>
  <si>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</si>
  <si>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</si>
  <si>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</si>
  <si>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</si>
  <si>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</si>
  <si>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</si>
  <si>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</si>
  <si>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</si>
  <si>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</si>
  <si>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</si>
  <si>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</si>
  <si>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</si>
  <si>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</si>
  <si>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</si>
  <si>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</si>
  <si>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</si>
  <si>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</si>
  <si>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</si>
  <si>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</si>
  <si>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</si>
  <si>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</si>
  <si>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</si>
  <si>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</si>
  <si>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</si>
  <si>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</si>
  <si>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</si>
  <si>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</si>
  <si>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</si>
  <si>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</si>
  <si>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</si>
  <si>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</si>
  <si>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</si>
  <si>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</si>
  <si>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</si>
  <si>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</si>
  <si>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</si>
  <si>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</si>
  <si>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</si>
  <si>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</si>
  <si>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</si>
  <si>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</si>
  <si>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</si>
  <si>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</si>
  <si>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</si>
  <si>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</si>
  <si>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</si>
  <si>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</si>
  <si>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</si>
  <si>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</si>
  <si>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</si>
  <si>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</si>
  <si>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</si>
  <si>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</si>
  <si>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</si>
  <si>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</si>
  <si>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</si>
  <si>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</si>
  <si>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</si>
  <si>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</si>
  <si>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</si>
  <si>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</si>
  <si>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</si>
  <si>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</si>
  <si>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</si>
  <si>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</si>
  <si>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</si>
  <si>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</si>
  <si>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</si>
  <si>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</si>
  <si>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</si>
  <si>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</si>
  <si>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</si>
  <si>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</si>
  <si>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</si>
  <si>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</si>
  <si>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</si>
  <si>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</si>
  <si>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</si>
  <si>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</si>
  <si>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</si>
  <si>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</si>
  <si>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</si>
  <si>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</si>
  <si>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</si>
  <si>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</si>
  <si>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</si>
  <si>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</si>
  <si>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</si>
  <si>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</si>
  <si>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</si>
  <si>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</si>
  <si>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</si>
  <si>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</si>
  <si>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</si>
  <si>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</si>
  <si>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</si>
  <si>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</si>
  <si>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</si>
  <si>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</si>
  <si>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</si>
  <si>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</si>
  <si>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</si>
  <si>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</si>
  <si>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</si>
  <si>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</si>
  <si>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</si>
  <si>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</si>
  <si>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</si>
  <si>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</si>
  <si>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</si>
  <si>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</si>
  <si>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</si>
  <si>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</si>
  <si>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</si>
  <si>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</si>
  <si>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</si>
  <si>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</si>
  <si>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</si>
  <si>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</si>
  <si>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</si>
  <si>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</si>
  <si>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</si>
  <si>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</si>
  <si>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</si>
  <si>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</si>
  <si>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</si>
  <si>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</si>
  <si>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</si>
  <si>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</si>
  <si>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</si>
  <si>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</si>
  <si>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</si>
  <si>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</si>
  <si>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</si>
  <si>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</si>
  <si>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</si>
  <si>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</si>
  <si>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</si>
  <si>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</si>
  <si>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</si>
  <si>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</si>
  <si>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</si>
  <si>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</si>
  <si>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</si>
  <si>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</si>
  <si>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</si>
  <si>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</si>
  <si>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</si>
  <si>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</si>
  <si>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</si>
  <si>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</si>
  <si>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</si>
  <si>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</si>
  <si>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</si>
  <si>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</si>
  <si>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</si>
  <si>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</si>
  <si>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</si>
  <si>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</si>
  <si>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</si>
  <si>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</si>
  <si>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</si>
  <si>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</si>
  <si>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</si>
  <si>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</si>
  <si>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</si>
  <si>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</si>
  <si>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</si>
  <si>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</si>
  <si>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</si>
  <si>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</si>
  <si>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</si>
  <si>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</si>
  <si>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</si>
  <si>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</si>
  <si>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</si>
  <si>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</si>
  <si>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</si>
  <si>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</si>
  <si>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</si>
  <si>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</si>
  <si>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</si>
  <si>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</si>
  <si>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</si>
  <si>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</si>
  <si>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</si>
  <si>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</si>
  <si>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</si>
  <si>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</si>
  <si>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</si>
  <si>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</si>
  <si>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</si>
  <si>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</si>
  <si>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</si>
  <si>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</si>
  <si>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</si>
  <si>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</si>
  <si>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</si>
  <si>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</si>
  <si>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</si>
  <si>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</si>
  <si>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</si>
  <si>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</si>
  <si>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</si>
  <si>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</si>
  <si>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</si>
  <si>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</si>
  <si>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</si>
  <si>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</si>
  <si>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</si>
  <si>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</si>
  <si>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</si>
  <si>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</si>
  <si>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</si>
  <si>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</si>
  <si>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</si>
  <si>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</si>
  <si>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</si>
  <si>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</si>
  <si>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</si>
  <si>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</si>
  <si>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</si>
  <si>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</si>
  <si>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</si>
  <si>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</si>
  <si>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</si>
  <si>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</si>
  <si>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</si>
  <si>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</si>
  <si>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</si>
  <si>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</si>
  <si>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</si>
  <si>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</si>
  <si>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</si>
  <si>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</si>
  <si>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</si>
  <si>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</si>
  <si>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</si>
  <si>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</si>
  <si>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</si>
  <si>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</si>
  <si>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</si>
  <si>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</si>
  <si>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</si>
  <si>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</si>
  <si>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</si>
  <si>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</si>
  <si>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</si>
  <si>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</si>
  <si>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</si>
  <si>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</si>
  <si>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</si>
  <si>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</si>
  <si>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</si>
  <si>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</si>
  <si>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</si>
  <si>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</si>
  <si>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</si>
  <si>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</si>
  <si>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</si>
  <si>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</si>
  <si>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</si>
  <si>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</si>
  <si>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</si>
  <si>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</si>
  <si>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</si>
  <si>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</si>
  <si>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</si>
  <si>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</si>
  <si>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</si>
  <si>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</si>
  <si>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</si>
  <si>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</si>
  <si>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</si>
  <si>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</si>
  <si>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</si>
  <si>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</si>
  <si>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</si>
  <si>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</si>
  <si>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</si>
  <si>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</si>
  <si>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</si>
  <si>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</si>
  <si>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</si>
  <si>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</si>
  <si>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</si>
  <si>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</si>
  <si>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</si>
  <si>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</si>
  <si>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</si>
  <si>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</si>
  <si>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</si>
  <si>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</si>
  <si>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</si>
  <si>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</si>
  <si>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</si>
  <si>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</si>
  <si>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</si>
  <si>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</si>
  <si>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</si>
  <si>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</si>
  <si>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</si>
  <si>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</si>
  <si>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</si>
  <si>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</si>
  <si>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</si>
  <si>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</si>
  <si>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</si>
  <si>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</si>
  <si>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</si>
  <si>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</si>
  <si>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</si>
  <si>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</si>
  <si>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</si>
  <si>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</si>
  <si>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</si>
  <si>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</si>
  <si>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</si>
  <si>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</si>
  <si>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</si>
  <si>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</si>
  <si>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</si>
  <si>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</si>
  <si>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</si>
  <si>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</si>
  <si>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</si>
  <si>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</si>
  <si>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</si>
  <si>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</si>
  <si>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</si>
  <si>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</si>
  <si>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</si>
  <si>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</si>
  <si>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</si>
  <si>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</si>
  <si>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</si>
  <si>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</si>
  <si>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</si>
  <si>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</si>
  <si>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</si>
  <si>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</si>
  <si>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</si>
  <si>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</si>
  <si>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</si>
  <si>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</si>
  <si>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</si>
  <si>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</si>
  <si>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</si>
  <si>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</si>
  <si>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</si>
  <si>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</si>
  <si>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</si>
  <si>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</si>
  <si>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</si>
  <si>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</si>
  <si>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</si>
  <si>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</si>
  <si>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</si>
  <si>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</si>
  <si>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</si>
  <si>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</si>
  <si>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</si>
  <si>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</si>
  <si>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</si>
  <si>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</si>
  <si>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</si>
  <si>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</si>
  <si>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</si>
  <si>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</si>
  <si>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</si>
  <si>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</si>
  <si>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</si>
  <si>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</si>
  <si>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</si>
  <si>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</si>
  <si>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</si>
  <si>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</si>
  <si>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</si>
  <si>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</si>
  <si>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</si>
  <si>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</si>
  <si>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</si>
  <si>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</si>
  <si>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</si>
  <si>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</si>
  <si>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</si>
  <si>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</si>
  <si>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</si>
  <si>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</si>
  <si>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</si>
  <si>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</si>
  <si>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</si>
  <si>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</si>
  <si>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</si>
  <si>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</si>
  <si>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</si>
  <si>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</si>
  <si>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</si>
  <si>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</si>
  <si>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</si>
  <si>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</si>
  <si>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</si>
  <si>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</si>
  <si>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</si>
  <si>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</si>
  <si>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</si>
  <si>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</si>
  <si>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</si>
  <si>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</si>
  <si>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</si>
  <si>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</si>
  <si>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</si>
  <si>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</si>
  <si>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</si>
  <si>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</si>
  <si>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</si>
  <si>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</si>
  <si>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</si>
  <si>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</si>
  <si>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</si>
  <si>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</si>
  <si>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</si>
  <si>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</si>
  <si>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</si>
  <si>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</si>
  <si>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</si>
  <si>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</si>
  <si>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</si>
  <si>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</si>
  <si>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</si>
  <si>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</si>
  <si>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</si>
  <si>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</si>
  <si>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</si>
  <si>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</si>
  <si>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</si>
  <si>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</si>
  <si>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</si>
  <si>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</si>
  <si>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</si>
  <si>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</si>
  <si>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</si>
  <si>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</si>
  <si>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</si>
  <si>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</si>
  <si>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</si>
  <si>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</si>
  <si>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</si>
  <si>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</si>
  <si>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</si>
  <si>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</si>
  <si>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</si>
  <si>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</si>
  <si>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</si>
  <si>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</si>
  <si>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</si>
  <si>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</si>
  <si>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</si>
  <si>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</si>
  <si>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</si>
  <si>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</si>
  <si>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</si>
  <si>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</si>
  <si>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</si>
  <si>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</si>
  <si>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</si>
  <si>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</si>
  <si>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</si>
  <si>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</si>
  <si>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</si>
  <si>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</si>
  <si>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</si>
  <si>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</si>
  <si>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</si>
  <si>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</si>
  <si>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</si>
  <si>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</si>
  <si>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</si>
  <si>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</si>
  <si>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</si>
  <si>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</si>
  <si>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</si>
  <si>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</si>
  <si>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</si>
  <si>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</si>
  <si>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</si>
  <si>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</si>
  <si>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</si>
  <si>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</si>
  <si>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</si>
  <si>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</si>
  <si>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</si>
  <si>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</si>
  <si>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</si>
  <si>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</si>
  <si>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</si>
  <si>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</si>
  <si>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</si>
  <si>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</si>
  <si>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</si>
  <si>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</si>
  <si>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</si>
  <si>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</si>
  <si>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</si>
  <si>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</si>
  <si>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</si>
  <si>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</si>
  <si>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</si>
  <si>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</si>
  <si>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</si>
  <si>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</si>
  <si>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</si>
  <si>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</si>
  <si>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</si>
  <si>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</si>
  <si>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</si>
  <si>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</si>
  <si>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</si>
  <si>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</si>
  <si>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</si>
  <si>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</si>
  <si>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</si>
  <si>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</si>
  <si>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</si>
  <si>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</si>
  <si>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</si>
  <si>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</si>
  <si>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</si>
  <si>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</si>
  <si>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</si>
  <si>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</si>
  <si>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</si>
  <si>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</si>
  <si>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</si>
  <si>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</si>
  <si>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</si>
  <si>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</si>
  <si>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</si>
  <si>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</si>
  <si>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</si>
  <si>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</si>
  <si>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</si>
  <si>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</si>
  <si>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</si>
  <si>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</si>
  <si>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</si>
  <si>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</si>
  <si>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</si>
  <si>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</si>
  <si>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</si>
  <si>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</si>
  <si>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</si>
  <si>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</si>
  <si>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</si>
  <si>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</si>
  <si>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</si>
  <si>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</si>
  <si>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</si>
  <si>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</si>
  <si>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</si>
  <si>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</si>
  <si>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</si>
  <si>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</si>
  <si>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</si>
  <si>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</si>
  <si>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</si>
  <si>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</si>
  <si>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</si>
  <si>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</si>
  <si>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</si>
  <si>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</si>
  <si>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</si>
  <si>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</si>
  <si>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</si>
  <si>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</si>
  <si>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</si>
  <si>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</si>
  <si>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</si>
  <si>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</si>
  <si>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</si>
  <si>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</si>
  <si>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</si>
  <si>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</si>
  <si>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</si>
  <si>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</si>
  <si>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</si>
  <si>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</si>
  <si>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</si>
  <si>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</si>
  <si>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</si>
  <si>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</si>
  <si>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</si>
  <si>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</si>
  <si>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</si>
  <si>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</si>
  <si>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</si>
  <si>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</si>
  <si>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</si>
  <si>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</si>
  <si>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</si>
  <si>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</si>
  <si>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</si>
  <si>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</si>
  <si>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</si>
  <si>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</si>
  <si>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</si>
  <si>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</si>
  <si>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</si>
  <si>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</si>
  <si>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</si>
  <si>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</si>
  <si>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</si>
  <si>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</si>
  <si>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</si>
  <si>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</si>
  <si>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</si>
  <si>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</si>
  <si>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</si>
  <si>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</si>
  <si>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</si>
  <si>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</si>
  <si>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</si>
  <si>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</si>
  <si>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</si>
  <si>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</si>
  <si>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</si>
  <si>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</si>
  <si>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</si>
  <si>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</si>
  <si>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</si>
  <si>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</si>
  <si>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</si>
  <si>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</si>
  <si>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</si>
  <si>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</si>
  <si>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</si>
  <si>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</si>
  <si>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</si>
  <si>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</si>
  <si>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</si>
  <si>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</si>
  <si>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</si>
  <si>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</si>
  <si>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</si>
  <si>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</si>
  <si>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</si>
  <si>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</si>
  <si>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</si>
  <si>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</si>
  <si>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</si>
  <si>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</si>
  <si>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</si>
  <si>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</si>
  <si>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</si>
  <si>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</si>
  <si>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</si>
  <si>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</si>
  <si>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</si>
  <si>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</si>
  <si>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</si>
  <si>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</si>
  <si>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</si>
  <si>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</si>
  <si>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</si>
  <si>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</si>
  <si>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</si>
  <si>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</si>
  <si>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</si>
  <si>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</si>
  <si>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</si>
  <si>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</si>
  <si>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</si>
  <si>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</si>
  <si>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</si>
  <si>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</si>
  <si>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</si>
  <si>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</si>
  <si>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</si>
  <si>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</si>
  <si>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</si>
  <si>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</si>
  <si>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</si>
  <si>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</si>
  <si>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</si>
  <si>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</si>
  <si>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</si>
  <si>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</si>
  <si>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</si>
  <si>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</si>
  <si>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</si>
  <si>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</si>
  <si>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</si>
  <si>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</si>
  <si>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</si>
  <si>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</si>
  <si>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</si>
  <si>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</si>
  <si>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</si>
  <si>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</si>
  <si>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</si>
  <si>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</si>
  <si>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</si>
  <si>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</si>
  <si>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</si>
  <si>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</si>
  <si>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</si>
  <si>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</si>
  <si>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</si>
  <si>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</si>
  <si>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</si>
  <si>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</si>
  <si>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</si>
  <si>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</si>
  <si>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</si>
  <si>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</si>
  <si>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</si>
  <si>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</si>
  <si>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</si>
  <si>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</si>
  <si>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</si>
  <si>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</si>
  <si>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</si>
  <si>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</si>
  <si>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</si>
  <si>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</si>
  <si>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</si>
  <si>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</si>
  <si>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</si>
  <si>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</si>
  <si>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</si>
  <si>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</si>
  <si>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</si>
  <si>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</si>
  <si>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</si>
  <si>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</si>
  <si>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</si>
  <si>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</si>
  <si>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</si>
  <si>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</si>
  <si>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</si>
  <si>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</si>
  <si>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</si>
  <si>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</si>
  <si>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</si>
  <si>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</si>
  <si>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</si>
  <si>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</si>
  <si>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</si>
  <si>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</si>
  <si>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</si>
  <si>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</si>
  <si>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</si>
  <si>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</si>
  <si>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</si>
  <si>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</si>
  <si>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</si>
  <si>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</si>
  <si>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</si>
  <si>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</si>
  <si>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</si>
  <si>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</si>
  <si>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</si>
  <si>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</si>
  <si>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</si>
  <si>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</si>
  <si>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</si>
  <si>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</si>
  <si>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</si>
  <si>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</si>
  <si>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</si>
  <si>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</si>
  <si>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</si>
  <si>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</si>
  <si>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</si>
  <si>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</si>
  <si>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</si>
  <si>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</si>
  <si>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</si>
  <si>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</si>
  <si>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</si>
  <si>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</si>
  <si>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</si>
  <si>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</si>
  <si>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</si>
  <si>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</si>
  <si>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</si>
  <si>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</si>
  <si>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</si>
  <si>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</si>
  <si>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</si>
  <si>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</si>
  <si>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</si>
  <si>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</si>
  <si>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</si>
  <si>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</si>
  <si>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</si>
  <si>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</si>
  <si>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</si>
  <si>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</si>
  <si>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</si>
  <si>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</si>
  <si>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</si>
  <si>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</si>
  <si>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</si>
  <si>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</si>
  <si>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</si>
  <si>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</si>
  <si>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</si>
  <si>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</si>
  <si>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</si>
  <si>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</si>
  <si>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</si>
  <si>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</si>
  <si>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</si>
  <si>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</si>
  <si>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</si>
  <si>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</si>
  <si>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</si>
  <si>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</si>
  <si>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</si>
  <si>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</si>
  <si>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</si>
  <si>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</si>
  <si>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</si>
  <si>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</si>
  <si>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</si>
  <si>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</si>
  <si>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</si>
  <si>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</si>
  <si>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</si>
  <si>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</si>
  <si>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</si>
  <si>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</si>
  <si>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</si>
  <si>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</si>
  <si>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</si>
  <si>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</si>
  <si>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</si>
  <si>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</si>
  <si>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</si>
  <si>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</si>
  <si>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</si>
  <si>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</si>
  <si>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</si>
  <si>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</si>
  <si>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</si>
  <si>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</si>
  <si>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</si>
  <si>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</si>
  <si>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</si>
  <si>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</si>
  <si>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</si>
  <si>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</si>
  <si>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</si>
  <si>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</si>
  <si>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</si>
  <si>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</si>
  <si>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</si>
  <si>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</si>
  <si>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</si>
  <si>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</si>
  <si>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</si>
  <si>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</si>
  <si>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</si>
  <si>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</si>
  <si>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</si>
  <si>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</si>
  <si>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</si>
  <si>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</si>
  <si>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</si>
  <si>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</si>
  <si>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</si>
  <si>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</si>
  <si>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</si>
  <si>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</si>
  <si>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</si>
  <si>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</si>
  <si>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</si>
  <si>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</si>
  <si>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</si>
  <si>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</si>
  <si>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</si>
  <si>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</si>
  <si>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</si>
  <si>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</si>
  <si>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</si>
  <si>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</si>
  <si>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</si>
  <si>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</si>
  <si>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</si>
  <si>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</si>
  <si>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</si>
  <si>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</si>
  <si>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</si>
  <si>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</si>
  <si>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</si>
  <si>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</si>
  <si>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</si>
  <si>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</si>
  <si>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</si>
  <si>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</si>
  <si>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</si>
  <si>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</si>
  <si>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</si>
  <si>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</si>
  <si>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</si>
  <si>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</si>
  <si>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</si>
  <si>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</si>
  <si>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</si>
  <si>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</si>
  <si>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</si>
  <si>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</si>
  <si>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</si>
  <si>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</si>
  <si>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</si>
  <si>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</si>
  <si>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</si>
  <si>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</si>
  <si>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</si>
  <si>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</si>
  <si>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</si>
  <si>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</si>
  <si>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</si>
  <si>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</si>
  <si>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</si>
  <si>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</si>
  <si>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</si>
  <si>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</si>
  <si>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</si>
  <si>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</si>
  <si>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</si>
  <si>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</si>
  <si>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</si>
  <si>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</si>
  <si>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</si>
  <si>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</si>
  <si>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</si>
  <si>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</si>
  <si>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</si>
  <si>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</si>
  <si>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</si>
  <si>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</si>
  <si>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</si>
  <si>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</si>
  <si>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</si>
  <si>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</si>
  <si>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</si>
  <si>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</si>
  <si>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</si>
  <si>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</si>
  <si>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</si>
  <si>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</si>
  <si>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</si>
  <si>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</si>
  <si>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</si>
  <si>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</si>
  <si>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</si>
  <si>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</si>
  <si>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</si>
  <si>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</si>
  <si>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</si>
  <si>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</si>
  <si>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</si>
  <si>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</si>
  <si>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</si>
  <si>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</si>
  <si>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</si>
  <si>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</si>
  <si>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</si>
  <si>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</si>
  <si>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</si>
  <si>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</si>
  <si>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</si>
  <si>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</si>
  <si>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</si>
  <si>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</si>
  <si>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</si>
  <si>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</si>
  <si>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</si>
  <si>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</si>
  <si>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</si>
  <si>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</si>
  <si>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</si>
  <si>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</si>
  <si>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</si>
  <si>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</si>
  <si>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</si>
  <si>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</si>
  <si>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</si>
  <si>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</si>
  <si>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</si>
  <si>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</si>
  <si>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</si>
  <si>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</si>
  <si>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</si>
  <si>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</si>
  <si>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</si>
  <si>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</si>
  <si>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</si>
  <si>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</si>
  <si>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</si>
  <si>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</si>
  <si>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</si>
  <si>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</si>
  <si>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</si>
  <si>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</si>
  <si>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</si>
  <si>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</si>
  <si>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</si>
  <si>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</si>
  <si>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</si>
  <si>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</si>
  <si>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</si>
  <si>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</si>
  <si>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</si>
  <si>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</si>
  <si>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</si>
  <si>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</si>
  <si>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</si>
  <si>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</si>
  <si>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</si>
  <si>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</si>
  <si>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</si>
  <si>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</si>
  <si>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</si>
  <si>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</si>
  <si>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</si>
  <si>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</si>
  <si>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</si>
  <si>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</si>
  <si>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</si>
  <si>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</si>
  <si>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</si>
  <si>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</si>
  <si>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</si>
  <si>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</si>
  <si>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</si>
  <si>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</si>
  <si>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</si>
  <si>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</si>
  <si>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</si>
  <si>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</si>
  <si>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</si>
  <si>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</si>
  <si>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</si>
  <si>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</si>
  <si>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</si>
  <si>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</si>
  <si>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</si>
  <si>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</si>
  <si>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</si>
  <si>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</si>
  <si>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</si>
  <si>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</si>
  <si>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</si>
  <si>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</si>
  <si>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</si>
  <si>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</si>
  <si>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</si>
  <si>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</si>
  <si>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</si>
  <si>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</si>
  <si>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</si>
  <si>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</si>
  <si>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</si>
  <si>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</si>
  <si>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</si>
  <si>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</si>
  <si>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</si>
  <si>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</si>
  <si>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</si>
  <si>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</si>
  <si>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</si>
  <si>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</si>
  <si>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</si>
  <si>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</si>
  <si>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</si>
  <si>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</si>
  <si>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</si>
  <si>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</si>
  <si>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</si>
  <si>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</si>
  <si>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</si>
  <si>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</si>
  <si>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</si>
  <si>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</si>
  <si>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</si>
  <si>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</si>
  <si>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</si>
  <si>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</si>
  <si>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</si>
  <si>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</si>
  <si>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</si>
  <si>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</si>
  <si>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</si>
  <si>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</si>
  <si>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</si>
  <si>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</si>
  <si>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</si>
  <si>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</si>
  <si>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</si>
  <si>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</si>
  <si>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</si>
  <si>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</si>
  <si>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</si>
  <si>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</si>
  <si>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</si>
  <si>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</si>
  <si>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</si>
  <si>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</si>
  <si>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</si>
  <si>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</si>
  <si>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</si>
  <si>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</si>
  <si>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</si>
  <si>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</si>
  <si>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</si>
  <si>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</si>
  <si>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</si>
  <si>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</si>
  <si>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</si>
  <si>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</si>
  <si>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</si>
  <si>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</si>
  <si>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</si>
  <si>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</si>
  <si>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</si>
  <si>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</si>
  <si>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</si>
  <si>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</si>
  <si>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</si>
  <si>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</si>
  <si>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</si>
  <si>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</si>
  <si>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</si>
  <si>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</si>
  <si>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</si>
  <si>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</si>
  <si>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</si>
  <si>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</si>
  <si>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</si>
  <si>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</si>
  <si>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</si>
  <si>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</si>
  <si>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</si>
  <si>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</si>
  <si>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</si>
  <si>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</si>
  <si>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</si>
  <si>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</si>
  <si>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</si>
  <si>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</si>
  <si>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</si>
  <si>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</si>
  <si>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</si>
  <si>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</si>
  <si>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</si>
  <si>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</si>
  <si>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</si>
  <si>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</si>
  <si>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</si>
  <si>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</si>
  <si>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</si>
  <si>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</si>
  <si>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</si>
  <si>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</si>
  <si>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</si>
  <si>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</si>
  <si>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</si>
  <si>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</si>
  <si>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</si>
  <si>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</si>
  <si>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</si>
  <si>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</si>
  <si>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</si>
  <si>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</si>
  <si>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</si>
  <si>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</si>
  <si>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</si>
  <si>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</si>
  <si>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</si>
  <si>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</si>
  <si>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</si>
  <si>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</si>
  <si>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</si>
  <si>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</si>
  <si>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</si>
  <si>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</si>
  <si>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</si>
  <si>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</si>
  <si>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</si>
  <si>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</si>
  <si>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</si>
  <si>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</si>
  <si>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</si>
  <si>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</si>
  <si>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</si>
  <si>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</si>
  <si>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</si>
  <si>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</si>
  <si>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</si>
  <si>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</si>
  <si>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</si>
  <si>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</si>
  <si>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</si>
  <si>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</si>
  <si>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</si>
  <si>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</si>
  <si>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</si>
  <si>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</si>
  <si>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</si>
  <si>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</si>
  <si>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</si>
  <si>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</si>
  <si>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</si>
  <si>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</si>
  <si>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</si>
  <si>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</si>
  <si>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</si>
  <si>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</si>
  <si>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</si>
  <si>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</si>
  <si>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</si>
  <si>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</si>
  <si>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</si>
  <si>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</si>
  <si>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</si>
  <si>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</si>
  <si>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</si>
  <si>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</si>
  <si>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</si>
  <si>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</si>
  <si>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</si>
  <si>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</si>
  <si>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</si>
  <si>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</si>
  <si>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</si>
  <si>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</si>
  <si>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</si>
  <si>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</si>
  <si>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</si>
  <si>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</si>
  <si>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</si>
  <si>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</si>
  <si>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</si>
  <si>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</si>
  <si>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</si>
  <si>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</si>
  <si>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</si>
  <si>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</si>
  <si>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</si>
  <si>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</si>
  <si>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</si>
  <si>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</si>
  <si>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</si>
  <si>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</si>
  <si>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</si>
  <si>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</si>
  <si>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</si>
  <si>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</si>
  <si>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</si>
  <si>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</si>
  <si>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</si>
  <si>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</si>
  <si>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</si>
  <si>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</si>
  <si>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</si>
  <si>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</si>
  <si>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</si>
  <si>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</si>
  <si>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</si>
  <si>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</si>
  <si>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</si>
  <si>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</si>
  <si>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</si>
  <si>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</si>
  <si>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</si>
  <si>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</si>
  <si>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</si>
  <si>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</si>
  <si>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</si>
  <si>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</si>
  <si>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</si>
  <si>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</si>
  <si>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</si>
  <si>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</si>
  <si>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</si>
  <si>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</si>
  <si>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</si>
  <si>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</si>
  <si>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</si>
  <si>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</si>
  <si>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</si>
  <si>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</si>
  <si>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</si>
  <si>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</si>
  <si>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</si>
  <si>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</si>
  <si>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</si>
  <si>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</si>
  <si>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</si>
  <si>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</si>
  <si>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</si>
  <si>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</si>
  <si>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</si>
  <si>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</si>
  <si>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</si>
  <si>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</si>
  <si>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</si>
  <si>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</si>
  <si>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</si>
  <si>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</si>
  <si>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</si>
  <si>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</si>
  <si>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</si>
  <si>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</si>
  <si>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</si>
  <si>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</si>
  <si>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</si>
  <si>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</si>
  <si>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</si>
  <si>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</si>
  <si>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</si>
  <si>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</si>
  <si>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</si>
  <si>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</si>
  <si>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</si>
  <si>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</si>
  <si>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</si>
  <si>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</si>
  <si>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</si>
  <si>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</si>
  <si>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</si>
  <si>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</si>
  <si>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</si>
  <si>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</si>
  <si>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</si>
  <si>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</si>
  <si>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</si>
  <si>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</si>
  <si>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</si>
  <si>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</si>
  <si>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</si>
  <si>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</si>
  <si>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</si>
  <si>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</si>
  <si>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</si>
  <si>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</si>
  <si>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</si>
  <si>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</si>
  <si>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</si>
  <si>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</si>
  <si>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</si>
  <si>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</si>
  <si>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</si>
  <si>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</si>
  <si>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</si>
  <si>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</si>
  <si>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</si>
  <si>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</si>
  <si>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</si>
  <si>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</si>
  <si>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</si>
  <si>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</si>
  <si>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</si>
  <si>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</si>
  <si>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</si>
  <si>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</si>
  <si>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</si>
  <si>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</si>
  <si>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</si>
  <si>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</si>
  <si>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</si>
  <si>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</si>
  <si>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</si>
  <si>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</si>
  <si>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</si>
  <si>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</si>
  <si>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</si>
  <si>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</si>
  <si>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</si>
  <si>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</si>
  <si>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</si>
  <si>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</si>
  <si>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</si>
  <si>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</si>
  <si>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</si>
  <si>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</si>
  <si>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</si>
  <si>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</si>
  <si>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</si>
  <si>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</si>
  <si>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</si>
  <si>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</si>
  <si>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</si>
  <si>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</si>
  <si>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</si>
  <si>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</si>
  <si>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</si>
  <si>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</si>
  <si>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</si>
  <si>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</si>
  <si>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</si>
  <si>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</si>
  <si>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</si>
  <si>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</si>
  <si>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</si>
  <si>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</si>
  <si>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</si>
  <si>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</si>
  <si>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</si>
  <si>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</si>
  <si>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</si>
  <si>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</si>
  <si>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</si>
  <si>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</si>
  <si>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</si>
  <si>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</si>
  <si>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</si>
  <si>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</si>
  <si>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</si>
  <si>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</si>
  <si>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</si>
  <si>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</si>
  <si>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</si>
  <si>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</si>
  <si>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</si>
  <si>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</si>
  <si>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</si>
  <si>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</si>
  <si>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</si>
  <si>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</si>
  <si>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</si>
  <si>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</si>
  <si>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</si>
  <si>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</si>
  <si>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</si>
  <si>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</si>
  <si>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</si>
  <si>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</si>
  <si>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</si>
  <si>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</si>
  <si>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</si>
  <si>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</si>
  <si>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</si>
  <si>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</si>
  <si>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</si>
  <si>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</si>
  <si>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</si>
  <si>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</si>
  <si>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</si>
  <si>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</si>
  <si>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</si>
  <si>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</si>
  <si>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</si>
  <si>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</si>
  <si>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</si>
  <si>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</si>
  <si>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</si>
  <si>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</si>
  <si>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</si>
  <si>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</si>
  <si>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</si>
  <si>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</si>
  <si>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</si>
  <si>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</si>
  <si>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</si>
  <si>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</si>
  <si>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</si>
  <si>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</si>
  <si>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</si>
  <si>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</si>
  <si>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</si>
  <si>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</si>
  <si>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</si>
  <si>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</si>
  <si>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</si>
  <si>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</si>
  <si>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</si>
  <si>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</si>
  <si>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</si>
  <si>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</si>
  <si>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</si>
  <si>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</si>
  <si>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</si>
  <si>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</si>
  <si>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</si>
  <si>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</si>
  <si>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</si>
  <si>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</si>
  <si>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</si>
  <si>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</si>
  <si>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</si>
  <si>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</si>
  <si>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</si>
  <si>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</si>
  <si>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</si>
  <si>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</si>
  <si>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</si>
  <si>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</si>
  <si>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</si>
  <si>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</si>
  <si>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</si>
  <si>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</si>
  <si>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</si>
  <si>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</si>
  <si>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</si>
  <si>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</si>
  <si>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</si>
  <si>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</si>
  <si>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</si>
  <si>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</si>
  <si>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</si>
  <si>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</si>
  <si>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</si>
  <si>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</si>
  <si>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</si>
  <si>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</si>
  <si>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</si>
  <si>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</si>
  <si>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</si>
  <si>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</si>
  <si>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</si>
  <si>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</si>
  <si>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</si>
  <si>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</si>
  <si>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</si>
  <si>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</si>
  <si>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</si>
  <si>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</si>
  <si>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</si>
  <si>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</si>
  <si>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</si>
  <si>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</si>
  <si>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</si>
  <si>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</si>
  <si>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</si>
  <si>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</si>
  <si>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</si>
  <si>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</si>
  <si>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</si>
  <si>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</si>
  <si>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</si>
  <si>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</si>
  <si>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</si>
  <si>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</si>
  <si>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</si>
  <si>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</si>
  <si>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</si>
  <si>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</si>
  <si>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</si>
  <si>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</si>
  <si>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</si>
  <si>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</si>
  <si>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</si>
  <si>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</si>
  <si>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</si>
  <si>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</si>
  <si>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</si>
  <si>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</si>
  <si>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</si>
  <si>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</si>
  <si>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</si>
  <si>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</si>
  <si>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</si>
  <si>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</si>
  <si>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</si>
  <si>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</si>
  <si>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</si>
  <si>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</si>
  <si>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</si>
  <si>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</si>
  <si>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</si>
  <si>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</si>
  <si>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</si>
  <si>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</si>
  <si>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</si>
  <si>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</si>
  <si>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</si>
  <si>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</si>
  <si>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</si>
  <si>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</si>
  <si>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</si>
  <si>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</si>
  <si>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</si>
  <si>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</si>
  <si>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</si>
  <si>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</si>
  <si>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</si>
  <si>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</si>
  <si>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</si>
  <si>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</si>
  <si>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</si>
  <si>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</si>
  <si>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</si>
  <si>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</si>
  <si>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</si>
  <si>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</si>
  <si>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</si>
  <si>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</si>
  <si>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</si>
  <si>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</si>
  <si>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</si>
  <si>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</si>
  <si>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</si>
  <si>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</si>
  <si>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</si>
  <si>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</si>
  <si>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</si>
  <si>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</si>
  <si>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</si>
  <si>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</si>
  <si>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</si>
  <si>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</si>
  <si>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</si>
  <si>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</si>
  <si>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</si>
  <si>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</si>
  <si>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</si>
  <si>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</si>
  <si>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</si>
  <si>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</si>
  <si>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</si>
  <si>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</si>
  <si>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</si>
  <si>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</si>
  <si>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</si>
  <si>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</si>
  <si>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</si>
  <si>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</si>
  <si>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</si>
  <si>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</si>
  <si>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</si>
  <si>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</si>
  <si>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</si>
  <si>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</si>
  <si>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</si>
  <si>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</si>
  <si>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</si>
  <si>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</si>
  <si>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</si>
  <si>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</si>
  <si>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</si>
  <si>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</si>
  <si>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</si>
  <si>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</si>
  <si>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</si>
  <si>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</si>
  <si>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</si>
  <si>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</si>
  <si>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</si>
  <si>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</si>
  <si>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</si>
  <si>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</si>
  <si>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</si>
  <si>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</si>
  <si>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</si>
  <si>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</si>
  <si>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</si>
  <si>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</si>
  <si>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</si>
  <si>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</si>
  <si>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</si>
  <si>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</si>
  <si>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</si>
  <si>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</si>
  <si>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</si>
  <si>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</si>
  <si>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</si>
  <si>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</si>
  <si>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</si>
  <si>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</si>
  <si>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</si>
  <si>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</si>
  <si>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</si>
  <si>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</si>
  <si>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</si>
  <si>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</si>
  <si>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</si>
  <si>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</si>
  <si>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</si>
  <si>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</si>
  <si>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</si>
  <si>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</si>
  <si>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</si>
  <si>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</si>
  <si>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</si>
  <si>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</si>
  <si>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</si>
  <si>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</si>
  <si>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</si>
  <si>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</si>
  <si>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</si>
  <si>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</si>
  <si>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</si>
  <si>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</si>
  <si>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</si>
  <si>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</si>
  <si>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</si>
  <si>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</si>
  <si>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</si>
  <si>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</si>
  <si>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</si>
  <si>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</si>
  <si>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</si>
  <si>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</si>
  <si>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 xml:space="preserve">Starhub+Cmlink 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</si>
  <si>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</si>
  <si>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</si>
  <si>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</si>
  <si>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</si>
  <si>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</si>
  <si>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</si>
  <si>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</si>
  <si>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</si>
  <si>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</si>
  <si>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</si>
  <si>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</si>
  <si>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</si>
  <si>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</si>
  <si>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SgPow</t>
  </si>
  <si>
    <t>Wife #stress relief fund</t>
  </si>
  <si>
    <t>CIMB</t>
  </si>
  <si>
    <t>Rmb10k@5.474,5.471,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</si>
  <si>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</si>
  <si>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</si>
  <si>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</si>
  <si>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</si>
  <si>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</si>
  <si>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</si>
  <si>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</si>
  <si>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</si>
  <si>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</si>
  <si>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Cimb80k+FLI50k+SRS9k</t>
  </si>
  <si>
    <t>MCSA bonus #28D</t>
  </si>
  <si>
    <t>TownC #108</t>
  </si>
  <si>
    <t>TS/K #FnF</t>
  </si>
  <si>
    <t>SuntecXiang #FnF</t>
  </si>
  <si>
    <t>EGA #5,24/9</t>
  </si>
  <si>
    <t>102!yet</t>
  </si>
  <si>
    <t>HuiMei#Psbc}cigna}/108</t>
  </si>
  <si>
    <t>Ramen #FnF</t>
  </si>
  <si>
    <t>90minute #FnF</t>
  </si>
  <si>
    <t>EOD 29 Sep 2024</t>
  </si>
  <si>
    <t>anyW</t>
  </si>
  <si>
    <t>kids placeholder</t>
  </si>
  <si>
    <t>Agoda #Tokyo #SCSC</t>
  </si>
  <si>
    <t xml:space="preserve">FnF  </t>
  </si>
  <si>
    <t xml:space="preserve">scsc  </t>
  </si>
  <si>
    <t>SOD1Oct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</si>
</sst>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6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56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3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5" fillId="0" borderId="0" xfId="0" applyFont="1" applyFill="1"/>
    <xf numFmtId="0" fontId="0" fillId="0" borderId="0" xfId="0" applyFont="1" applyBorder="1" applyAlignment="1">
      <alignment wrapText="1"/>
    </xf>
    <xf numFmtId="0" fontId="73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3368</v>
      </c>
      <c r="C2" s="16"/>
      <c r="D2" s="15" t="s">
        <v>3369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3370</v>
      </c>
      <c r="I4" s="21" t="s">
        <v>3371</v>
      </c>
      <c r="J4" s="21" t="s">
        <v>3372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3375</v>
      </c>
      <c r="I29" s="14" t="s">
        <v>3376</v>
      </c>
      <c r="J29" s="14" t="s">
        <v>3377</v>
      </c>
      <c r="K29" s="14" t="s">
        <v>3378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3379</v>
      </c>
      <c r="I32" s="14" t="s">
        <v>3379</v>
      </c>
      <c r="J32" s="14" t="s">
        <v>3379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6">
        <f t="shared" ref="I33:J33" si="2">I30*I31/365*30</f>
        <v>73.972602739726014</v>
      </c>
      <c r="J33" s="626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3380</v>
      </c>
    </row>
    <row r="35" spans="2:11">
      <c r="B35" s="23">
        <f>AVERAGE(B3:B33)</f>
        <v>100000</v>
      </c>
      <c r="D35" s="755">
        <f>SUMPRODUCT(D3:D33,E3:E33)/365</f>
        <v>32.909589041095877</v>
      </c>
      <c r="E35" s="755"/>
      <c r="F35" s="26"/>
    </row>
    <row r="36" spans="2:11">
      <c r="B36" s="16" t="s">
        <v>3381</v>
      </c>
      <c r="D36" s="755" t="s">
        <v>3382</v>
      </c>
      <c r="E36" s="755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3383</v>
      </c>
      <c r="C2" s="3" t="s">
        <v>1554</v>
      </c>
      <c r="D2" s="2" t="s">
        <v>3384</v>
      </c>
      <c r="E2" s="4" t="s">
        <v>3385</v>
      </c>
      <c r="F2" s="4" t="s">
        <v>3386</v>
      </c>
      <c r="G2" s="4" t="s">
        <v>3387</v>
      </c>
      <c r="H2" s="3" t="s">
        <v>513</v>
      </c>
      <c r="I2" s="13" t="s">
        <v>3388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3389</v>
      </c>
      <c r="G6" s="5">
        <f>SUM(B6:E6)</f>
        <v>112225.48</v>
      </c>
      <c r="H6" s="7">
        <v>44195</v>
      </c>
      <c r="I6" s="9" t="s">
        <v>3390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3389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3389</v>
      </c>
      <c r="G12" s="5">
        <f t="shared" si="1"/>
        <v>109175.48</v>
      </c>
      <c r="H12" s="7">
        <v>44701</v>
      </c>
      <c r="I12" s="9" t="s">
        <v>3392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3389</v>
      </c>
      <c r="G13" s="5">
        <f t="shared" si="1"/>
        <v>110985.48</v>
      </c>
      <c r="H13" s="7">
        <v>44727</v>
      </c>
      <c r="I13" s="9" t="s">
        <v>3393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3389</v>
      </c>
      <c r="G14" s="5">
        <f t="shared" si="1"/>
        <v>106859.48</v>
      </c>
      <c r="H14" s="7">
        <v>44788</v>
      </c>
      <c r="I14" s="9" t="s">
        <v>3394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3389</v>
      </c>
      <c r="G17" s="5">
        <f t="shared" si="2"/>
        <v>99359.48</v>
      </c>
      <c r="H17" s="7">
        <v>44910</v>
      </c>
      <c r="I17" s="9" t="s">
        <v>3394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3389</v>
      </c>
      <c r="G19" s="5">
        <f t="shared" si="2"/>
        <v>101108.48</v>
      </c>
      <c r="H19" s="7">
        <v>45092</v>
      </c>
      <c r="I19" s="9" t="s">
        <v>3395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3389</v>
      </c>
      <c r="G20" s="5">
        <f t="shared" si="2"/>
        <v>105108.48</v>
      </c>
      <c r="H20" s="7">
        <v>45127</v>
      </c>
      <c r="I20" s="9" t="s">
        <v>3396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3389</v>
      </c>
      <c r="G21" s="5">
        <f t="shared" ref="G21" si="3">SUM(B21:E21)</f>
        <v>105108.48</v>
      </c>
      <c r="H21" s="7">
        <v>45285</v>
      </c>
      <c r="I21" s="9" t="s">
        <v>3397</v>
      </c>
    </row>
    <row r="22" spans="2:9">
      <c r="B22" s="5"/>
      <c r="C22" s="9" t="s">
        <v>3398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3389</v>
      </c>
      <c r="G23" s="5">
        <f t="shared" ref="G23" si="4">SUM(B23:E23)</f>
        <v>110108.48</v>
      </c>
      <c r="H23" s="7">
        <v>45350</v>
      </c>
      <c r="I23" s="9" t="s">
        <v>3399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3389</v>
      </c>
      <c r="G24" s="5">
        <f t="shared" ref="G24" si="5">SUM(B24:E24)</f>
        <v>115005.48</v>
      </c>
      <c r="H24" s="7">
        <v>45473</v>
      </c>
      <c r="I24" s="9" t="s">
        <v>3435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3400</v>
      </c>
    </row>
    <row r="3" spans="1:2">
      <c r="A3">
        <v>2</v>
      </c>
      <c r="B3" t="s">
        <v>3401</v>
      </c>
    </row>
    <row r="4" spans="1:2">
      <c r="A4">
        <v>3</v>
      </c>
      <c r="B4" t="s">
        <v>3402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90" t="s">
        <v>91</v>
      </c>
      <c r="C1" s="690"/>
      <c r="D1" s="691" t="s">
        <v>92</v>
      </c>
      <c r="E1" s="690"/>
      <c r="F1" s="691" t="s">
        <v>93</v>
      </c>
      <c r="G1" s="690"/>
      <c r="H1" s="692" t="s">
        <v>94</v>
      </c>
      <c r="I1" s="692"/>
      <c r="J1" s="693" t="s">
        <v>92</v>
      </c>
      <c r="K1" s="694"/>
      <c r="L1" s="695" t="s">
        <v>95</v>
      </c>
      <c r="M1" s="696"/>
      <c r="N1" s="692" t="s">
        <v>96</v>
      </c>
      <c r="O1" s="692"/>
      <c r="P1" s="693" t="s">
        <v>97</v>
      </c>
      <c r="Q1" s="694"/>
      <c r="R1" s="695" t="s">
        <v>98</v>
      </c>
      <c r="S1" s="696"/>
      <c r="T1" s="697" t="s">
        <v>99</v>
      </c>
      <c r="U1" s="697"/>
      <c r="V1" s="693" t="s">
        <v>92</v>
      </c>
      <c r="W1" s="694"/>
      <c r="X1" s="698" t="s">
        <v>100</v>
      </c>
      <c r="Y1" s="699"/>
      <c r="Z1" s="697" t="s">
        <v>101</v>
      </c>
      <c r="AA1" s="697"/>
      <c r="AB1" s="700" t="s">
        <v>92</v>
      </c>
      <c r="AC1" s="701"/>
      <c r="AD1" s="702" t="s">
        <v>100</v>
      </c>
      <c r="AE1" s="703"/>
      <c r="AF1" s="697" t="s">
        <v>102</v>
      </c>
      <c r="AG1" s="697"/>
      <c r="AH1" s="700" t="s">
        <v>92</v>
      </c>
      <c r="AI1" s="701"/>
      <c r="AJ1" s="698" t="s">
        <v>103</v>
      </c>
      <c r="AK1" s="699"/>
      <c r="AL1" s="697" t="s">
        <v>104</v>
      </c>
      <c r="AM1" s="697"/>
      <c r="AN1" s="704" t="s">
        <v>92</v>
      </c>
      <c r="AO1" s="705"/>
      <c r="AP1" s="706" t="s">
        <v>105</v>
      </c>
      <c r="AQ1" s="707"/>
      <c r="AR1" s="697" t="s">
        <v>106</v>
      </c>
      <c r="AS1" s="697"/>
      <c r="AV1" s="706" t="s">
        <v>107</v>
      </c>
      <c r="AW1" s="707"/>
      <c r="AX1" s="708" t="s">
        <v>108</v>
      </c>
      <c r="AY1" s="708"/>
      <c r="AZ1" s="708"/>
      <c r="BA1" s="354"/>
      <c r="BB1" s="709">
        <v>42942</v>
      </c>
      <c r="BC1" s="710"/>
      <c r="BD1" s="710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716" t="s">
        <v>124</v>
      </c>
      <c r="U4" s="716"/>
      <c r="X4" s="435" t="s">
        <v>123</v>
      </c>
      <c r="Y4" s="461">
        <f>Y3-Y6</f>
        <v>4.9669099999591708</v>
      </c>
      <c r="Z4" s="716" t="s">
        <v>125</v>
      </c>
      <c r="AA4" s="716"/>
      <c r="AD4" s="404" t="s">
        <v>123</v>
      </c>
      <c r="AE4" s="404">
        <f>AE3-AE5</f>
        <v>-52.526899999851594</v>
      </c>
      <c r="AF4" s="716" t="s">
        <v>125</v>
      </c>
      <c r="AG4" s="716"/>
      <c r="AH4" s="72"/>
      <c r="AI4" s="72"/>
      <c r="AJ4" s="404" t="s">
        <v>123</v>
      </c>
      <c r="AK4" s="404">
        <f>AK3-AK5</f>
        <v>94.988909999992757</v>
      </c>
      <c r="AL4" s="716" t="s">
        <v>125</v>
      </c>
      <c r="AM4" s="716"/>
      <c r="AP4" s="58" t="s">
        <v>123</v>
      </c>
      <c r="AQ4" s="57">
        <f>AQ3-AQ5</f>
        <v>33.841989999942598</v>
      </c>
      <c r="AR4" s="716" t="s">
        <v>125</v>
      </c>
      <c r="AS4" s="716"/>
      <c r="AX4" s="716" t="s">
        <v>126</v>
      </c>
      <c r="AY4" s="716"/>
      <c r="BB4" s="716" t="s">
        <v>127</v>
      </c>
      <c r="BC4" s="716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716"/>
      <c r="U5" s="716"/>
      <c r="V5" s="348" t="s">
        <v>132</v>
      </c>
      <c r="W5">
        <v>2050</v>
      </c>
      <c r="X5" s="409"/>
      <c r="Z5" s="716"/>
      <c r="AA5" s="716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716"/>
      <c r="AG5" s="716"/>
      <c r="AH5" s="72"/>
      <c r="AI5" s="72"/>
      <c r="AJ5" s="404" t="s">
        <v>134</v>
      </c>
      <c r="AK5" s="462">
        <f>SUM(AK11:AK59)</f>
        <v>30858.011000000002</v>
      </c>
      <c r="AL5" s="716"/>
      <c r="AM5" s="716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716"/>
      <c r="AS5" s="716"/>
      <c r="AX5" s="716"/>
      <c r="AY5" s="716"/>
      <c r="BB5" s="716"/>
      <c r="BC5" s="716"/>
      <c r="BD5" s="711" t="s">
        <v>136</v>
      </c>
      <c r="BE5" s="711"/>
      <c r="BF5" s="711"/>
      <c r="BG5" s="711"/>
      <c r="BH5" s="711"/>
      <c r="BI5" s="711"/>
      <c r="BJ5" s="711"/>
      <c r="BK5" s="711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712" t="s">
        <v>335</v>
      </c>
      <c r="W23" s="713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714"/>
      <c r="W24" s="715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17" t="s">
        <v>524</v>
      </c>
      <c r="F38" s="718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90" t="s">
        <v>567</v>
      </c>
      <c r="C1" s="690"/>
      <c r="D1" s="702" t="s">
        <v>568</v>
      </c>
      <c r="E1" s="703"/>
      <c r="F1" s="690" t="s">
        <v>569</v>
      </c>
      <c r="G1" s="690"/>
      <c r="H1" s="719" t="s">
        <v>570</v>
      </c>
      <c r="I1" s="720"/>
      <c r="J1" s="702" t="s">
        <v>568</v>
      </c>
      <c r="K1" s="703"/>
      <c r="L1" s="690" t="s">
        <v>571</v>
      </c>
      <c r="M1" s="690"/>
      <c r="N1" s="719" t="s">
        <v>570</v>
      </c>
      <c r="O1" s="720"/>
      <c r="P1" s="702" t="s">
        <v>568</v>
      </c>
      <c r="Q1" s="703"/>
      <c r="R1" s="690" t="s">
        <v>572</v>
      </c>
      <c r="S1" s="690"/>
      <c r="T1" s="719" t="s">
        <v>570</v>
      </c>
      <c r="U1" s="720"/>
      <c r="V1" s="702" t="s">
        <v>568</v>
      </c>
      <c r="W1" s="703"/>
      <c r="X1" s="690" t="s">
        <v>573</v>
      </c>
      <c r="Y1" s="690"/>
      <c r="Z1" s="719" t="s">
        <v>570</v>
      </c>
      <c r="AA1" s="720"/>
      <c r="AB1" s="702" t="s">
        <v>568</v>
      </c>
      <c r="AC1" s="703"/>
      <c r="AD1" s="690" t="s">
        <v>574</v>
      </c>
      <c r="AE1" s="690"/>
      <c r="AF1" s="719" t="s">
        <v>570</v>
      </c>
      <c r="AG1" s="720"/>
      <c r="AH1" s="702" t="s">
        <v>568</v>
      </c>
      <c r="AI1" s="703"/>
      <c r="AJ1" s="690" t="s">
        <v>575</v>
      </c>
      <c r="AK1" s="690"/>
      <c r="AL1" s="719" t="s">
        <v>576</v>
      </c>
      <c r="AM1" s="720"/>
      <c r="AN1" s="702" t="s">
        <v>577</v>
      </c>
      <c r="AO1" s="703"/>
      <c r="AP1" s="690" t="s">
        <v>578</v>
      </c>
      <c r="AQ1" s="690"/>
      <c r="AR1" s="719" t="s">
        <v>570</v>
      </c>
      <c r="AS1" s="720"/>
      <c r="AT1" s="702" t="s">
        <v>568</v>
      </c>
      <c r="AU1" s="703"/>
      <c r="AV1" s="690" t="s">
        <v>579</v>
      </c>
      <c r="AW1" s="690"/>
      <c r="AX1" s="719" t="s">
        <v>570</v>
      </c>
      <c r="AY1" s="720"/>
      <c r="AZ1" s="702" t="s">
        <v>568</v>
      </c>
      <c r="BA1" s="703"/>
      <c r="BB1" s="690" t="s">
        <v>580</v>
      </c>
      <c r="BC1" s="690"/>
      <c r="BD1" s="719" t="s">
        <v>570</v>
      </c>
      <c r="BE1" s="720"/>
      <c r="BF1" s="702" t="s">
        <v>568</v>
      </c>
      <c r="BG1" s="703"/>
      <c r="BH1" s="690" t="s">
        <v>581</v>
      </c>
      <c r="BI1" s="690"/>
      <c r="BJ1" s="719" t="s">
        <v>570</v>
      </c>
      <c r="BK1" s="720"/>
      <c r="BL1" s="702" t="s">
        <v>568</v>
      </c>
      <c r="BM1" s="703"/>
      <c r="BN1" s="690" t="s">
        <v>582</v>
      </c>
      <c r="BO1" s="690"/>
      <c r="BP1" s="719" t="s">
        <v>570</v>
      </c>
      <c r="BQ1" s="720"/>
      <c r="BR1" s="702" t="s">
        <v>568</v>
      </c>
      <c r="BS1" s="703"/>
      <c r="BT1" s="690" t="s">
        <v>583</v>
      </c>
      <c r="BU1" s="690"/>
      <c r="BV1" s="719" t="s">
        <v>584</v>
      </c>
      <c r="BW1" s="720"/>
      <c r="BX1" s="702" t="s">
        <v>585</v>
      </c>
      <c r="BY1" s="703"/>
      <c r="BZ1" s="690" t="s">
        <v>586</v>
      </c>
      <c r="CA1" s="690"/>
      <c r="CB1" s="719" t="s">
        <v>587</v>
      </c>
      <c r="CC1" s="720"/>
      <c r="CD1" s="702" t="s">
        <v>588</v>
      </c>
      <c r="CE1" s="703"/>
      <c r="CF1" s="690" t="s">
        <v>589</v>
      </c>
      <c r="CG1" s="690"/>
      <c r="CH1" s="719" t="s">
        <v>587</v>
      </c>
      <c r="CI1" s="720"/>
      <c r="CJ1" s="702" t="s">
        <v>588</v>
      </c>
      <c r="CK1" s="703"/>
      <c r="CL1" s="690" t="s">
        <v>590</v>
      </c>
      <c r="CM1" s="690"/>
      <c r="CN1" s="719" t="s">
        <v>587</v>
      </c>
      <c r="CO1" s="720"/>
      <c r="CP1" s="702" t="s">
        <v>588</v>
      </c>
      <c r="CQ1" s="703"/>
      <c r="CR1" s="690" t="s">
        <v>591</v>
      </c>
      <c r="CS1" s="690"/>
      <c r="CT1" s="719" t="s">
        <v>587</v>
      </c>
      <c r="CU1" s="720"/>
      <c r="CV1" s="721" t="s">
        <v>588</v>
      </c>
      <c r="CW1" s="722"/>
      <c r="CX1" s="690" t="s">
        <v>592</v>
      </c>
      <c r="CY1" s="690"/>
      <c r="CZ1" s="719" t="s">
        <v>587</v>
      </c>
      <c r="DA1" s="720"/>
      <c r="DB1" s="721" t="s">
        <v>588</v>
      </c>
      <c r="DC1" s="722"/>
      <c r="DD1" s="690" t="s">
        <v>593</v>
      </c>
      <c r="DE1" s="690"/>
      <c r="DF1" s="719" t="s">
        <v>594</v>
      </c>
      <c r="DG1" s="720"/>
      <c r="DH1" s="721" t="s">
        <v>595</v>
      </c>
      <c r="DI1" s="722"/>
      <c r="DJ1" s="690" t="s">
        <v>596</v>
      </c>
      <c r="DK1" s="690"/>
      <c r="DL1" s="719" t="s">
        <v>594</v>
      </c>
      <c r="DM1" s="720"/>
      <c r="DN1" s="721" t="s">
        <v>588</v>
      </c>
      <c r="DO1" s="722"/>
      <c r="DP1" s="690" t="s">
        <v>597</v>
      </c>
      <c r="DQ1" s="690"/>
      <c r="DR1" s="719" t="s">
        <v>594</v>
      </c>
      <c r="DS1" s="720"/>
      <c r="DT1" s="721" t="s">
        <v>588</v>
      </c>
      <c r="DU1" s="722"/>
      <c r="DV1" s="690" t="s">
        <v>598</v>
      </c>
      <c r="DW1" s="690"/>
      <c r="DX1" s="719" t="s">
        <v>594</v>
      </c>
      <c r="DY1" s="720"/>
      <c r="DZ1" s="721" t="s">
        <v>588</v>
      </c>
      <c r="EA1" s="722"/>
      <c r="EB1" s="690" t="s">
        <v>599</v>
      </c>
      <c r="EC1" s="690"/>
      <c r="ED1" s="719" t="s">
        <v>594</v>
      </c>
      <c r="EE1" s="720"/>
      <c r="EF1" s="721" t="s">
        <v>588</v>
      </c>
      <c r="EG1" s="722"/>
      <c r="EH1" s="690" t="s">
        <v>600</v>
      </c>
      <c r="EI1" s="690"/>
      <c r="EJ1" s="719" t="s">
        <v>594</v>
      </c>
      <c r="EK1" s="720"/>
      <c r="EL1" s="721" t="s">
        <v>601</v>
      </c>
      <c r="EM1" s="722"/>
      <c r="EN1" s="690" t="s">
        <v>602</v>
      </c>
      <c r="EO1" s="690"/>
      <c r="EP1" s="719" t="s">
        <v>594</v>
      </c>
      <c r="EQ1" s="720"/>
      <c r="ER1" s="721" t="s">
        <v>603</v>
      </c>
      <c r="ES1" s="722"/>
      <c r="ET1" s="690" t="s">
        <v>604</v>
      </c>
      <c r="EU1" s="690"/>
      <c r="EV1" s="719" t="s">
        <v>594</v>
      </c>
      <c r="EW1" s="720"/>
      <c r="EX1" s="721" t="s">
        <v>103</v>
      </c>
      <c r="EY1" s="722"/>
      <c r="EZ1" s="690" t="s">
        <v>605</v>
      </c>
      <c r="FA1" s="690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23" t="s">
        <v>672</v>
      </c>
      <c r="CU7" s="690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23" t="s">
        <v>702</v>
      </c>
      <c r="DA8" s="690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23" t="s">
        <v>702</v>
      </c>
      <c r="DG8" s="690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23" t="s">
        <v>702</v>
      </c>
      <c r="DM8" s="690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23" t="s">
        <v>702</v>
      </c>
      <c r="DS8" s="690"/>
      <c r="DT8" s="14" t="s">
        <v>700</v>
      </c>
      <c r="DU8" s="14">
        <f>SUM(DU13:DU17)</f>
        <v>32</v>
      </c>
      <c r="DV8" s="9"/>
      <c r="DW8" s="9"/>
      <c r="DX8" s="723" t="s">
        <v>702</v>
      </c>
      <c r="DY8" s="690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23" t="s">
        <v>703</v>
      </c>
      <c r="EK8" s="690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23" t="s">
        <v>703</v>
      </c>
      <c r="EQ9" s="690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23" t="s">
        <v>703</v>
      </c>
      <c r="EW9" s="690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23" t="s">
        <v>703</v>
      </c>
      <c r="EE11" s="690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23" t="s">
        <v>702</v>
      </c>
      <c r="CU12" s="690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97" t="s">
        <v>912</v>
      </c>
      <c r="CU19" s="697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26" t="s">
        <v>943</v>
      </c>
      <c r="FA21" s="726"/>
      <c r="FC21" s="366">
        <f>FC20-FC22</f>
        <v>113457.16899999997</v>
      </c>
      <c r="FD21" s="344"/>
      <c r="FE21" s="727" t="s">
        <v>945</v>
      </c>
      <c r="FF21" s="727"/>
      <c r="FG21" s="727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26" t="s">
        <v>953</v>
      </c>
      <c r="FA22" s="726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26" t="s">
        <v>969</v>
      </c>
      <c r="FA23" s="726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26" t="s">
        <v>979</v>
      </c>
      <c r="FA24" s="726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24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25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24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25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2" bestFit="1" customWidth="1"/>
    <col min="6" max="6" width="11.85546875" style="620" bestFit="1" customWidth="1"/>
    <col min="7" max="7" width="7.42578125" customWidth="1"/>
    <col min="8" max="8" width="74.28515625" customWidth="1"/>
  </cols>
  <sheetData>
    <row r="2" spans="1:8">
      <c r="A2" s="43"/>
      <c r="B2" s="622" t="s">
        <v>1482</v>
      </c>
      <c r="C2" s="9" t="s">
        <v>3347</v>
      </c>
      <c r="D2" s="44" t="s">
        <v>3348</v>
      </c>
      <c r="E2" s="614" t="s">
        <v>3436</v>
      </c>
      <c r="F2" s="614" t="s">
        <v>3446</v>
      </c>
      <c r="G2" s="9" t="s">
        <v>3349</v>
      </c>
      <c r="H2" s="35" t="s">
        <v>3350</v>
      </c>
    </row>
    <row r="3" spans="1:8">
      <c r="A3" s="43"/>
      <c r="B3" s="45" t="s">
        <v>3351</v>
      </c>
      <c r="C3" s="9" t="s">
        <v>3352</v>
      </c>
      <c r="D3" s="9" t="s">
        <v>3353</v>
      </c>
      <c r="E3" s="9" t="s">
        <v>3354</v>
      </c>
      <c r="F3" s="622" t="s">
        <v>3352</v>
      </c>
      <c r="G3" s="45" t="s">
        <v>3354</v>
      </c>
    </row>
    <row r="4" spans="1:8">
      <c r="B4" s="45" t="s">
        <v>3351</v>
      </c>
      <c r="C4" s="45" t="s">
        <v>3355</v>
      </c>
      <c r="D4" s="582" t="s">
        <v>3356</v>
      </c>
      <c r="E4" s="615" t="s">
        <v>3354</v>
      </c>
      <c r="F4" s="621" t="s">
        <v>3352</v>
      </c>
      <c r="G4" s="46" t="s">
        <v>3357</v>
      </c>
      <c r="H4" s="613" t="s">
        <v>3441</v>
      </c>
    </row>
    <row r="5" spans="1:8">
      <c r="B5" s="45" t="s">
        <v>3351</v>
      </c>
      <c r="C5" s="46" t="s">
        <v>3358</v>
      </c>
      <c r="D5" s="45" t="s">
        <v>3359</v>
      </c>
      <c r="E5" s="21" t="s">
        <v>3440</v>
      </c>
      <c r="F5" s="46" t="s">
        <v>3358</v>
      </c>
      <c r="G5" s="9" t="s">
        <v>3440</v>
      </c>
      <c r="H5" t="s">
        <v>3360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3438</v>
      </c>
      <c r="D9" s="45" t="s">
        <v>3361</v>
      </c>
      <c r="E9" s="21" t="s">
        <v>3437</v>
      </c>
      <c r="F9" s="21" t="s">
        <v>3447</v>
      </c>
      <c r="G9" s="9">
        <v>3.8</v>
      </c>
    </row>
    <row r="10" spans="1:8">
      <c r="B10" s="45"/>
      <c r="C10" s="21" t="s">
        <v>3439</v>
      </c>
      <c r="D10" s="9" t="s">
        <v>3362</v>
      </c>
      <c r="E10" s="9"/>
      <c r="F10" s="622" t="s">
        <v>3455</v>
      </c>
      <c r="G10" s="21" t="s">
        <v>2010</v>
      </c>
    </row>
    <row r="11" spans="1:8">
      <c r="B11" s="45"/>
      <c r="C11" s="9"/>
      <c r="D11" s="9" t="s">
        <v>3362</v>
      </c>
      <c r="E11" s="21" t="s">
        <v>3442</v>
      </c>
      <c r="F11" s="622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Q79"/>
  <sheetViews>
    <sheetView tabSelected="1" topLeftCell="NA1" workbookViewId="0">
      <selection activeCell="NQ18" sqref="NQ18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39" customWidth="1"/>
    <col min="363" max="363" width="9.140625" style="48" customWidth="1"/>
    <col min="364" max="364" width="20" style="639" bestFit="1" customWidth="1"/>
    <col min="365" max="365" width="8.5703125" style="639" customWidth="1"/>
    <col min="366" max="366" width="18.85546875" style="639" customWidth="1"/>
    <col min="367" max="367" width="10.140625" style="639" customWidth="1"/>
    <col min="368" max="368" width="20.85546875" style="662" customWidth="1"/>
    <col min="369" max="369" width="9.140625" style="48" bestFit="1" customWidth="1"/>
    <col min="370" max="370" width="20" style="662" bestFit="1" customWidth="1"/>
    <col min="371" max="371" width="10.140625" style="662" customWidth="1"/>
    <col min="372" max="372" width="18.85546875" style="662" customWidth="1"/>
    <col min="373" max="373" width="10.140625" style="662" customWidth="1"/>
    <col min="374" max="374" width="20.85546875" style="682" customWidth="1"/>
    <col min="375" max="375" width="9.140625" style="48" bestFit="1" customWidth="1"/>
    <col min="376" max="376" width="20" style="682" bestFit="1" customWidth="1"/>
    <col min="377" max="377" width="10.140625" style="682" customWidth="1"/>
    <col min="378" max="378" width="18.85546875" style="682" customWidth="1"/>
    <col min="379" max="379" width="10.140625" style="682" customWidth="1"/>
    <col min="380" max="380" width="7.140625" style="48" customWidth="1"/>
    <col min="381" max="16384" width="14.5703125" style="14"/>
  </cols>
  <sheetData>
    <row r="1" spans="1:381">
      <c r="A1" s="729" t="s">
        <v>1017</v>
      </c>
      <c r="B1" s="729"/>
      <c r="C1" s="704" t="s">
        <v>92</v>
      </c>
      <c r="D1" s="705"/>
      <c r="E1" s="706" t="s">
        <v>1018</v>
      </c>
      <c r="F1" s="707"/>
      <c r="G1" s="729" t="s">
        <v>1019</v>
      </c>
      <c r="H1" s="729"/>
      <c r="I1" s="704" t="s">
        <v>92</v>
      </c>
      <c r="J1" s="705"/>
      <c r="K1" s="706" t="s">
        <v>1020</v>
      </c>
      <c r="L1" s="707"/>
      <c r="M1" s="729" t="s">
        <v>1021</v>
      </c>
      <c r="N1" s="729"/>
      <c r="O1" s="704" t="s">
        <v>92</v>
      </c>
      <c r="P1" s="705"/>
      <c r="Q1" s="706" t="s">
        <v>1022</v>
      </c>
      <c r="R1" s="707"/>
      <c r="S1" s="729" t="s">
        <v>1023</v>
      </c>
      <c r="T1" s="729"/>
      <c r="U1" s="704" t="s">
        <v>92</v>
      </c>
      <c r="V1" s="705"/>
      <c r="W1" s="706" t="s">
        <v>577</v>
      </c>
      <c r="X1" s="707"/>
      <c r="Y1" s="729" t="s">
        <v>1024</v>
      </c>
      <c r="Z1" s="729"/>
      <c r="AA1" s="704" t="s">
        <v>92</v>
      </c>
      <c r="AB1" s="705"/>
      <c r="AC1" s="706" t="s">
        <v>1025</v>
      </c>
      <c r="AD1" s="707"/>
      <c r="AE1" s="729" t="s">
        <v>1026</v>
      </c>
      <c r="AF1" s="729"/>
      <c r="AG1" s="704" t="s">
        <v>92</v>
      </c>
      <c r="AH1" s="705"/>
      <c r="AI1" s="706" t="s">
        <v>1027</v>
      </c>
      <c r="AJ1" s="707"/>
      <c r="AK1" s="729" t="s">
        <v>1028</v>
      </c>
      <c r="AL1" s="729"/>
      <c r="AM1" s="704" t="s">
        <v>1029</v>
      </c>
      <c r="AN1" s="705"/>
      <c r="AO1" s="706" t="s">
        <v>1030</v>
      </c>
      <c r="AP1" s="707"/>
      <c r="AQ1" s="729" t="s">
        <v>1031</v>
      </c>
      <c r="AR1" s="729"/>
      <c r="AS1" s="704" t="s">
        <v>1029</v>
      </c>
      <c r="AT1" s="705"/>
      <c r="AU1" s="706" t="s">
        <v>1032</v>
      </c>
      <c r="AV1" s="707"/>
      <c r="AW1" s="729" t="s">
        <v>1033</v>
      </c>
      <c r="AX1" s="729"/>
      <c r="AY1" s="706" t="s">
        <v>1034</v>
      </c>
      <c r="AZ1" s="707"/>
      <c r="BA1" s="729" t="s">
        <v>1033</v>
      </c>
      <c r="BB1" s="729"/>
      <c r="BC1" s="704" t="s">
        <v>594</v>
      </c>
      <c r="BD1" s="705"/>
      <c r="BE1" s="706" t="s">
        <v>1035</v>
      </c>
      <c r="BF1" s="707"/>
      <c r="BG1" s="729" t="s">
        <v>1036</v>
      </c>
      <c r="BH1" s="729"/>
      <c r="BI1" s="704" t="s">
        <v>594</v>
      </c>
      <c r="BJ1" s="705"/>
      <c r="BK1" s="706" t="s">
        <v>1035</v>
      </c>
      <c r="BL1" s="707"/>
      <c r="BM1" s="729" t="s">
        <v>1037</v>
      </c>
      <c r="BN1" s="729"/>
      <c r="BO1" s="704" t="s">
        <v>594</v>
      </c>
      <c r="BP1" s="705"/>
      <c r="BQ1" s="706" t="s">
        <v>1038</v>
      </c>
      <c r="BR1" s="707"/>
      <c r="BS1" s="729" t="s">
        <v>1039</v>
      </c>
      <c r="BT1" s="729"/>
      <c r="BU1" s="704" t="s">
        <v>594</v>
      </c>
      <c r="BV1" s="705"/>
      <c r="BW1" s="706" t="s">
        <v>1040</v>
      </c>
      <c r="BX1" s="707"/>
      <c r="BY1" s="729" t="s">
        <v>1041</v>
      </c>
      <c r="BZ1" s="729"/>
      <c r="CA1" s="704" t="s">
        <v>594</v>
      </c>
      <c r="CB1" s="705"/>
      <c r="CC1" s="706" t="s">
        <v>1038</v>
      </c>
      <c r="CD1" s="707"/>
      <c r="CE1" s="729" t="s">
        <v>1042</v>
      </c>
      <c r="CF1" s="729"/>
      <c r="CG1" s="704" t="s">
        <v>594</v>
      </c>
      <c r="CH1" s="705"/>
      <c r="CI1" s="706" t="s">
        <v>1040</v>
      </c>
      <c r="CJ1" s="707"/>
      <c r="CK1" s="729" t="s">
        <v>1043</v>
      </c>
      <c r="CL1" s="729"/>
      <c r="CM1" s="704" t="s">
        <v>594</v>
      </c>
      <c r="CN1" s="705"/>
      <c r="CO1" s="706" t="s">
        <v>1038</v>
      </c>
      <c r="CP1" s="707"/>
      <c r="CQ1" s="729" t="s">
        <v>1044</v>
      </c>
      <c r="CR1" s="729"/>
      <c r="CS1" s="730" t="s">
        <v>594</v>
      </c>
      <c r="CT1" s="731"/>
      <c r="CU1" s="706" t="s">
        <v>1045</v>
      </c>
      <c r="CV1" s="707"/>
      <c r="CW1" s="729" t="s">
        <v>1046</v>
      </c>
      <c r="CX1" s="729"/>
      <c r="CY1" s="730" t="s">
        <v>594</v>
      </c>
      <c r="CZ1" s="731"/>
      <c r="DA1" s="706" t="s">
        <v>1047</v>
      </c>
      <c r="DB1" s="707"/>
      <c r="DC1" s="729" t="s">
        <v>1048</v>
      </c>
      <c r="DD1" s="729"/>
      <c r="DE1" s="730" t="s">
        <v>594</v>
      </c>
      <c r="DF1" s="731"/>
      <c r="DG1" s="706" t="s">
        <v>1049</v>
      </c>
      <c r="DH1" s="707"/>
      <c r="DI1" s="729" t="s">
        <v>1050</v>
      </c>
      <c r="DJ1" s="729"/>
      <c r="DK1" s="730" t="s">
        <v>594</v>
      </c>
      <c r="DL1" s="731"/>
      <c r="DM1" s="706" t="s">
        <v>1045</v>
      </c>
      <c r="DN1" s="707"/>
      <c r="DO1" s="729" t="s">
        <v>1051</v>
      </c>
      <c r="DP1" s="729"/>
      <c r="DQ1" s="730" t="s">
        <v>594</v>
      </c>
      <c r="DR1" s="731"/>
      <c r="DS1" s="706" t="s">
        <v>1052</v>
      </c>
      <c r="DT1" s="707"/>
      <c r="DU1" s="729" t="s">
        <v>1053</v>
      </c>
      <c r="DV1" s="729"/>
      <c r="DW1" s="730" t="s">
        <v>594</v>
      </c>
      <c r="DX1" s="731"/>
      <c r="DY1" s="706" t="s">
        <v>1054</v>
      </c>
      <c r="DZ1" s="707"/>
      <c r="EA1" s="728" t="s">
        <v>1055</v>
      </c>
      <c r="EB1" s="728"/>
      <c r="EC1" s="730" t="s">
        <v>594</v>
      </c>
      <c r="ED1" s="731"/>
      <c r="EE1" s="706" t="s">
        <v>1052</v>
      </c>
      <c r="EF1" s="707"/>
      <c r="EG1" s="53"/>
      <c r="EH1" s="728" t="s">
        <v>1056</v>
      </c>
      <c r="EI1" s="728"/>
      <c r="EJ1" s="730" t="s">
        <v>594</v>
      </c>
      <c r="EK1" s="731"/>
      <c r="EL1" s="706" t="s">
        <v>1057</v>
      </c>
      <c r="EM1" s="707"/>
      <c r="EN1" s="728" t="s">
        <v>1058</v>
      </c>
      <c r="EO1" s="728"/>
      <c r="EP1" s="730" t="s">
        <v>594</v>
      </c>
      <c r="EQ1" s="731"/>
      <c r="ER1" s="706" t="s">
        <v>1059</v>
      </c>
      <c r="ES1" s="707"/>
      <c r="ET1" s="728" t="s">
        <v>1060</v>
      </c>
      <c r="EU1" s="728"/>
      <c r="EV1" s="730" t="s">
        <v>594</v>
      </c>
      <c r="EW1" s="731"/>
      <c r="EX1" s="706" t="s">
        <v>1054</v>
      </c>
      <c r="EY1" s="707"/>
      <c r="EZ1" s="728" t="s">
        <v>1061</v>
      </c>
      <c r="FA1" s="728"/>
      <c r="FB1" s="730" t="s">
        <v>594</v>
      </c>
      <c r="FC1" s="731"/>
      <c r="FD1" s="706" t="s">
        <v>1047</v>
      </c>
      <c r="FE1" s="707"/>
      <c r="FF1" s="728" t="s">
        <v>1062</v>
      </c>
      <c r="FG1" s="728"/>
      <c r="FH1" s="730" t="s">
        <v>594</v>
      </c>
      <c r="FI1" s="731"/>
      <c r="FJ1" s="706" t="s">
        <v>1045</v>
      </c>
      <c r="FK1" s="707"/>
      <c r="FL1" s="728" t="s">
        <v>1063</v>
      </c>
      <c r="FM1" s="728"/>
      <c r="FN1" s="730" t="s">
        <v>594</v>
      </c>
      <c r="FO1" s="731"/>
      <c r="FP1" s="706" t="s">
        <v>1064</v>
      </c>
      <c r="FQ1" s="707"/>
      <c r="FR1" s="728" t="s">
        <v>1065</v>
      </c>
      <c r="FS1" s="728"/>
      <c r="FT1" s="730" t="s">
        <v>594</v>
      </c>
      <c r="FU1" s="731"/>
      <c r="FV1" s="706" t="s">
        <v>1064</v>
      </c>
      <c r="FW1" s="707"/>
      <c r="FX1" s="728" t="s">
        <v>1066</v>
      </c>
      <c r="FY1" s="728"/>
      <c r="FZ1" s="730" t="s">
        <v>594</v>
      </c>
      <c r="GA1" s="731"/>
      <c r="GB1" s="706" t="s">
        <v>1054</v>
      </c>
      <c r="GC1" s="707"/>
      <c r="GD1" s="728" t="s">
        <v>1067</v>
      </c>
      <c r="GE1" s="728"/>
      <c r="GF1" s="730" t="s">
        <v>594</v>
      </c>
      <c r="GG1" s="731"/>
      <c r="GH1" s="706" t="s">
        <v>1052</v>
      </c>
      <c r="GI1" s="707"/>
      <c r="GJ1" s="728" t="s">
        <v>1068</v>
      </c>
      <c r="GK1" s="728"/>
      <c r="GL1" s="730" t="s">
        <v>594</v>
      </c>
      <c r="GM1" s="731"/>
      <c r="GN1" s="706" t="s">
        <v>1052</v>
      </c>
      <c r="GO1" s="707"/>
      <c r="GP1" s="728" t="s">
        <v>1069</v>
      </c>
      <c r="GQ1" s="728"/>
      <c r="GR1" s="730" t="s">
        <v>594</v>
      </c>
      <c r="GS1" s="731"/>
      <c r="GT1" s="706" t="s">
        <v>1057</v>
      </c>
      <c r="GU1" s="707"/>
      <c r="GV1" s="728" t="s">
        <v>1070</v>
      </c>
      <c r="GW1" s="728"/>
      <c r="GX1" s="730" t="s">
        <v>594</v>
      </c>
      <c r="GY1" s="731"/>
      <c r="GZ1" s="706" t="s">
        <v>1071</v>
      </c>
      <c r="HA1" s="707"/>
      <c r="HB1" s="728" t="s">
        <v>1072</v>
      </c>
      <c r="HC1" s="728"/>
      <c r="HD1" s="730" t="s">
        <v>594</v>
      </c>
      <c r="HE1" s="731"/>
      <c r="HF1" s="706" t="s">
        <v>1059</v>
      </c>
      <c r="HG1" s="707"/>
      <c r="HH1" s="728" t="s">
        <v>1073</v>
      </c>
      <c r="HI1" s="728"/>
      <c r="HJ1" s="730" t="s">
        <v>594</v>
      </c>
      <c r="HK1" s="731"/>
      <c r="HL1" s="706" t="s">
        <v>1045</v>
      </c>
      <c r="HM1" s="707"/>
      <c r="HN1" s="728" t="s">
        <v>1074</v>
      </c>
      <c r="HO1" s="728"/>
      <c r="HP1" s="730" t="s">
        <v>594</v>
      </c>
      <c r="HQ1" s="731"/>
      <c r="HR1" s="706" t="s">
        <v>1045</v>
      </c>
      <c r="HS1" s="707"/>
      <c r="HT1" s="728" t="s">
        <v>1075</v>
      </c>
      <c r="HU1" s="728"/>
      <c r="HV1" s="730" t="s">
        <v>594</v>
      </c>
      <c r="HW1" s="731"/>
      <c r="HX1" s="706" t="s">
        <v>1054</v>
      </c>
      <c r="HY1" s="707"/>
      <c r="HZ1" s="728" t="s">
        <v>1076</v>
      </c>
      <c r="IA1" s="728"/>
      <c r="IB1" s="730" t="s">
        <v>594</v>
      </c>
      <c r="IC1" s="731"/>
      <c r="ID1" s="706" t="s">
        <v>1059</v>
      </c>
      <c r="IE1" s="707"/>
      <c r="IF1" s="728" t="s">
        <v>1077</v>
      </c>
      <c r="IG1" s="728"/>
      <c r="IH1" s="730" t="s">
        <v>594</v>
      </c>
      <c r="II1" s="731"/>
      <c r="IJ1" s="706" t="s">
        <v>1052</v>
      </c>
      <c r="IK1" s="707"/>
      <c r="IL1" s="728" t="s">
        <v>1078</v>
      </c>
      <c r="IM1" s="728"/>
      <c r="IN1" s="730" t="s">
        <v>594</v>
      </c>
      <c r="IO1" s="731"/>
      <c r="IP1" s="706" t="s">
        <v>1054</v>
      </c>
      <c r="IQ1" s="707"/>
      <c r="IR1" s="728" t="s">
        <v>1079</v>
      </c>
      <c r="IS1" s="728"/>
      <c r="IT1" s="730" t="s">
        <v>594</v>
      </c>
      <c r="IU1" s="731"/>
      <c r="IV1" s="706" t="s">
        <v>1080</v>
      </c>
      <c r="IW1" s="707"/>
      <c r="IX1" s="728" t="s">
        <v>1081</v>
      </c>
      <c r="IY1" s="728"/>
      <c r="IZ1" s="730" t="s">
        <v>594</v>
      </c>
      <c r="JA1" s="731"/>
      <c r="JB1" s="706" t="s">
        <v>1064</v>
      </c>
      <c r="JC1" s="707"/>
      <c r="JD1" s="728" t="s">
        <v>1082</v>
      </c>
      <c r="JE1" s="728"/>
      <c r="JF1" s="730" t="s">
        <v>594</v>
      </c>
      <c r="JG1" s="731"/>
      <c r="JH1" s="706" t="s">
        <v>1080</v>
      </c>
      <c r="JI1" s="707"/>
      <c r="JJ1" s="728" t="s">
        <v>1083</v>
      </c>
      <c r="JK1" s="728"/>
      <c r="JL1" s="578" t="s">
        <v>594</v>
      </c>
      <c r="JM1" s="110"/>
      <c r="JN1" s="544" t="s">
        <v>1080</v>
      </c>
      <c r="JO1" s="53"/>
      <c r="JP1" s="728" t="s">
        <v>1084</v>
      </c>
      <c r="JQ1" s="728"/>
      <c r="JR1" s="578" t="s">
        <v>594</v>
      </c>
      <c r="JS1" s="110"/>
      <c r="JT1" s="544" t="s">
        <v>1057</v>
      </c>
      <c r="JU1" s="53"/>
      <c r="JV1" s="728" t="s">
        <v>1085</v>
      </c>
      <c r="JW1" s="728"/>
      <c r="JX1" s="578" t="s">
        <v>594</v>
      </c>
      <c r="JY1" s="110"/>
      <c r="JZ1" s="544" t="s">
        <v>1086</v>
      </c>
      <c r="KA1" s="53"/>
      <c r="KB1" s="728" t="s">
        <v>1087</v>
      </c>
      <c r="KC1" s="728"/>
      <c r="KD1" s="578" t="s">
        <v>594</v>
      </c>
      <c r="KE1" s="110"/>
      <c r="KF1" s="544" t="s">
        <v>1045</v>
      </c>
      <c r="KG1" s="53"/>
      <c r="KH1" s="728" t="s">
        <v>1088</v>
      </c>
      <c r="KI1" s="728"/>
      <c r="KJ1" s="578" t="s">
        <v>594</v>
      </c>
      <c r="KK1" s="110"/>
      <c r="KL1" s="544" t="s">
        <v>1052</v>
      </c>
      <c r="KM1" s="53"/>
      <c r="KN1" s="728" t="s">
        <v>1089</v>
      </c>
      <c r="KO1" s="728"/>
      <c r="KP1" s="578" t="s">
        <v>594</v>
      </c>
      <c r="KQ1" s="110"/>
      <c r="KR1" s="544" t="s">
        <v>1052</v>
      </c>
      <c r="KS1" s="53"/>
      <c r="KT1" s="728" t="s">
        <v>1090</v>
      </c>
      <c r="KU1" s="728"/>
      <c r="KV1" s="578" t="s">
        <v>594</v>
      </c>
      <c r="KW1" s="110"/>
      <c r="KX1" s="544" t="s">
        <v>1052</v>
      </c>
      <c r="KY1" s="53"/>
      <c r="KZ1" s="728" t="s">
        <v>1091</v>
      </c>
      <c r="LA1" s="728"/>
      <c r="LB1" s="578" t="s">
        <v>594</v>
      </c>
      <c r="LC1" s="110"/>
      <c r="LD1" s="544" t="s">
        <v>1080</v>
      </c>
      <c r="LE1" s="53"/>
      <c r="LF1" s="728" t="s">
        <v>1092</v>
      </c>
      <c r="LG1" s="728"/>
      <c r="LH1" s="578" t="s">
        <v>594</v>
      </c>
      <c r="LI1" s="110"/>
      <c r="LJ1" s="544" t="s">
        <v>1080</v>
      </c>
      <c r="LK1" s="53"/>
      <c r="LL1" s="728" t="s">
        <v>1093</v>
      </c>
      <c r="LM1" s="728"/>
      <c r="LN1" s="578" t="s">
        <v>594</v>
      </c>
      <c r="LO1" s="308"/>
      <c r="LP1" s="544" t="s">
        <v>1080</v>
      </c>
      <c r="LQ1" s="53"/>
      <c r="LR1" s="728" t="s">
        <v>1094</v>
      </c>
      <c r="LS1" s="728"/>
      <c r="LT1" s="578" t="s">
        <v>594</v>
      </c>
      <c r="LU1" s="308"/>
      <c r="LV1" s="544" t="s">
        <v>1064</v>
      </c>
      <c r="LW1" s="53"/>
      <c r="LX1" s="728" t="s">
        <v>1095</v>
      </c>
      <c r="LY1" s="728"/>
      <c r="LZ1" s="578" t="s">
        <v>594</v>
      </c>
      <c r="MA1" s="308"/>
      <c r="MB1" s="544" t="s">
        <v>1080</v>
      </c>
      <c r="MC1" s="53"/>
      <c r="MD1" s="732" t="s">
        <v>1096</v>
      </c>
      <c r="ME1" s="728"/>
      <c r="MF1" s="578" t="s">
        <v>594</v>
      </c>
      <c r="MG1" s="308"/>
      <c r="MH1" s="544" t="s">
        <v>1080</v>
      </c>
      <c r="MI1" s="53"/>
      <c r="MJ1" s="732" t="s">
        <v>1097</v>
      </c>
      <c r="MK1" s="728"/>
      <c r="ML1" s="578" t="s">
        <v>594</v>
      </c>
      <c r="MM1" s="308"/>
      <c r="MN1" s="544" t="s">
        <v>1080</v>
      </c>
      <c r="MO1" s="53"/>
      <c r="MP1" s="728" t="s">
        <v>3426</v>
      </c>
      <c r="MQ1" s="728"/>
      <c r="MR1" s="594" t="s">
        <v>594</v>
      </c>
      <c r="MS1" s="308"/>
      <c r="MT1" s="591" t="s">
        <v>1080</v>
      </c>
      <c r="MU1" s="592"/>
      <c r="MV1" s="728" t="s">
        <v>3473</v>
      </c>
      <c r="MW1" s="728"/>
      <c r="MX1" s="637" t="s">
        <v>594</v>
      </c>
      <c r="MY1" s="308"/>
      <c r="MZ1" s="634" t="s">
        <v>1080</v>
      </c>
      <c r="NA1" s="635"/>
      <c r="NB1" s="728" t="s">
        <v>3538</v>
      </c>
      <c r="NC1" s="728"/>
      <c r="ND1" s="665" t="s">
        <v>594</v>
      </c>
      <c r="NE1" s="308"/>
      <c r="NF1" s="677" t="s">
        <v>1045</v>
      </c>
      <c r="NG1" s="656"/>
      <c r="NH1" s="728" t="s">
        <v>3583</v>
      </c>
      <c r="NI1" s="728"/>
      <c r="NJ1" s="680" t="s">
        <v>594</v>
      </c>
      <c r="NK1" s="308"/>
      <c r="NL1" s="677" t="s">
        <v>1080</v>
      </c>
      <c r="NM1" s="678"/>
      <c r="NN1" s="728" t="s">
        <v>3479</v>
      </c>
      <c r="NO1" s="728"/>
    </row>
    <row r="2" spans="1:381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39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39" t="s">
        <v>1108</v>
      </c>
      <c r="NC2" s="50">
        <f>SUM(NC8:NC34)</f>
        <v>344075.64</v>
      </c>
      <c r="ND2" s="662" t="s">
        <v>1104</v>
      </c>
      <c r="NE2" s="254">
        <f>SUM(NE4:NE22)</f>
        <v>31290.460999999999</v>
      </c>
      <c r="NF2" s="75" t="s">
        <v>116</v>
      </c>
      <c r="NG2" s="318">
        <f>NE2+NC2-NI2</f>
        <v>50466.101000000024</v>
      </c>
      <c r="NH2" s="662" t="s">
        <v>1108</v>
      </c>
      <c r="NI2" s="50">
        <f>SUM(NI8:NI31)</f>
        <v>324900</v>
      </c>
      <c r="NJ2" s="682" t="s">
        <v>1104</v>
      </c>
      <c r="NK2" s="254">
        <f>SUM(NK4:NK23)</f>
        <v>28.19</v>
      </c>
      <c r="NL2" s="75" t="s">
        <v>116</v>
      </c>
      <c r="NM2" s="318">
        <f>NK2+NI2-NO2</f>
        <v>23.190000000002328</v>
      </c>
      <c r="NN2" s="682" t="s">
        <v>1108</v>
      </c>
      <c r="NO2" s="50">
        <f>SUM(NO9:NO36)</f>
        <v>324905</v>
      </c>
    </row>
    <row r="3" spans="1:381">
      <c r="A3" s="750" t="s">
        <v>1109</v>
      </c>
      <c r="B3" s="750"/>
      <c r="E3" s="58" t="s">
        <v>123</v>
      </c>
      <c r="F3" s="57">
        <f>F2-F4</f>
        <v>17</v>
      </c>
      <c r="G3" s="750" t="s">
        <v>1109</v>
      </c>
      <c r="H3" s="750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3484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6" t="s">
        <v>3484</v>
      </c>
      <c r="NA3" s="96">
        <f>NA2-MY30-MY29</f>
        <v>3433.9019999999691</v>
      </c>
      <c r="NB3" s="639" t="s">
        <v>3510</v>
      </c>
      <c r="NC3" s="639" t="s">
        <v>3511</v>
      </c>
      <c r="NE3" s="254"/>
      <c r="NF3" s="662" t="s">
        <v>3484</v>
      </c>
      <c r="NG3" s="96">
        <f>NG2-NE24-NE23</f>
        <v>6477.1010000000242</v>
      </c>
      <c r="NH3" s="662" t="s">
        <v>3510</v>
      </c>
      <c r="NI3" s="662" t="s">
        <v>3573</v>
      </c>
      <c r="NK3" s="254"/>
      <c r="NL3" s="682" t="s">
        <v>3484</v>
      </c>
      <c r="NM3" s="96">
        <f>NM2-NK25-NK24</f>
        <v>23.190000000002328</v>
      </c>
      <c r="NN3" s="682" t="s">
        <v>3510</v>
      </c>
      <c r="NO3" s="682" t="s">
        <v>3573</v>
      </c>
    </row>
    <row r="4" spans="1:381" ht="12.75" customHeight="1" thickBot="1">
      <c r="A4" s="750"/>
      <c r="B4" s="750"/>
      <c r="E4" s="58" t="s">
        <v>134</v>
      </c>
      <c r="F4" s="57">
        <f>SUM(F14:F57)</f>
        <v>12750</v>
      </c>
      <c r="G4" s="750"/>
      <c r="H4" s="750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8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3410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3410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3410</v>
      </c>
      <c r="MI4" s="619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3410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3483</v>
      </c>
      <c r="MU4" s="334">
        <f>MU2-MU5</f>
        <v>0.45000000003710738</v>
      </c>
      <c r="MV4" s="39">
        <v>5000</v>
      </c>
      <c r="MW4" s="40">
        <v>45524</v>
      </c>
      <c r="MX4" s="639" t="s">
        <v>1131</v>
      </c>
      <c r="MY4" s="124">
        <v>18611.73</v>
      </c>
      <c r="MZ4" s="646" t="s">
        <v>3483</v>
      </c>
      <c r="NA4" s="334">
        <f>NA2-NA5</f>
        <v>-1.8000000030951924E-2</v>
      </c>
      <c r="NB4" s="297">
        <v>5000</v>
      </c>
      <c r="NC4" s="298">
        <v>45538</v>
      </c>
      <c r="ND4" s="662" t="s">
        <v>1131</v>
      </c>
      <c r="NE4" s="124">
        <v>18611.73</v>
      </c>
      <c r="NF4" s="662" t="s">
        <v>3483</v>
      </c>
      <c r="NG4" s="334">
        <f>NG2-NG5</f>
        <v>0.32100000001810258</v>
      </c>
      <c r="NH4" s="297">
        <v>14000</v>
      </c>
      <c r="NI4" s="298">
        <v>45566</v>
      </c>
      <c r="NJ4" s="682" t="s">
        <v>1131</v>
      </c>
      <c r="NK4" s="124"/>
      <c r="NL4" s="682" t="s">
        <v>3483</v>
      </c>
      <c r="NM4" s="334">
        <f>NM2-NM5</f>
        <v>-0.80999999999767169</v>
      </c>
      <c r="NN4" s="297"/>
      <c r="NO4" s="298"/>
    </row>
    <row r="5" spans="1:381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8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39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2" t="s">
        <v>134</v>
      </c>
      <c r="NG5" s="96">
        <f>SUM(NG6:NG40)</f>
        <v>50465.780000000006</v>
      </c>
      <c r="NH5" s="39">
        <v>8000</v>
      </c>
      <c r="NI5" s="40">
        <v>45580</v>
      </c>
      <c r="NJ5" s="588" t="s">
        <v>1148</v>
      </c>
      <c r="NK5" s="124"/>
      <c r="NL5" s="682" t="s">
        <v>134</v>
      </c>
      <c r="NM5" s="96">
        <f>SUM(NM6:NM40)</f>
        <v>24</v>
      </c>
      <c r="NN5" s="39">
        <v>14000</v>
      </c>
      <c r="NO5" s="40">
        <v>45566</v>
      </c>
    </row>
    <row r="6" spans="1:381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3482</v>
      </c>
      <c r="MS6" s="627"/>
      <c r="MT6" s="119" t="s">
        <v>1281</v>
      </c>
      <c r="MU6" s="48">
        <v>1900.08</v>
      </c>
      <c r="MV6" s="39" t="s">
        <v>1187</v>
      </c>
      <c r="MW6" s="324">
        <v>99000</v>
      </c>
      <c r="MX6" s="588" t="s">
        <v>3500</v>
      </c>
      <c r="MY6" s="124">
        <v>1.42</v>
      </c>
      <c r="MZ6" s="119" t="s">
        <v>1281</v>
      </c>
      <c r="NA6" s="48">
        <v>1900.09</v>
      </c>
      <c r="NB6" s="39">
        <v>14000</v>
      </c>
      <c r="NC6" s="40">
        <v>45566</v>
      </c>
      <c r="ND6" s="602" t="s">
        <v>3557</v>
      </c>
      <c r="NE6" s="48">
        <v>3960.9</v>
      </c>
      <c r="NF6" s="674" t="s">
        <v>3561</v>
      </c>
      <c r="NG6" s="48">
        <v>5000</v>
      </c>
      <c r="NH6" s="39">
        <v>5000</v>
      </c>
      <c r="NI6" s="40">
        <v>45594</v>
      </c>
      <c r="NJ6" s="602" t="s">
        <v>3580</v>
      </c>
      <c r="NK6" s="616" t="s">
        <v>3579</v>
      </c>
      <c r="NL6" s="674" t="s">
        <v>3561</v>
      </c>
      <c r="NM6" s="48"/>
      <c r="NN6" s="39">
        <v>8000</v>
      </c>
      <c r="NO6" s="40">
        <v>45580</v>
      </c>
    </row>
    <row r="7" spans="1:381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3433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7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3457</v>
      </c>
      <c r="MS7" s="627">
        <v>3.99</v>
      </c>
      <c r="MT7" s="119" t="s">
        <v>3465</v>
      </c>
      <c r="MU7" s="48">
        <v>460</v>
      </c>
      <c r="MV7" s="260" t="s">
        <v>1231</v>
      </c>
      <c r="MW7" s="299">
        <v>0</v>
      </c>
      <c r="MX7" s="588" t="s">
        <v>3532</v>
      </c>
      <c r="MY7" s="124">
        <v>42.6</v>
      </c>
      <c r="MZ7" s="123" t="s">
        <v>3543</v>
      </c>
      <c r="NA7" s="653">
        <v>46.85</v>
      </c>
      <c r="NB7" s="39">
        <v>8000</v>
      </c>
      <c r="NC7" s="40">
        <v>45580</v>
      </c>
      <c r="ND7" s="602" t="s">
        <v>3570</v>
      </c>
      <c r="NE7" s="616">
        <v>2943</v>
      </c>
      <c r="NF7" s="676" t="s">
        <v>3571</v>
      </c>
      <c r="NG7" s="48">
        <v>12985</v>
      </c>
      <c r="NH7" s="39">
        <v>6000</v>
      </c>
      <c r="NI7" s="40">
        <v>45608</v>
      </c>
      <c r="NL7" s="676" t="s">
        <v>1544</v>
      </c>
      <c r="NM7" s="48"/>
      <c r="NN7" s="39">
        <v>5000</v>
      </c>
      <c r="NO7" s="40">
        <v>45594</v>
      </c>
    </row>
    <row r="8" spans="1:381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3434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5" t="s">
        <v>3450</v>
      </c>
      <c r="MM8" s="254">
        <f>1.8+69.6</f>
        <v>71.399999999999991</v>
      </c>
      <c r="MN8" s="119" t="s">
        <v>3432</v>
      </c>
      <c r="MO8" s="48">
        <v>1000.06</v>
      </c>
      <c r="MP8" s="260" t="s">
        <v>1231</v>
      </c>
      <c r="MQ8" s="299">
        <v>0</v>
      </c>
      <c r="MR8" s="588" t="s">
        <v>3466</v>
      </c>
      <c r="MS8" s="124">
        <v>5684</v>
      </c>
      <c r="MT8" s="119" t="s">
        <v>3471</v>
      </c>
      <c r="MU8" s="48">
        <v>2000</v>
      </c>
      <c r="MV8" s="600" t="s">
        <v>1278</v>
      </c>
      <c r="MW8" s="238">
        <v>50000</v>
      </c>
      <c r="MX8" s="588"/>
      <c r="MY8" s="124"/>
      <c r="MZ8" s="123" t="s">
        <v>3544</v>
      </c>
      <c r="NA8" s="654">
        <v>30.68</v>
      </c>
      <c r="NB8" s="39" t="s">
        <v>1187</v>
      </c>
      <c r="NC8" s="324">
        <v>94000</v>
      </c>
      <c r="ND8" s="602" t="s">
        <v>3580</v>
      </c>
      <c r="NE8" s="616" t="s">
        <v>3579</v>
      </c>
      <c r="NF8" s="676" t="s">
        <v>3572</v>
      </c>
      <c r="NG8" s="48">
        <f>13002*2</f>
        <v>26004</v>
      </c>
      <c r="NH8" s="41" t="s">
        <v>1187</v>
      </c>
      <c r="NI8" s="299">
        <v>77000</v>
      </c>
      <c r="NK8" s="124"/>
      <c r="NL8" s="676" t="s">
        <v>1544</v>
      </c>
      <c r="NM8" s="48"/>
      <c r="NN8" s="39">
        <v>6000</v>
      </c>
      <c r="NO8" s="40">
        <v>45608</v>
      </c>
    </row>
    <row r="9" spans="1:381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5" t="s">
        <v>3450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5" t="s">
        <v>3450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639" t="s">
        <v>1268</v>
      </c>
      <c r="MY9" s="254"/>
      <c r="MZ9" s="123" t="s">
        <v>3513</v>
      </c>
      <c r="NA9" s="48">
        <v>59.57</v>
      </c>
      <c r="NB9" s="260" t="s">
        <v>1231</v>
      </c>
      <c r="NC9" s="299">
        <v>0</v>
      </c>
      <c r="ND9" s="670"/>
      <c r="NF9" s="602" t="s">
        <v>3427</v>
      </c>
      <c r="NH9" s="663" t="s">
        <v>1220</v>
      </c>
      <c r="NI9" s="50">
        <v>-3000</v>
      </c>
      <c r="NL9" s="602" t="s">
        <v>3427</v>
      </c>
      <c r="NN9" s="41" t="s">
        <v>1187</v>
      </c>
      <c r="NO9" s="299">
        <v>77000</v>
      </c>
    </row>
    <row r="10" spans="1:381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3425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3522</v>
      </c>
      <c r="MU10" s="62">
        <v>736.62</v>
      </c>
      <c r="MV10" s="623" t="s">
        <v>3446</v>
      </c>
      <c r="MW10" s="50">
        <f>10000+20000</f>
        <v>30000</v>
      </c>
      <c r="MX10" s="639" t="s">
        <v>3450</v>
      </c>
      <c r="MY10" s="254">
        <f>69.7+0.6</f>
        <v>70.3</v>
      </c>
      <c r="MZ10" s="152" t="s">
        <v>3524</v>
      </c>
      <c r="NA10" s="48">
        <v>39.6</v>
      </c>
      <c r="NB10" s="643" t="s">
        <v>1220</v>
      </c>
      <c r="NC10" s="50">
        <v>-4000</v>
      </c>
      <c r="ND10" s="668" t="s">
        <v>3555</v>
      </c>
      <c r="NF10" s="152" t="s">
        <v>3547</v>
      </c>
      <c r="NG10" s="48">
        <v>42.12</v>
      </c>
      <c r="NH10" s="657" t="s">
        <v>3527</v>
      </c>
      <c r="NI10" s="99">
        <v>-92000</v>
      </c>
      <c r="NJ10" s="682" t="s">
        <v>1268</v>
      </c>
      <c r="NK10" s="254"/>
      <c r="NL10" s="152" t="s">
        <v>3547</v>
      </c>
      <c r="NM10" s="48"/>
      <c r="NN10" s="685" t="s">
        <v>1220</v>
      </c>
      <c r="NO10" s="50">
        <v>-3000</v>
      </c>
      <c r="NP10" s="336"/>
    </row>
    <row r="11" spans="1:381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3423</v>
      </c>
      <c r="MO11" s="61">
        <v>140.49</v>
      </c>
      <c r="MP11" s="68" t="s">
        <v>1379</v>
      </c>
      <c r="MQ11" s="50">
        <v>50000</v>
      </c>
      <c r="MR11" s="596" t="s">
        <v>3450</v>
      </c>
      <c r="MS11" s="254">
        <v>62.000999999999998</v>
      </c>
      <c r="MT11" s="162" t="s">
        <v>3472</v>
      </c>
      <c r="MU11" s="48">
        <v>8000</v>
      </c>
      <c r="MV11" s="600" t="s">
        <v>3463</v>
      </c>
      <c r="MW11" s="50">
        <v>30000</v>
      </c>
      <c r="MX11" s="325" t="s">
        <v>1381</v>
      </c>
      <c r="MY11" s="254" t="s">
        <v>646</v>
      </c>
      <c r="MZ11" s="152" t="s">
        <v>3503</v>
      </c>
      <c r="NA11" s="51">
        <v>10.9</v>
      </c>
      <c r="NB11" s="645" t="s">
        <v>3527</v>
      </c>
      <c r="NC11" s="99">
        <v>-92000</v>
      </c>
      <c r="ND11" s="662" t="s">
        <v>3563</v>
      </c>
      <c r="NE11" s="124">
        <f>1820*3</f>
        <v>5460</v>
      </c>
      <c r="NF11" s="152" t="s">
        <v>3560</v>
      </c>
      <c r="NG11" s="48">
        <v>200</v>
      </c>
      <c r="NH11" s="663" t="s">
        <v>3512</v>
      </c>
      <c r="NI11" s="50">
        <v>30000</v>
      </c>
      <c r="NJ11" s="682" t="s">
        <v>3450</v>
      </c>
      <c r="NK11" s="254"/>
      <c r="NL11" s="152" t="s">
        <v>3560</v>
      </c>
      <c r="NM11" s="48"/>
      <c r="NN11" s="684" t="s">
        <v>3527</v>
      </c>
      <c r="NO11" s="99">
        <v>-92000</v>
      </c>
      <c r="NP11" s="336">
        <v>45544</v>
      </c>
    </row>
    <row r="12" spans="1:381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3420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3469</v>
      </c>
      <c r="MU12" s="61">
        <v>133.52000000000001</v>
      </c>
      <c r="MV12" s="602" t="s">
        <v>3443</v>
      </c>
      <c r="MW12" s="50">
        <v>-63810</v>
      </c>
      <c r="MX12" s="640" t="s">
        <v>1438</v>
      </c>
      <c r="MY12" s="589">
        <v>2.0009999999999999</v>
      </c>
      <c r="MZ12" s="152" t="s">
        <v>1547</v>
      </c>
      <c r="NA12" s="48">
        <f>5</f>
        <v>5</v>
      </c>
      <c r="NB12" s="643" t="s">
        <v>3512</v>
      </c>
      <c r="NC12" s="50">
        <v>30000</v>
      </c>
      <c r="ND12" s="666"/>
      <c r="NF12" s="152" t="s">
        <v>3575</v>
      </c>
      <c r="NG12" s="62">
        <v>71.599999999999994</v>
      </c>
      <c r="NH12" s="675" t="s">
        <v>3562</v>
      </c>
      <c r="NI12" s="50">
        <v>5000</v>
      </c>
      <c r="NJ12" s="325" t="s">
        <v>1381</v>
      </c>
      <c r="NK12" s="254"/>
      <c r="NL12" s="152" t="s">
        <v>3575</v>
      </c>
      <c r="NM12" s="62"/>
      <c r="NN12" s="685" t="s">
        <v>3512</v>
      </c>
      <c r="NO12" s="50">
        <v>30000</v>
      </c>
      <c r="NP12" s="24"/>
    </row>
    <row r="13" spans="1:381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5" t="s">
        <v>3450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3468</v>
      </c>
      <c r="MU13" s="62">
        <v>180.46</v>
      </c>
      <c r="MV13" s="602" t="s">
        <v>3444</v>
      </c>
      <c r="MW13" s="50">
        <v>-113000</v>
      </c>
      <c r="MX13" s="639" t="s">
        <v>1548</v>
      </c>
      <c r="MY13" s="254"/>
      <c r="MZ13" s="152" t="s">
        <v>1612</v>
      </c>
      <c r="NA13" s="48">
        <f>13.57+9+9</f>
        <v>31.57</v>
      </c>
      <c r="NB13" s="602" t="s">
        <v>3443</v>
      </c>
      <c r="NC13" s="586" t="s">
        <v>1952</v>
      </c>
      <c r="ND13" s="662" t="s">
        <v>1268</v>
      </c>
      <c r="NE13" s="254"/>
      <c r="NF13" s="152" t="s">
        <v>3546</v>
      </c>
      <c r="NG13" s="51">
        <f>91.72+10.9</f>
        <v>102.62</v>
      </c>
      <c r="NH13" s="663" t="s">
        <v>3564</v>
      </c>
      <c r="NI13" s="50">
        <v>204003</v>
      </c>
      <c r="NJ13" s="683" t="s">
        <v>3578</v>
      </c>
      <c r="NK13" s="589"/>
      <c r="NL13" s="152" t="s">
        <v>3546</v>
      </c>
      <c r="NM13" s="51"/>
      <c r="NN13" s="685" t="s">
        <v>3562</v>
      </c>
      <c r="NO13" s="50">
        <v>5000</v>
      </c>
      <c r="NP13" s="24"/>
    </row>
    <row r="14" spans="1:381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33" t="s">
        <v>1631</v>
      </c>
      <c r="DP14" s="734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28" t="s">
        <v>1649</v>
      </c>
      <c r="HK14" s="728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3574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0" t="s">
        <v>3458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41" t="s">
        <v>3454</v>
      </c>
      <c r="MY14" s="254">
        <f>212.33+76.44+42.47</f>
        <v>331.24</v>
      </c>
      <c r="MZ14" s="152" t="s">
        <v>1675</v>
      </c>
      <c r="NA14" s="48">
        <f>18.83+10+14.95+10+10+13.86+15.08+17.6</f>
        <v>110.32</v>
      </c>
      <c r="NB14" s="602" t="s">
        <v>3444</v>
      </c>
      <c r="NC14" s="586" t="s">
        <v>1952</v>
      </c>
      <c r="ND14" s="662" t="s">
        <v>3450</v>
      </c>
      <c r="NE14" s="254">
        <v>71.001000000000005</v>
      </c>
      <c r="NF14" s="152" t="s">
        <v>1547</v>
      </c>
      <c r="NG14" s="48">
        <f>24+5</f>
        <v>29</v>
      </c>
      <c r="NH14" s="663" t="s">
        <v>3552</v>
      </c>
      <c r="NI14" s="633">
        <v>100722</v>
      </c>
      <c r="NJ14" s="682" t="s">
        <v>1548</v>
      </c>
      <c r="NK14" s="254"/>
      <c r="NL14" s="152" t="s">
        <v>1547</v>
      </c>
      <c r="NM14" s="48"/>
      <c r="NN14" s="685" t="s">
        <v>3564</v>
      </c>
      <c r="NO14" s="50">
        <v>204003</v>
      </c>
      <c r="NP14" s="609">
        <v>45564</v>
      </c>
    </row>
    <row r="15" spans="1:381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35" t="s">
        <v>1605</v>
      </c>
      <c r="KE15" s="735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0" t="s">
        <v>3459</v>
      </c>
      <c r="MS15" s="254">
        <v>118.69</v>
      </c>
      <c r="MT15" s="152" t="s">
        <v>1487</v>
      </c>
      <c r="MU15" s="51">
        <f>153.26+10.9</f>
        <v>164.16</v>
      </c>
      <c r="MV15" s="598" t="s">
        <v>3493</v>
      </c>
      <c r="MW15" s="99">
        <v>-92000</v>
      </c>
      <c r="MX15" s="49" t="s">
        <v>3498</v>
      </c>
      <c r="MY15" s="48">
        <f>34.21+0.66</f>
        <v>34.869999999999997</v>
      </c>
      <c r="MZ15" s="603" t="s">
        <v>3518</v>
      </c>
      <c r="NA15" s="48">
        <v>30</v>
      </c>
      <c r="NB15" s="643" t="s">
        <v>3525</v>
      </c>
      <c r="NC15" s="50">
        <v>208005</v>
      </c>
      <c r="ND15" s="659" t="s">
        <v>3578</v>
      </c>
      <c r="NE15" s="589">
        <f>80.35+7.91</f>
        <v>88.259999999999991</v>
      </c>
      <c r="NF15" s="152" t="s">
        <v>1612</v>
      </c>
      <c r="NG15" s="48">
        <f>13.57+9*2</f>
        <v>31.57</v>
      </c>
      <c r="NH15" s="675" t="s">
        <v>3566</v>
      </c>
      <c r="NI15" s="633">
        <v>11</v>
      </c>
      <c r="NJ15" s="684" t="s">
        <v>3539</v>
      </c>
      <c r="NK15" s="254"/>
      <c r="NL15" s="152" t="s">
        <v>1612</v>
      </c>
      <c r="NM15" s="48"/>
      <c r="NN15" s="685" t="s">
        <v>3552</v>
      </c>
      <c r="NO15" s="633">
        <v>100661</v>
      </c>
      <c r="NP15" s="609" t="s">
        <v>3589</v>
      </c>
      <c r="NQ15" s="633"/>
    </row>
    <row r="16" spans="1:381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3407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3454</v>
      </c>
      <c r="MS16" s="254">
        <f>41+74+205</f>
        <v>320</v>
      </c>
      <c r="MT16" s="152" t="s">
        <v>3491</v>
      </c>
      <c r="MU16" s="51">
        <v>153.11000000000001</v>
      </c>
      <c r="MV16" s="600" t="s">
        <v>1482</v>
      </c>
      <c r="MW16" s="48">
        <v>0</v>
      </c>
      <c r="MX16" s="49" t="s">
        <v>3496</v>
      </c>
      <c r="MY16" s="254">
        <f>746.61+10.67</f>
        <v>757.28</v>
      </c>
      <c r="MZ16" s="603" t="s">
        <v>3481</v>
      </c>
      <c r="NA16" s="48">
        <v>4</v>
      </c>
      <c r="NB16" s="643" t="s">
        <v>1606</v>
      </c>
      <c r="NC16" s="50">
        <v>100686</v>
      </c>
      <c r="ND16" s="673" t="s">
        <v>3559</v>
      </c>
      <c r="NE16" s="254"/>
      <c r="NF16" s="152" t="s">
        <v>1675</v>
      </c>
      <c r="NG16" s="48">
        <f>18.73+14.7+14.81+17.41+16.69+1.4+10+17.09</f>
        <v>110.83000000000001</v>
      </c>
      <c r="NH16" s="660" t="s">
        <v>1670</v>
      </c>
      <c r="NI16" s="249"/>
      <c r="NJ16" s="49" t="s">
        <v>1677</v>
      </c>
      <c r="NK16" s="48">
        <f>27.64+0.55</f>
        <v>28.19</v>
      </c>
      <c r="NL16" s="152" t="s">
        <v>1675</v>
      </c>
      <c r="NM16" s="48"/>
      <c r="NN16" s="685" t="s">
        <v>3566</v>
      </c>
      <c r="NO16" s="633">
        <v>11</v>
      </c>
      <c r="NP16" s="609">
        <v>45564</v>
      </c>
    </row>
    <row r="17" spans="1:381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3424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602" t="s">
        <v>3506</v>
      </c>
      <c r="MY17" s="48">
        <v>11.93</v>
      </c>
      <c r="MZ17" s="603" t="s">
        <v>3536</v>
      </c>
      <c r="NA17" s="48">
        <v>17.11</v>
      </c>
      <c r="NB17" s="642" t="s">
        <v>1670</v>
      </c>
      <c r="NC17" s="249"/>
      <c r="ND17" s="662" t="s">
        <v>1548</v>
      </c>
      <c r="NE17" s="254"/>
      <c r="NF17" s="603" t="s">
        <v>3569</v>
      </c>
      <c r="NG17" s="48">
        <v>10</v>
      </c>
      <c r="NH17" s="652" t="s">
        <v>3507</v>
      </c>
      <c r="NI17" s="99">
        <v>-1486</v>
      </c>
      <c r="NJ17" s="602" t="s">
        <v>3506</v>
      </c>
      <c r="NL17" s="603" t="s">
        <v>3584</v>
      </c>
      <c r="NM17" s="48"/>
      <c r="NN17" s="686" t="s">
        <v>1670</v>
      </c>
      <c r="NO17" s="249"/>
      <c r="NP17" s="336"/>
    </row>
    <row r="18" spans="1:381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33" t="s">
        <v>1863</v>
      </c>
      <c r="DJ18" s="734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3">
        <v>214001</v>
      </c>
      <c r="MR18" s="327" t="s">
        <v>3431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38" t="s">
        <v>1605</v>
      </c>
      <c r="MY18" s="638"/>
      <c r="MZ18" s="603" t="s">
        <v>2582</v>
      </c>
      <c r="NA18" s="48">
        <v>80</v>
      </c>
      <c r="NB18" s="652" t="s">
        <v>3507</v>
      </c>
      <c r="NC18" s="99">
        <v>-1807</v>
      </c>
      <c r="ND18" s="657" t="s">
        <v>3539</v>
      </c>
      <c r="NE18" s="254">
        <f>206.48+74.33+41.3</f>
        <v>322.11</v>
      </c>
      <c r="NF18" s="603" t="s">
        <v>3481</v>
      </c>
      <c r="NG18" s="48">
        <f>1+7+1+5+10</f>
        <v>24</v>
      </c>
      <c r="NH18" s="651"/>
      <c r="NI18" s="649"/>
      <c r="NJ18" s="650" t="s">
        <v>3505</v>
      </c>
      <c r="NL18" s="603" t="s">
        <v>3481</v>
      </c>
      <c r="NM18" s="48"/>
      <c r="NN18" s="652" t="s">
        <v>3507</v>
      </c>
      <c r="NO18" s="99">
        <v>-1510</v>
      </c>
      <c r="NP18" s="336">
        <v>45565</v>
      </c>
      <c r="NQ18" s="99"/>
    </row>
    <row r="19" spans="1:381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3489</v>
      </c>
      <c r="MS19" s="48">
        <v>489.97</v>
      </c>
      <c r="MT19" s="152" t="s">
        <v>3495</v>
      </c>
      <c r="MU19" s="48">
        <f>1.3+2.3</f>
        <v>3.5999999999999996</v>
      </c>
      <c r="MV19" s="599" t="s">
        <v>1670</v>
      </c>
      <c r="MW19" s="249"/>
      <c r="MX19" s="587" t="s">
        <v>3509</v>
      </c>
      <c r="MY19" s="328">
        <v>94.9</v>
      </c>
      <c r="MZ19" s="603" t="s">
        <v>3502</v>
      </c>
      <c r="NA19" s="48">
        <v>98.8</v>
      </c>
      <c r="NB19" s="651">
        <v>16</v>
      </c>
      <c r="NC19" s="649" t="s">
        <v>3548</v>
      </c>
      <c r="ND19" s="49" t="s">
        <v>1677</v>
      </c>
      <c r="NE19" s="48">
        <f>32.87+0.59</f>
        <v>33.46</v>
      </c>
      <c r="NF19" s="603" t="s">
        <v>3586</v>
      </c>
      <c r="NG19" s="48">
        <v>2270</v>
      </c>
      <c r="NH19" s="661" t="s">
        <v>1787</v>
      </c>
      <c r="NI19" s="586">
        <v>0</v>
      </c>
      <c r="NJ19" s="681" t="s">
        <v>1605</v>
      </c>
      <c r="NK19" s="681"/>
      <c r="NL19" s="603" t="s">
        <v>1877</v>
      </c>
      <c r="NM19" s="48"/>
      <c r="NN19" s="651">
        <v>117</v>
      </c>
      <c r="NO19" s="649"/>
      <c r="NP19" s="336"/>
    </row>
    <row r="20" spans="1:381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3417</v>
      </c>
      <c r="MO20" s="48">
        <f>20+20+20</f>
        <v>60</v>
      </c>
      <c r="MP20" s="54" t="s">
        <v>1728</v>
      </c>
      <c r="MQ20" s="99">
        <v>-1735</v>
      </c>
      <c r="MR20" s="587" t="s">
        <v>3490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611" t="s">
        <v>3519</v>
      </c>
      <c r="MY20" s="48">
        <v>81.81</v>
      </c>
      <c r="MZ20" s="603" t="s">
        <v>3542</v>
      </c>
      <c r="NA20" s="616">
        <v>29.6</v>
      </c>
      <c r="NB20" s="644" t="s">
        <v>1787</v>
      </c>
      <c r="NC20" s="586">
        <v>-40</v>
      </c>
      <c r="ND20" s="664" t="s">
        <v>1605</v>
      </c>
      <c r="NE20" s="664"/>
      <c r="NF20" s="603" t="s">
        <v>2071</v>
      </c>
      <c r="NG20" s="48">
        <v>115</v>
      </c>
      <c r="NH20" s="659" t="s">
        <v>3554</v>
      </c>
      <c r="NI20" s="667">
        <f>NH21-0.99*195000</f>
        <v>-2206</v>
      </c>
      <c r="NJ20" s="688"/>
      <c r="NK20" s="688"/>
      <c r="NL20" s="603" t="s">
        <v>1877</v>
      </c>
      <c r="NM20" s="48"/>
      <c r="NN20" s="687" t="s">
        <v>1787</v>
      </c>
      <c r="NO20" s="586">
        <v>0</v>
      </c>
      <c r="NP20" s="609">
        <v>45564</v>
      </c>
    </row>
    <row r="21" spans="1:381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36" t="s">
        <v>330</v>
      </c>
      <c r="N21" s="736"/>
      <c r="Q21" s="63" t="s">
        <v>355</v>
      </c>
      <c r="S21" s="736" t="s">
        <v>330</v>
      </c>
      <c r="T21" s="736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48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3422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3416</v>
      </c>
      <c r="MO21" s="48">
        <f>4+5+10</f>
        <v>19</v>
      </c>
      <c r="MP21" s="70" t="s">
        <v>1787</v>
      </c>
      <c r="MQ21" s="586">
        <v>-20</v>
      </c>
      <c r="MR21" s="320" t="s">
        <v>3488</v>
      </c>
      <c r="MS21" s="328">
        <v>473.7</v>
      </c>
      <c r="MT21" s="603" t="s">
        <v>3476</v>
      </c>
      <c r="MU21" s="48">
        <v>60</v>
      </c>
      <c r="MV21" s="601" t="s">
        <v>1787</v>
      </c>
      <c r="MW21" s="586">
        <v>10.000999999999999</v>
      </c>
      <c r="MX21" s="587" t="s">
        <v>3508</v>
      </c>
      <c r="MY21" s="328">
        <v>101.1</v>
      </c>
      <c r="MZ21" s="603" t="s">
        <v>3514</v>
      </c>
      <c r="NA21" s="61">
        <v>30.5</v>
      </c>
      <c r="NB21" s="640" t="s">
        <v>3497</v>
      </c>
      <c r="NC21" s="50">
        <v>-306</v>
      </c>
      <c r="ND21" s="329"/>
      <c r="NE21" s="328"/>
      <c r="NF21" s="603" t="s">
        <v>3549</v>
      </c>
      <c r="NG21" s="616">
        <f>15+14.3</f>
        <v>29.3</v>
      </c>
      <c r="NH21" s="288">
        <v>190844</v>
      </c>
      <c r="NI21" s="43" t="s">
        <v>2038</v>
      </c>
      <c r="NJ21" s="688"/>
      <c r="NK21" s="688"/>
      <c r="NL21" s="603" t="s">
        <v>1877</v>
      </c>
      <c r="NM21" s="616"/>
      <c r="NN21" s="683" t="s">
        <v>3554</v>
      </c>
      <c r="NO21" s="667">
        <f>NN22-0.99*195000</f>
        <v>-2206</v>
      </c>
      <c r="NP21" s="336">
        <v>45564</v>
      </c>
    </row>
    <row r="22" spans="1:381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38" t="s">
        <v>2091</v>
      </c>
      <c r="N22" s="738"/>
      <c r="Q22" s="63" t="s">
        <v>364</v>
      </c>
      <c r="S22" s="738" t="s">
        <v>2091</v>
      </c>
      <c r="T22" s="738"/>
      <c r="W22" s="71" t="s">
        <v>1736</v>
      </c>
      <c r="X22" s="14">
        <v>0</v>
      </c>
      <c r="Y22" s="736" t="s">
        <v>330</v>
      </c>
      <c r="Z22" s="736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48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29" t="s">
        <v>2117</v>
      </c>
      <c r="IU22" s="729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3408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3448</v>
      </c>
      <c r="MS22" s="328">
        <f>110.7*2</f>
        <v>221.4</v>
      </c>
      <c r="MT22" s="603" t="s">
        <v>3494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3521</v>
      </c>
      <c r="MY22" s="328">
        <v>87.97</v>
      </c>
      <c r="MZ22" s="603" t="s">
        <v>3526</v>
      </c>
      <c r="NA22" s="48">
        <f>30.5*2</f>
        <v>61</v>
      </c>
      <c r="NB22" s="288">
        <v>192745</v>
      </c>
      <c r="NC22" s="43" t="s">
        <v>2038</v>
      </c>
      <c r="ND22" s="658" t="s">
        <v>2221</v>
      </c>
      <c r="NE22" s="312"/>
      <c r="NF22" s="603" t="s">
        <v>3553</v>
      </c>
      <c r="NG22" s="48">
        <v>16.7</v>
      </c>
      <c r="NH22" s="659" t="s">
        <v>2087</v>
      </c>
      <c r="NI22" s="671">
        <v>2600</v>
      </c>
      <c r="NJ22" s="329"/>
      <c r="NK22" s="328"/>
      <c r="NL22" s="603" t="s">
        <v>1877</v>
      </c>
      <c r="NM22" s="48"/>
      <c r="NN22" s="288">
        <v>190844</v>
      </c>
      <c r="NO22" s="43" t="s">
        <v>2038</v>
      </c>
    </row>
    <row r="23" spans="1:381">
      <c r="A23" s="736" t="s">
        <v>330</v>
      </c>
      <c r="B23" s="736"/>
      <c r="E23" s="565" t="s">
        <v>402</v>
      </c>
      <c r="F23" s="63"/>
      <c r="G23" s="736" t="s">
        <v>330</v>
      </c>
      <c r="H23" s="736"/>
      <c r="K23" s="71" t="s">
        <v>1736</v>
      </c>
      <c r="L23" s="14">
        <v>0</v>
      </c>
      <c r="M23" s="737"/>
      <c r="N23" s="737"/>
      <c r="Q23" s="63" t="s">
        <v>1916</v>
      </c>
      <c r="S23" s="737"/>
      <c r="T23" s="737"/>
      <c r="W23" s="71" t="s">
        <v>1518</v>
      </c>
      <c r="X23" s="66">
        <v>0</v>
      </c>
      <c r="Y23" s="738" t="s">
        <v>2091</v>
      </c>
      <c r="Z23" s="738"/>
      <c r="AE23" s="736" t="s">
        <v>330</v>
      </c>
      <c r="AF23" s="736"/>
      <c r="AK23" s="736" t="s">
        <v>330</v>
      </c>
      <c r="AL23" s="736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39" t="s">
        <v>2149</v>
      </c>
      <c r="EF23" s="739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48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48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29" t="s">
        <v>2117</v>
      </c>
      <c r="HK23" s="729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29" t="s">
        <v>2117</v>
      </c>
      <c r="HW23" s="729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3462</v>
      </c>
      <c r="MS23" s="328">
        <v>181.5</v>
      </c>
      <c r="MT23" s="603" t="s">
        <v>3430</v>
      </c>
      <c r="MU23" s="616">
        <v>33.33</v>
      </c>
      <c r="MV23" s="288">
        <v>193051</v>
      </c>
      <c r="MW23" s="43" t="s">
        <v>2038</v>
      </c>
      <c r="MX23" s="320" t="s">
        <v>3520</v>
      </c>
      <c r="MY23" s="328">
        <f>43.21+28.21+36.83</f>
        <v>108.25</v>
      </c>
      <c r="MZ23" s="603" t="s">
        <v>3528</v>
      </c>
      <c r="NA23" s="48">
        <f>5.6+38.97</f>
        <v>44.57</v>
      </c>
      <c r="NB23" s="640" t="s">
        <v>2087</v>
      </c>
      <c r="NC23" s="50">
        <v>2600</v>
      </c>
      <c r="ND23" s="330" t="s">
        <v>1200</v>
      </c>
      <c r="NE23" s="96">
        <f>SUM(NG6:NG6)</f>
        <v>5000</v>
      </c>
      <c r="NF23" s="603" t="s">
        <v>2783</v>
      </c>
      <c r="NG23" s="61">
        <f>34.5+30.5+32.5+36</f>
        <v>133.5</v>
      </c>
      <c r="NH23" s="663" t="s">
        <v>3551</v>
      </c>
      <c r="NI23" s="50">
        <v>608</v>
      </c>
      <c r="NJ23" s="679" t="s">
        <v>2221</v>
      </c>
      <c r="NK23" s="312"/>
      <c r="NL23" s="603" t="s">
        <v>1877</v>
      </c>
      <c r="NM23" s="61"/>
      <c r="NN23" s="683" t="s">
        <v>2087</v>
      </c>
      <c r="NO23" s="671">
        <v>2600</v>
      </c>
      <c r="NP23" s="336">
        <v>45564</v>
      </c>
    </row>
    <row r="24" spans="1:381">
      <c r="A24" s="738" t="s">
        <v>2091</v>
      </c>
      <c r="B24" s="738"/>
      <c r="E24" s="565" t="s">
        <v>271</v>
      </c>
      <c r="F24" s="63"/>
      <c r="G24" s="738" t="s">
        <v>2091</v>
      </c>
      <c r="H24" s="738"/>
      <c r="K24" s="71" t="s">
        <v>1518</v>
      </c>
      <c r="L24" s="66">
        <v>0</v>
      </c>
      <c r="M24" s="737"/>
      <c r="N24" s="737"/>
      <c r="Q24" s="71" t="s">
        <v>1617</v>
      </c>
      <c r="R24" s="14">
        <v>0</v>
      </c>
      <c r="S24" s="737"/>
      <c r="T24" s="737"/>
      <c r="W24" s="71" t="s">
        <v>2183</v>
      </c>
      <c r="X24" s="14">
        <v>910.17</v>
      </c>
      <c r="Y24" s="737"/>
      <c r="Z24" s="737"/>
      <c r="AC24" s="78" t="s">
        <v>2184</v>
      </c>
      <c r="AD24" s="14">
        <v>90</v>
      </c>
      <c r="AE24" s="738" t="s">
        <v>2091</v>
      </c>
      <c r="AF24" s="738"/>
      <c r="AI24" s="77" t="s">
        <v>2185</v>
      </c>
      <c r="AJ24" s="14">
        <v>30</v>
      </c>
      <c r="AK24" s="738" t="s">
        <v>2091</v>
      </c>
      <c r="AL24" s="738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38"/>
      <c r="BH24" s="738"/>
      <c r="BK24" s="94" t="s">
        <v>2187</v>
      </c>
      <c r="BL24" s="66">
        <v>48.54</v>
      </c>
      <c r="BM24" s="738"/>
      <c r="BN24" s="738"/>
      <c r="BQ24" s="94" t="s">
        <v>1918</v>
      </c>
      <c r="BR24" s="66">
        <v>50.15</v>
      </c>
      <c r="BS24" s="738" t="s">
        <v>2188</v>
      </c>
      <c r="BT24" s="738"/>
      <c r="BW24" s="94" t="s">
        <v>1918</v>
      </c>
      <c r="BX24" s="66">
        <v>48.54</v>
      </c>
      <c r="BY24" s="738"/>
      <c r="BZ24" s="738"/>
      <c r="CC24" s="94" t="s">
        <v>1918</v>
      </c>
      <c r="CD24" s="66">
        <v>142.91</v>
      </c>
      <c r="CE24" s="738"/>
      <c r="CF24" s="738"/>
      <c r="CI24" s="94" t="s">
        <v>2189</v>
      </c>
      <c r="CJ24" s="66">
        <v>35.049999999999997</v>
      </c>
      <c r="CK24" s="737"/>
      <c r="CL24" s="737"/>
      <c r="CO24" s="94" t="s">
        <v>1866</v>
      </c>
      <c r="CP24" s="66">
        <v>153.41</v>
      </c>
      <c r="CQ24" s="737" t="s">
        <v>2190</v>
      </c>
      <c r="CR24" s="737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48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3461</v>
      </c>
      <c r="MS24" s="328">
        <v>145.19999999999999</v>
      </c>
      <c r="MT24" s="603" t="s">
        <v>3449</v>
      </c>
      <c r="MU24" s="48">
        <v>17.100000000000001</v>
      </c>
      <c r="MV24" s="597" t="s">
        <v>2087</v>
      </c>
      <c r="MW24" s="50">
        <v>2600</v>
      </c>
      <c r="MX24" s="320" t="s">
        <v>3523</v>
      </c>
      <c r="MY24" s="328">
        <v>731.39</v>
      </c>
      <c r="MZ24" s="603" t="s">
        <v>3529</v>
      </c>
      <c r="NA24" s="48">
        <v>8.4</v>
      </c>
      <c r="NB24" s="643" t="s">
        <v>3464</v>
      </c>
      <c r="NC24" s="50">
        <v>966</v>
      </c>
      <c r="ND24" s="160" t="s">
        <v>2587</v>
      </c>
      <c r="NE24" s="96">
        <f>SUM(NG7:NG8)</f>
        <v>38989</v>
      </c>
      <c r="NF24" s="603" t="s">
        <v>3576</v>
      </c>
      <c r="NG24" s="62">
        <f>35.7+7.7</f>
        <v>43.400000000000006</v>
      </c>
      <c r="NH24" s="663" t="s">
        <v>3452</v>
      </c>
      <c r="NI24" s="50">
        <v>528</v>
      </c>
      <c r="NJ24" s="330" t="s">
        <v>1200</v>
      </c>
      <c r="NK24" s="62">
        <f>SUM(NM6:NM6)</f>
        <v>0</v>
      </c>
      <c r="NL24" s="603" t="s">
        <v>1877</v>
      </c>
      <c r="NM24" s="62"/>
      <c r="NN24" s="685" t="s">
        <v>3551</v>
      </c>
      <c r="NO24" s="50">
        <v>608</v>
      </c>
      <c r="NP24" s="336">
        <v>45564</v>
      </c>
    </row>
    <row r="25" spans="1:381">
      <c r="A25" s="737"/>
      <c r="B25" s="737"/>
      <c r="E25" s="564" t="s">
        <v>386</v>
      </c>
      <c r="F25" s="58"/>
      <c r="G25" s="737"/>
      <c r="H25" s="737"/>
      <c r="K25" s="71" t="s">
        <v>2239</v>
      </c>
      <c r="L25" s="14">
        <f>910+40</f>
        <v>950</v>
      </c>
      <c r="M25" s="737"/>
      <c r="N25" s="737"/>
      <c r="Q25" s="71" t="s">
        <v>1680</v>
      </c>
      <c r="R25" s="14">
        <v>0</v>
      </c>
      <c r="S25" s="737"/>
      <c r="T25" s="737"/>
      <c r="W25" s="72" t="s">
        <v>2240</v>
      </c>
      <c r="X25" s="14">
        <v>110.58</v>
      </c>
      <c r="Y25" s="737"/>
      <c r="Z25" s="737"/>
      <c r="AE25" s="737"/>
      <c r="AF25" s="737"/>
      <c r="AK25" s="737"/>
      <c r="AL25" s="737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37"/>
      <c r="AX25" s="737"/>
      <c r="AY25" s="72"/>
      <c r="AZ25" s="66"/>
      <c r="BA25" s="737"/>
      <c r="BB25" s="737"/>
      <c r="BE25" s="72" t="s">
        <v>1547</v>
      </c>
      <c r="BF25" s="66">
        <f>6.5*2</f>
        <v>13</v>
      </c>
      <c r="BG25" s="737"/>
      <c r="BH25" s="737"/>
      <c r="BK25" s="94" t="s">
        <v>1547</v>
      </c>
      <c r="BL25" s="66">
        <f>6.5*2</f>
        <v>13</v>
      </c>
      <c r="BM25" s="737"/>
      <c r="BN25" s="737"/>
      <c r="BQ25" s="94" t="s">
        <v>1547</v>
      </c>
      <c r="BR25" s="66">
        <v>13</v>
      </c>
      <c r="BS25" s="737"/>
      <c r="BT25" s="737"/>
      <c r="BW25" s="94" t="s">
        <v>1547</v>
      </c>
      <c r="BX25" s="66">
        <v>13</v>
      </c>
      <c r="BY25" s="737"/>
      <c r="BZ25" s="737"/>
      <c r="CC25" s="94" t="s">
        <v>1547</v>
      </c>
      <c r="CD25" s="66">
        <v>13</v>
      </c>
      <c r="CE25" s="737"/>
      <c r="CF25" s="737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40" t="s">
        <v>2149</v>
      </c>
      <c r="DZ25" s="741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39" t="s">
        <v>2149</v>
      </c>
      <c r="ES25" s="739"/>
      <c r="ET25" s="54" t="s">
        <v>1810</v>
      </c>
      <c r="EU25" s="99">
        <v>20000</v>
      </c>
      <c r="EW25" s="748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29" t="s">
        <v>2117</v>
      </c>
      <c r="IC25" s="729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3464</v>
      </c>
      <c r="MW25" s="50">
        <v>615</v>
      </c>
      <c r="MX25" s="320" t="s">
        <v>3545</v>
      </c>
      <c r="MY25" s="328">
        <v>25</v>
      </c>
      <c r="MZ25" s="648" t="s">
        <v>3445</v>
      </c>
      <c r="NA25" s="48">
        <f>749.38+250.7</f>
        <v>1000.0799999999999</v>
      </c>
      <c r="NB25" s="643" t="s">
        <v>3452</v>
      </c>
      <c r="NC25" s="50">
        <v>1082</v>
      </c>
      <c r="ND25" s="152" t="s">
        <v>2678</v>
      </c>
      <c r="NE25" s="50">
        <f>SUM(NG10:NG16)</f>
        <v>587.74</v>
      </c>
      <c r="NF25" s="603" t="s">
        <v>3577</v>
      </c>
      <c r="NG25" s="62">
        <v>72.66</v>
      </c>
      <c r="NH25" s="663" t="s">
        <v>3421</v>
      </c>
      <c r="NI25" s="50">
        <v>10</v>
      </c>
      <c r="NJ25" s="160" t="s">
        <v>2587</v>
      </c>
      <c r="NK25" s="62">
        <f>SUM(NM7:NM8)</f>
        <v>0</v>
      </c>
      <c r="NL25" s="603" t="s">
        <v>1877</v>
      </c>
      <c r="NM25" s="62"/>
      <c r="NN25" s="685" t="s">
        <v>3452</v>
      </c>
      <c r="NO25" s="50">
        <v>528</v>
      </c>
      <c r="NP25" s="336">
        <v>45564</v>
      </c>
    </row>
    <row r="26" spans="1:381">
      <c r="A26" s="737"/>
      <c r="B26" s="737"/>
      <c r="F26" s="67"/>
      <c r="G26" s="737"/>
      <c r="H26" s="737"/>
      <c r="M26" s="742" t="s">
        <v>372</v>
      </c>
      <c r="N26" s="737"/>
      <c r="Q26" s="71" t="s">
        <v>1736</v>
      </c>
      <c r="R26" s="14">
        <v>0</v>
      </c>
      <c r="S26" s="742" t="s">
        <v>372</v>
      </c>
      <c r="T26" s="737"/>
      <c r="W26" s="72" t="s">
        <v>1918</v>
      </c>
      <c r="X26" s="14">
        <v>60.75</v>
      </c>
      <c r="Y26" s="737"/>
      <c r="Z26" s="737"/>
      <c r="AC26" s="21" t="s">
        <v>2284</v>
      </c>
      <c r="AD26" s="21"/>
      <c r="AE26" s="742" t="s">
        <v>372</v>
      </c>
      <c r="AF26" s="737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39" t="s">
        <v>2149</v>
      </c>
      <c r="EY26" s="739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29" t="s">
        <v>2117</v>
      </c>
      <c r="HQ26" s="729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2"/>
      <c r="MT26" s="603" t="s">
        <v>3456</v>
      </c>
      <c r="MU26" s="48">
        <v>73.86</v>
      </c>
      <c r="MV26" s="600" t="s">
        <v>3452</v>
      </c>
      <c r="MW26" s="50">
        <v>1100</v>
      </c>
      <c r="MX26" s="640"/>
      <c r="MY26" s="254"/>
      <c r="MZ26" s="648" t="s">
        <v>1518</v>
      </c>
      <c r="NA26" s="48">
        <v>588.6</v>
      </c>
      <c r="NB26" s="643" t="s">
        <v>3421</v>
      </c>
      <c r="NC26" s="50">
        <v>10</v>
      </c>
      <c r="ND26" s="648" t="s">
        <v>3504</v>
      </c>
      <c r="NE26" s="50">
        <f>SUM(NG28:NG29)</f>
        <v>2239.2199999999998</v>
      </c>
      <c r="NF26" s="603" t="s">
        <v>3581</v>
      </c>
      <c r="NG26" s="62">
        <v>31.55</v>
      </c>
      <c r="NH26" s="657" t="s">
        <v>2176</v>
      </c>
      <c r="NI26" s="50">
        <v>110</v>
      </c>
      <c r="NJ26" s="49" t="s">
        <v>2630</v>
      </c>
      <c r="NK26" s="48">
        <f>SUM(NM9:NM9)</f>
        <v>0</v>
      </c>
      <c r="NL26" s="603" t="s">
        <v>1877</v>
      </c>
      <c r="NM26" s="62"/>
      <c r="NN26" s="685" t="s">
        <v>3421</v>
      </c>
      <c r="NO26" s="50">
        <v>10</v>
      </c>
      <c r="NP26" s="336">
        <v>45564</v>
      </c>
    </row>
    <row r="27" spans="1:381" ht="12.75" customHeight="1">
      <c r="A27" s="737"/>
      <c r="B27" s="737"/>
      <c r="E27" s="567" t="s">
        <v>418</v>
      </c>
      <c r="F27" s="67"/>
      <c r="G27" s="737"/>
      <c r="H27" s="737"/>
      <c r="K27" s="72" t="s">
        <v>2332</v>
      </c>
      <c r="L27" s="14">
        <f>60</f>
        <v>60</v>
      </c>
      <c r="M27" s="742" t="s">
        <v>2333</v>
      </c>
      <c r="N27" s="737"/>
      <c r="Q27" s="71" t="s">
        <v>2334</v>
      </c>
      <c r="R27" s="66">
        <v>200</v>
      </c>
      <c r="S27" s="742" t="s">
        <v>2333</v>
      </c>
      <c r="T27" s="737"/>
      <c r="W27" s="72" t="s">
        <v>1986</v>
      </c>
      <c r="X27" s="14">
        <v>61.35</v>
      </c>
      <c r="Y27" s="742" t="s">
        <v>372</v>
      </c>
      <c r="Z27" s="737"/>
      <c r="AC27" s="21" t="s">
        <v>2335</v>
      </c>
      <c r="AD27" s="21">
        <f>53+207+63</f>
        <v>323</v>
      </c>
      <c r="AE27" s="742" t="s">
        <v>2333</v>
      </c>
      <c r="AF27" s="737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39" t="s">
        <v>2355</v>
      </c>
      <c r="FE27" s="739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3421</v>
      </c>
      <c r="MQ27" s="50">
        <v>10</v>
      </c>
      <c r="MR27" s="49"/>
      <c r="MT27" s="603" t="s">
        <v>3487</v>
      </c>
      <c r="MU27" s="48">
        <v>29.6</v>
      </c>
      <c r="MV27" s="600" t="s">
        <v>3421</v>
      </c>
      <c r="MW27" s="50">
        <v>10</v>
      </c>
      <c r="MX27" s="320"/>
      <c r="MY27" s="320"/>
      <c r="MZ27" s="648" t="s">
        <v>3501</v>
      </c>
      <c r="NA27" s="48">
        <v>56.5</v>
      </c>
      <c r="NB27" s="641" t="s">
        <v>2176</v>
      </c>
      <c r="NC27" s="50">
        <v>70</v>
      </c>
      <c r="ND27" s="326" t="s">
        <v>2428</v>
      </c>
      <c r="NE27" s="628">
        <f>SUM(NG17:NG27)</f>
        <v>2863.11</v>
      </c>
      <c r="NF27" s="603" t="s">
        <v>3582</v>
      </c>
      <c r="NG27" s="62">
        <v>117</v>
      </c>
      <c r="NH27" s="657" t="s">
        <v>3499</v>
      </c>
      <c r="NI27" s="50">
        <v>1000</v>
      </c>
      <c r="NJ27" s="152" t="s">
        <v>2678</v>
      </c>
      <c r="NK27" s="48">
        <f>SUM(NM10:NM16)</f>
        <v>0</v>
      </c>
      <c r="NL27" s="603" t="s">
        <v>1877</v>
      </c>
      <c r="NM27" s="62"/>
      <c r="NN27" s="684" t="s">
        <v>2176</v>
      </c>
      <c r="NO27" s="50">
        <v>110</v>
      </c>
      <c r="NP27" s="336">
        <v>45564</v>
      </c>
    </row>
    <row r="28" spans="1:381">
      <c r="A28" s="742" t="s">
        <v>372</v>
      </c>
      <c r="B28" s="737"/>
      <c r="E28" s="567" t="s">
        <v>427</v>
      </c>
      <c r="F28" s="67"/>
      <c r="G28" s="742" t="s">
        <v>372</v>
      </c>
      <c r="H28" s="737"/>
      <c r="K28" s="72" t="s">
        <v>1986</v>
      </c>
      <c r="L28" s="14">
        <v>0</v>
      </c>
      <c r="M28" s="743" t="s">
        <v>197</v>
      </c>
      <c r="N28" s="743"/>
      <c r="Q28" s="71" t="s">
        <v>2183</v>
      </c>
      <c r="R28" s="14">
        <v>0</v>
      </c>
      <c r="S28" s="743" t="s">
        <v>197</v>
      </c>
      <c r="T28" s="743"/>
      <c r="W28" s="72" t="s">
        <v>2041</v>
      </c>
      <c r="X28" s="14">
        <v>64</v>
      </c>
      <c r="Y28" s="742" t="s">
        <v>2333</v>
      </c>
      <c r="Z28" s="737"/>
      <c r="AC28" s="21" t="s">
        <v>2393</v>
      </c>
      <c r="AD28" s="21">
        <f>63+46</f>
        <v>109</v>
      </c>
      <c r="AE28" s="743" t="s">
        <v>197</v>
      </c>
      <c r="AF28" s="743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39" t="s">
        <v>2149</v>
      </c>
      <c r="EM28" s="739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29" t="s">
        <v>2117</v>
      </c>
      <c r="JA28" s="729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3404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3460</v>
      </c>
      <c r="MU28" s="48">
        <v>27.5</v>
      </c>
      <c r="MV28" s="598" t="s">
        <v>2176</v>
      </c>
      <c r="MW28" s="50">
        <v>140</v>
      </c>
      <c r="MX28" s="636" t="s">
        <v>2221</v>
      </c>
      <c r="MY28" s="312"/>
      <c r="MZ28" s="648" t="s">
        <v>2034</v>
      </c>
      <c r="NA28" s="62">
        <f>78.3+25.4</f>
        <v>103.69999999999999</v>
      </c>
      <c r="NB28" s="647" t="s">
        <v>3499</v>
      </c>
      <c r="NC28" s="50">
        <v>1000</v>
      </c>
      <c r="ND28" s="326" t="s">
        <v>2575</v>
      </c>
      <c r="NE28" s="262">
        <f>SUM(NG21:NG27)</f>
        <v>444.11</v>
      </c>
      <c r="NF28" s="648" t="s">
        <v>3445</v>
      </c>
      <c r="NG28" s="48">
        <f>250.7+749.38+1194.24</f>
        <v>2194.3199999999997</v>
      </c>
      <c r="NH28" s="661" t="s">
        <v>2070</v>
      </c>
      <c r="NI28" s="50">
        <v>2000</v>
      </c>
      <c r="NJ28" s="648" t="s">
        <v>3504</v>
      </c>
      <c r="NK28" s="48">
        <f>SUM(NM28:NM29)</f>
        <v>0</v>
      </c>
      <c r="NL28" s="648" t="s">
        <v>3585</v>
      </c>
      <c r="NM28" s="48"/>
      <c r="NN28" s="684" t="s">
        <v>3499</v>
      </c>
      <c r="NO28" s="50">
        <v>1000</v>
      </c>
      <c r="NP28" s="336"/>
    </row>
    <row r="29" spans="1:381">
      <c r="A29" s="742" t="s">
        <v>2333</v>
      </c>
      <c r="B29" s="737"/>
      <c r="E29" s="567" t="s">
        <v>431</v>
      </c>
      <c r="F29" s="67"/>
      <c r="G29" s="742" t="s">
        <v>2333</v>
      </c>
      <c r="H29" s="737"/>
      <c r="K29" s="72" t="s">
        <v>2041</v>
      </c>
      <c r="L29" s="14">
        <v>64</v>
      </c>
      <c r="M29" s="737" t="s">
        <v>300</v>
      </c>
      <c r="N29" s="737"/>
      <c r="S29" s="737" t="s">
        <v>300</v>
      </c>
      <c r="T29" s="737"/>
      <c r="W29" s="72" t="s">
        <v>2092</v>
      </c>
      <c r="X29" s="14">
        <v>100.01</v>
      </c>
      <c r="Y29" s="743" t="s">
        <v>197</v>
      </c>
      <c r="Z29" s="743"/>
      <c r="AC29" s="14" t="s">
        <v>2445</v>
      </c>
      <c r="AD29" s="14">
        <v>65</v>
      </c>
      <c r="AE29" s="737" t="s">
        <v>300</v>
      </c>
      <c r="AF29" s="737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39" t="s">
        <v>2355</v>
      </c>
      <c r="FK29" s="739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3403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48" t="s">
        <v>3533</v>
      </c>
      <c r="NA29" s="62">
        <v>57.47</v>
      </c>
      <c r="NB29" s="644" t="s">
        <v>2070</v>
      </c>
      <c r="NC29" s="50">
        <v>2000</v>
      </c>
      <c r="NF29" s="648" t="s">
        <v>2692</v>
      </c>
      <c r="NG29" s="48">
        <v>44.9</v>
      </c>
      <c r="NH29" s="338">
        <v>5049</v>
      </c>
      <c r="NI29" s="285" t="s">
        <v>3467</v>
      </c>
      <c r="NJ29" s="326" t="s">
        <v>2428</v>
      </c>
      <c r="NK29" s="589">
        <f>SUM(NM17:NM27)</f>
        <v>0</v>
      </c>
      <c r="NL29" s="648" t="s">
        <v>3585</v>
      </c>
      <c r="NM29" s="48"/>
      <c r="NN29" s="687" t="s">
        <v>2070</v>
      </c>
      <c r="NO29" s="50">
        <v>2000</v>
      </c>
      <c r="NP29" s="336">
        <v>45564</v>
      </c>
    </row>
    <row r="30" spans="1:381">
      <c r="A30" s="743" t="s">
        <v>197</v>
      </c>
      <c r="B30" s="743"/>
      <c r="E30" s="567" t="s">
        <v>2488</v>
      </c>
      <c r="F30" s="58"/>
      <c r="G30" s="743" t="s">
        <v>197</v>
      </c>
      <c r="H30" s="743"/>
      <c r="K30" s="72" t="s">
        <v>2092</v>
      </c>
      <c r="L30" s="14">
        <v>50.01</v>
      </c>
      <c r="M30" s="744" t="s">
        <v>2489</v>
      </c>
      <c r="N30" s="744"/>
      <c r="Q30" s="72" t="s">
        <v>1854</v>
      </c>
      <c r="R30" s="14">
        <v>26</v>
      </c>
      <c r="S30" s="744" t="s">
        <v>2489</v>
      </c>
      <c r="T30" s="744"/>
      <c r="Y30" s="737" t="s">
        <v>300</v>
      </c>
      <c r="Z30" s="737"/>
      <c r="AC30" s="14" t="s">
        <v>2490</v>
      </c>
      <c r="AD30" s="14">
        <v>10</v>
      </c>
      <c r="AE30" s="744" t="s">
        <v>2489</v>
      </c>
      <c r="AF30" s="744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3409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3485</v>
      </c>
      <c r="MU30" s="48">
        <v>143.4</v>
      </c>
      <c r="MV30" s="338">
        <v>2212</v>
      </c>
      <c r="MW30" s="285" t="s">
        <v>3467</v>
      </c>
      <c r="MX30" s="160" t="s">
        <v>3541</v>
      </c>
      <c r="MY30" s="62">
        <v>0</v>
      </c>
      <c r="MZ30" s="648" t="s">
        <v>3534</v>
      </c>
      <c r="NA30" s="62">
        <v>3</v>
      </c>
      <c r="NB30" s="338">
        <v>7940</v>
      </c>
      <c r="NC30" s="285" t="s">
        <v>3467</v>
      </c>
      <c r="ND30" s="157" t="s">
        <v>3568</v>
      </c>
      <c r="NE30" s="203">
        <v>200</v>
      </c>
      <c r="NF30" s="650" t="s">
        <v>2382</v>
      </c>
      <c r="NG30" s="51">
        <f>42+103+35+111+108+43+75+84</f>
        <v>601</v>
      </c>
      <c r="NH30" s="213"/>
      <c r="NI30" s="50" t="s">
        <v>2442</v>
      </c>
      <c r="NJ30" s="326" t="s">
        <v>2575</v>
      </c>
      <c r="NK30" s="315">
        <f>SUM(NM21:NM27)</f>
        <v>0</v>
      </c>
      <c r="NL30" s="650" t="s">
        <v>2382</v>
      </c>
      <c r="NM30" s="51">
        <f>24</f>
        <v>24</v>
      </c>
      <c r="NN30" s="338">
        <v>5049</v>
      </c>
      <c r="NO30" s="285" t="s">
        <v>3467</v>
      </c>
      <c r="NP30" s="336"/>
    </row>
    <row r="31" spans="1:381" ht="12.75" customHeight="1">
      <c r="A31" s="737" t="s">
        <v>300</v>
      </c>
      <c r="B31" s="737"/>
      <c r="E31" s="58"/>
      <c r="F31" s="58"/>
      <c r="G31" s="737" t="s">
        <v>300</v>
      </c>
      <c r="H31" s="737"/>
      <c r="M31" s="738" t="s">
        <v>363</v>
      </c>
      <c r="N31" s="738"/>
      <c r="Q31" s="72" t="s">
        <v>1918</v>
      </c>
      <c r="R31" s="14">
        <v>55</v>
      </c>
      <c r="S31" s="738" t="s">
        <v>363</v>
      </c>
      <c r="T31" s="738"/>
      <c r="W31" s="73" t="s">
        <v>2539</v>
      </c>
      <c r="X31" s="73">
        <v>0</v>
      </c>
      <c r="Y31" s="744" t="s">
        <v>2489</v>
      </c>
      <c r="Z31" s="744"/>
      <c r="AE31" s="738" t="s">
        <v>363</v>
      </c>
      <c r="AF31" s="738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54" t="s">
        <v>2548</v>
      </c>
      <c r="DP31" s="754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3412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3474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48" t="s">
        <v>3540</v>
      </c>
      <c r="NA31" s="62">
        <v>16</v>
      </c>
      <c r="NB31" s="213">
        <v>0</v>
      </c>
      <c r="NC31" s="50" t="s">
        <v>2442</v>
      </c>
      <c r="NF31" s="331">
        <v>35.29</v>
      </c>
      <c r="NG31" s="51"/>
      <c r="NH31" s="660" t="s">
        <v>2218</v>
      </c>
      <c r="NI31" s="48"/>
      <c r="NL31" s="331">
        <v>23.59</v>
      </c>
      <c r="NM31" s="51"/>
      <c r="NN31" s="213"/>
      <c r="NO31" s="50" t="s">
        <v>2442</v>
      </c>
    </row>
    <row r="32" spans="1:381">
      <c r="A32" s="744" t="s">
        <v>2489</v>
      </c>
      <c r="B32" s="744"/>
      <c r="C32" s="69"/>
      <c r="D32" s="69"/>
      <c r="E32" s="69"/>
      <c r="F32" s="69"/>
      <c r="G32" s="744" t="s">
        <v>2489</v>
      </c>
      <c r="H32" s="744"/>
      <c r="K32" s="73" t="s">
        <v>2588</v>
      </c>
      <c r="L32" s="73"/>
      <c r="M32" s="745" t="s">
        <v>2573</v>
      </c>
      <c r="N32" s="745"/>
      <c r="Q32" s="72" t="s">
        <v>1986</v>
      </c>
      <c r="R32" s="14">
        <v>77.239999999999995</v>
      </c>
      <c r="S32" s="745" t="s">
        <v>2573</v>
      </c>
      <c r="T32" s="745"/>
      <c r="Y32" s="738" t="s">
        <v>363</v>
      </c>
      <c r="Z32" s="738"/>
      <c r="AC32" s="574" t="s">
        <v>1395</v>
      </c>
      <c r="AD32" s="14">
        <v>350</v>
      </c>
      <c r="AE32" s="745" t="s">
        <v>2573</v>
      </c>
      <c r="AF32" s="745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46" t="s">
        <v>2477</v>
      </c>
      <c r="DB32" s="747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29" t="s">
        <v>2117</v>
      </c>
      <c r="IO32" s="729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3415</v>
      </c>
      <c r="MO32" s="48">
        <v>8.3000000000000007</v>
      </c>
      <c r="MP32" s="669" t="s">
        <v>2218</v>
      </c>
      <c r="MQ32" s="48"/>
      <c r="MR32" s="593" t="s">
        <v>2221</v>
      </c>
      <c r="MS32" s="312"/>
      <c r="MT32" s="603" t="s">
        <v>3486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48" t="s">
        <v>3515</v>
      </c>
      <c r="NA32" s="639">
        <f>21+41.8</f>
        <v>62.8</v>
      </c>
      <c r="NB32" s="642" t="s">
        <v>2218</v>
      </c>
      <c r="NC32" s="48"/>
      <c r="NE32" s="61"/>
      <c r="NF32" s="177" t="s">
        <v>2477</v>
      </c>
      <c r="NG32" s="22">
        <f>NC27+NE30-NI26</f>
        <v>160</v>
      </c>
      <c r="NH32" s="660" t="s">
        <v>2123</v>
      </c>
      <c r="NJ32" s="157" t="s">
        <v>3568</v>
      </c>
      <c r="NK32" s="203"/>
      <c r="NL32" s="177" t="s">
        <v>2477</v>
      </c>
      <c r="NM32" s="22">
        <f>NI26+NK32-NO27</f>
        <v>0</v>
      </c>
      <c r="NN32" s="686" t="s">
        <v>2218</v>
      </c>
      <c r="NO32" s="48"/>
    </row>
    <row r="33" spans="1:379">
      <c r="A33" s="738" t="s">
        <v>363</v>
      </c>
      <c r="B33" s="738"/>
      <c r="E33" s="575" t="s">
        <v>455</v>
      </c>
      <c r="F33" s="58"/>
      <c r="G33" s="738" t="s">
        <v>363</v>
      </c>
      <c r="H33" s="738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45" t="s">
        <v>2573</v>
      </c>
      <c r="Z33" s="745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6">
        <v>1593.84</v>
      </c>
      <c r="MR33" s="330" t="s">
        <v>1200</v>
      </c>
      <c r="MS33" s="62">
        <f>SUM(MU6:MU8)</f>
        <v>4360.08</v>
      </c>
      <c r="MT33" s="603" t="s">
        <v>3475</v>
      </c>
      <c r="MU33" s="48">
        <v>73.14</v>
      </c>
      <c r="MV33" s="610" t="s">
        <v>3470</v>
      </c>
      <c r="MW33" s="50">
        <v>40000</v>
      </c>
      <c r="MX33" s="648" t="s">
        <v>3504</v>
      </c>
      <c r="MY33" s="48">
        <f>SUM(NA25:NA32)</f>
        <v>1888.1499999999999</v>
      </c>
      <c r="MZ33" s="49" t="s">
        <v>3531</v>
      </c>
      <c r="NA33" s="62">
        <f>16+9</f>
        <v>25</v>
      </c>
      <c r="NB33" s="639" t="s">
        <v>3530</v>
      </c>
      <c r="NC33" s="48">
        <v>215.8</v>
      </c>
      <c r="NE33" s="61"/>
      <c r="NF33" s="203">
        <f>10+20</f>
        <v>30</v>
      </c>
      <c r="NG33" s="655" t="s">
        <v>3550</v>
      </c>
      <c r="NH33" s="661" t="s">
        <v>2276</v>
      </c>
      <c r="NI33" s="50"/>
      <c r="NL33" s="203"/>
      <c r="NM33" s="655"/>
      <c r="NN33" s="689" t="s">
        <v>3587</v>
      </c>
      <c r="NO33" s="48">
        <v>30</v>
      </c>
    </row>
    <row r="34" spans="1:379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3418</v>
      </c>
      <c r="MO34" s="48">
        <v>28.74</v>
      </c>
      <c r="MP34" s="583"/>
      <c r="MR34" s="160" t="s">
        <v>3541</v>
      </c>
      <c r="MS34" s="62">
        <f>SUM(MU9:MU11)</f>
        <v>10236.619999999999</v>
      </c>
      <c r="MT34" s="604" t="s">
        <v>3445</v>
      </c>
      <c r="MU34" s="48">
        <f>250.7+749.38</f>
        <v>1000.0799999999999</v>
      </c>
      <c r="MV34" s="596" t="s">
        <v>3478</v>
      </c>
      <c r="MW34" s="596">
        <v>1000</v>
      </c>
      <c r="MX34" s="326" t="s">
        <v>2428</v>
      </c>
      <c r="MY34" s="589">
        <f>SUM(NA15:NA24)</f>
        <v>403.98</v>
      </c>
      <c r="MZ34" s="650" t="s">
        <v>2382</v>
      </c>
      <c r="NA34" s="51">
        <f>187+150+349</f>
        <v>686</v>
      </c>
      <c r="NB34" s="602" t="s">
        <v>2238</v>
      </c>
      <c r="NC34" s="616">
        <v>1593.84</v>
      </c>
      <c r="NF34" s="203">
        <v>10</v>
      </c>
      <c r="NG34" s="243" t="s">
        <v>3268</v>
      </c>
      <c r="NH34" s="660" t="s">
        <v>2686</v>
      </c>
      <c r="NK34" s="61"/>
      <c r="NL34" s="203"/>
      <c r="NM34" s="243"/>
      <c r="NN34" s="689" t="s">
        <v>3588</v>
      </c>
      <c r="NO34" s="48">
        <v>30</v>
      </c>
    </row>
    <row r="35" spans="1:379" ht="14.25" customHeight="1">
      <c r="A35" s="751"/>
      <c r="B35" s="751"/>
      <c r="E35" s="570" t="s">
        <v>493</v>
      </c>
      <c r="F35" s="58">
        <v>250</v>
      </c>
      <c r="G35" s="751"/>
      <c r="H35" s="751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31.53</v>
      </c>
      <c r="MR35" s="49" t="s">
        <v>2630</v>
      </c>
      <c r="MS35" s="48">
        <v>0</v>
      </c>
      <c r="MT35" s="604" t="s">
        <v>3451</v>
      </c>
      <c r="MU35" s="48">
        <v>354.25</v>
      </c>
      <c r="MV35" s="602" t="s">
        <v>2238</v>
      </c>
      <c r="MW35" s="616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3548</v>
      </c>
      <c r="NB35" s="642" t="s">
        <v>2686</v>
      </c>
      <c r="NF35" s="203">
        <v>40</v>
      </c>
      <c r="NG35" s="243" t="s">
        <v>2418</v>
      </c>
      <c r="NH35" s="660" t="s">
        <v>3565</v>
      </c>
      <c r="NK35" s="61"/>
      <c r="NL35" s="203"/>
      <c r="NM35" s="243"/>
      <c r="NN35" s="689" t="s">
        <v>1787</v>
      </c>
      <c r="NO35" s="48">
        <v>30</v>
      </c>
    </row>
    <row r="36" spans="1:379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52" t="s">
        <v>2149</v>
      </c>
      <c r="DT36" s="753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3445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2" t="s">
        <v>3535</v>
      </c>
      <c r="NF36" s="203"/>
      <c r="NG36" s="127"/>
      <c r="NH36" s="662" t="s">
        <v>372</v>
      </c>
      <c r="NL36" s="203"/>
      <c r="NM36" s="127"/>
    </row>
    <row r="37" spans="1:379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3453</v>
      </c>
      <c r="MU37" s="62">
        <v>588.6</v>
      </c>
      <c r="MV37" s="599" t="s">
        <v>2686</v>
      </c>
      <c r="MX37" s="157" t="s">
        <v>3480</v>
      </c>
      <c r="MY37" s="203">
        <v>0</v>
      </c>
      <c r="MZ37" s="203">
        <v>50</v>
      </c>
      <c r="NA37" s="655" t="s">
        <v>3159</v>
      </c>
      <c r="NB37" s="639" t="s">
        <v>372</v>
      </c>
      <c r="NF37" s="661" t="s">
        <v>3516</v>
      </c>
      <c r="NG37" s="62">
        <v>7.2</v>
      </c>
      <c r="NH37" s="662" t="s">
        <v>2877</v>
      </c>
      <c r="NL37" s="687"/>
      <c r="NM37" s="62"/>
      <c r="NN37" s="686" t="s">
        <v>2123</v>
      </c>
    </row>
    <row r="38" spans="1:379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3411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3537</v>
      </c>
      <c r="NB38" s="639" t="s">
        <v>2877</v>
      </c>
      <c r="NF38" s="662" t="s">
        <v>3567</v>
      </c>
      <c r="NG38" s="244">
        <v>9.5</v>
      </c>
      <c r="NH38" s="662" t="s">
        <v>2874</v>
      </c>
      <c r="NM38" s="244"/>
      <c r="NN38" s="687" t="s">
        <v>2276</v>
      </c>
      <c r="NO38" s="50"/>
    </row>
    <row r="39" spans="1:379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54" t="s">
        <v>2548</v>
      </c>
      <c r="DJ39" s="754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4" t="s">
        <v>3516</v>
      </c>
      <c r="NA39" s="62">
        <v>14.4</v>
      </c>
      <c r="NB39" s="639" t="s">
        <v>2874</v>
      </c>
      <c r="NF39" s="662" t="s">
        <v>3567</v>
      </c>
      <c r="NG39" s="659">
        <v>6.2</v>
      </c>
      <c r="NM39" s="683"/>
      <c r="NN39" s="686" t="s">
        <v>2686</v>
      </c>
    </row>
    <row r="40" spans="1:379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29" t="s">
        <v>2117</v>
      </c>
      <c r="II40" s="729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39" t="s">
        <v>3517</v>
      </c>
      <c r="NA40" s="244">
        <v>11.9</v>
      </c>
      <c r="NF40" s="662" t="s">
        <v>3044</v>
      </c>
      <c r="NG40" s="683">
        <v>2.81</v>
      </c>
      <c r="NH40" s="662" t="s">
        <v>3001</v>
      </c>
      <c r="NM40" s="683"/>
      <c r="NN40" s="686" t="s">
        <v>3565</v>
      </c>
    </row>
    <row r="41" spans="1:379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43" t="s">
        <v>2954</v>
      </c>
      <c r="KO41" s="743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3445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40"/>
      <c r="NB41" s="639" t="s">
        <v>3001</v>
      </c>
      <c r="NH41" s="662" t="s">
        <v>3026</v>
      </c>
      <c r="NN41" s="682" t="s">
        <v>372</v>
      </c>
    </row>
    <row r="42" spans="1:379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3477</v>
      </c>
      <c r="MS42" s="203">
        <v>50</v>
      </c>
      <c r="MT42" s="177" t="s">
        <v>2477</v>
      </c>
      <c r="MU42" s="22">
        <f>MQ28+MS42-MW28</f>
        <v>60</v>
      </c>
      <c r="NB42" s="639" t="s">
        <v>3026</v>
      </c>
      <c r="NN42" s="682" t="s">
        <v>2877</v>
      </c>
    </row>
    <row r="43" spans="1:379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3405</v>
      </c>
      <c r="MP43" s="14" t="s">
        <v>2915</v>
      </c>
      <c r="MT43" s="203">
        <v>20</v>
      </c>
      <c r="MU43" s="282" t="s">
        <v>3492</v>
      </c>
      <c r="MV43" s="596" t="s">
        <v>3001</v>
      </c>
      <c r="NN43" s="682" t="s">
        <v>2874</v>
      </c>
    </row>
    <row r="44" spans="1:379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50" t="s">
        <v>3556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3414</v>
      </c>
      <c r="MM44" s="316">
        <v>150</v>
      </c>
      <c r="MN44" s="203">
        <v>8</v>
      </c>
      <c r="MO44" s="282" t="s">
        <v>3406</v>
      </c>
      <c r="MS44" s="61"/>
      <c r="MT44" s="601" t="s">
        <v>3429</v>
      </c>
      <c r="MU44" s="247">
        <v>399</v>
      </c>
      <c r="MV44" s="596" t="s">
        <v>3026</v>
      </c>
    </row>
    <row r="45" spans="1:379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3428</v>
      </c>
      <c r="MU45" s="597">
        <v>59</v>
      </c>
      <c r="NN45" s="682" t="s">
        <v>3001</v>
      </c>
    </row>
    <row r="46" spans="1:379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  <c r="NN46" s="682" t="s">
        <v>3026</v>
      </c>
    </row>
    <row r="47" spans="1:379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3413</v>
      </c>
      <c r="MO47" s="66">
        <v>48</v>
      </c>
      <c r="MT47" s="601"/>
      <c r="MU47" s="62"/>
    </row>
    <row r="48" spans="1:379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</row>
    <row r="49" spans="41:379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49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9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49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</row>
    <row r="51" spans="41:379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49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</row>
    <row r="52" spans="41:379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49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9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9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9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79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9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9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  <c r="NI58" s="20"/>
    </row>
    <row r="59" spans="41:379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9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9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79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9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  <c r="NO63" s="20"/>
    </row>
    <row r="64" spans="41:379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9"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F56" sqref="F56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3363</v>
      </c>
    </row>
    <row r="2" spans="2:3">
      <c r="B2" s="39"/>
      <c r="C2" s="631"/>
    </row>
    <row r="3" spans="2:3">
      <c r="B3" s="39"/>
      <c r="C3" s="631"/>
    </row>
    <row r="4" spans="2:3">
      <c r="B4" s="39">
        <v>14000</v>
      </c>
      <c r="C4" s="631">
        <v>45566</v>
      </c>
    </row>
    <row r="5" spans="2:3">
      <c r="B5" s="39">
        <v>8000</v>
      </c>
      <c r="C5" s="631">
        <v>45580</v>
      </c>
    </row>
    <row r="6" spans="2:3">
      <c r="B6" s="39">
        <v>5000</v>
      </c>
      <c r="C6" s="631">
        <v>45594</v>
      </c>
    </row>
    <row r="7" spans="2:3">
      <c r="B7" s="39">
        <v>6000</v>
      </c>
      <c r="C7" s="631">
        <v>45608</v>
      </c>
    </row>
    <row r="8" spans="2:3">
      <c r="B8" s="39">
        <v>6000</v>
      </c>
      <c r="C8" s="631">
        <v>45636</v>
      </c>
    </row>
    <row r="9" spans="2:3" s="584" customFormat="1">
      <c r="B9" s="39">
        <v>8000</v>
      </c>
      <c r="C9" s="631">
        <v>45650</v>
      </c>
    </row>
    <row r="10" spans="2:3" s="624" customFormat="1">
      <c r="B10" s="39">
        <v>12000</v>
      </c>
      <c r="C10" s="631">
        <v>45664</v>
      </c>
    </row>
    <row r="11" spans="2:3" s="624" customFormat="1">
      <c r="B11" s="39">
        <v>18000</v>
      </c>
      <c r="C11" s="631">
        <v>45678</v>
      </c>
    </row>
    <row r="12" spans="2:3">
      <c r="B12" s="41"/>
      <c r="C12" s="632"/>
    </row>
    <row r="13" spans="2:3">
      <c r="B13" s="42">
        <f>SUM(B2:B12)</f>
        <v>77000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M16" sqref="AM1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29" customWidth="1"/>
    <col min="34" max="34" width="11.42578125" style="629" customWidth="1"/>
    <col min="35" max="35" width="3.42578125" style="629" bestFit="1" customWidth="1"/>
    <col min="36" max="36" width="7.5703125" style="629" customWidth="1"/>
    <col min="37" max="37" width="2.28515625" style="672" customWidth="1"/>
    <col min="38" max="38" width="11.42578125" style="672" customWidth="1"/>
    <col min="39" max="39" width="4" style="672" bestFit="1" customWidth="1"/>
    <col min="40" max="40" width="7.5703125" style="672" customWidth="1"/>
  </cols>
  <sheetData>
    <row r="1" spans="2:40" ht="5.45" customHeight="1"/>
    <row r="2" spans="2:40" s="672" customFormat="1" ht="12" customHeight="1">
      <c r="B2" s="29"/>
      <c r="F2" s="29"/>
      <c r="J2" s="29"/>
      <c r="N2" s="29"/>
      <c r="V2" s="29"/>
      <c r="X2" s="30"/>
      <c r="AL2" s="449">
        <v>0.01</v>
      </c>
      <c r="AM2" s="672" t="s">
        <v>3558</v>
      </c>
    </row>
    <row r="3" spans="2:40">
      <c r="D3" t="s">
        <v>3364</v>
      </c>
      <c r="G3" t="s">
        <v>532</v>
      </c>
      <c r="H3" t="s">
        <v>3364</v>
      </c>
      <c r="K3" t="s">
        <v>532</v>
      </c>
      <c r="L3" t="s">
        <v>3364</v>
      </c>
      <c r="O3" t="s">
        <v>532</v>
      </c>
      <c r="R3" s="29" t="s">
        <v>148</v>
      </c>
      <c r="S3" t="s">
        <v>532</v>
      </c>
      <c r="T3" t="s">
        <v>3364</v>
      </c>
      <c r="V3" s="29" t="s">
        <v>148</v>
      </c>
      <c r="W3" t="s">
        <v>532</v>
      </c>
      <c r="X3" s="30" t="s">
        <v>3364</v>
      </c>
      <c r="Z3" s="29" t="s">
        <v>148</v>
      </c>
      <c r="AA3" t="s">
        <v>532</v>
      </c>
      <c r="AB3" t="s">
        <v>3364</v>
      </c>
      <c r="AD3" s="29" t="s">
        <v>1482</v>
      </c>
      <c r="AE3" s="629" t="s">
        <v>532</v>
      </c>
      <c r="AF3" s="629" t="s">
        <v>3364</v>
      </c>
      <c r="AH3" s="29" t="s">
        <v>1482</v>
      </c>
      <c r="AI3" s="629" t="s">
        <v>532</v>
      </c>
      <c r="AJ3" s="629" t="s">
        <v>3364</v>
      </c>
      <c r="AL3" s="29" t="s">
        <v>1482</v>
      </c>
      <c r="AM3" s="672" t="s">
        <v>532</v>
      </c>
      <c r="AN3" s="672" t="s">
        <v>3364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29"/>
      <c r="AF4" s="31"/>
      <c r="AH4" s="29">
        <v>45443</v>
      </c>
      <c r="AI4" s="629">
        <v>61</v>
      </c>
      <c r="AJ4" s="31">
        <f t="shared" ref="AJ4:AJ34" si="6">AI4*1000*3.45%/365</f>
        <v>5.7657534246575342</v>
      </c>
      <c r="AL4" s="29">
        <v>45535</v>
      </c>
      <c r="AM4" s="672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29">
        <v>43</v>
      </c>
      <c r="AF5" s="31">
        <f>AE5*1000*3.4%/365</f>
        <v>4.0054794520547947</v>
      </c>
      <c r="AH5" s="29">
        <v>45442</v>
      </c>
      <c r="AI5" s="629">
        <v>56</v>
      </c>
      <c r="AJ5" s="31">
        <f>AI5*1000*3.45%/365</f>
        <v>5.2931506849315078</v>
      </c>
      <c r="AL5" s="29">
        <v>45534</v>
      </c>
      <c r="AM5" s="672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29">
        <v>28</v>
      </c>
      <c r="AF6" s="31">
        <f t="shared" ref="AF6:AF34" si="9">AE6*1000*3.45%/365</f>
        <v>2.6465753424657539</v>
      </c>
      <c r="AH6" s="29">
        <v>45441</v>
      </c>
      <c r="AI6" s="629">
        <v>54</v>
      </c>
      <c r="AJ6" s="31">
        <f t="shared" si="6"/>
        <v>5.1041095890410961</v>
      </c>
      <c r="AL6" s="29">
        <v>45533</v>
      </c>
      <c r="AM6" s="672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29">
        <v>9</v>
      </c>
      <c r="AF7" s="31">
        <f t="shared" si="9"/>
        <v>0.85068493150684932</v>
      </c>
      <c r="AH7" s="29">
        <v>45440</v>
      </c>
      <c r="AI7" s="629">
        <v>54</v>
      </c>
      <c r="AJ7" s="31">
        <f t="shared" si="6"/>
        <v>5.1041095890410961</v>
      </c>
      <c r="AL7" s="29">
        <v>45532</v>
      </c>
      <c r="AM7" s="672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29">
        <v>9</v>
      </c>
      <c r="AF8" s="31">
        <f t="shared" si="9"/>
        <v>0.85068493150684932</v>
      </c>
      <c r="AH8" s="29">
        <v>45439</v>
      </c>
      <c r="AI8" s="629">
        <v>44</v>
      </c>
      <c r="AJ8" s="31">
        <f t="shared" si="6"/>
        <v>4.1589041095890416</v>
      </c>
      <c r="AL8" s="29">
        <v>45531</v>
      </c>
      <c r="AM8" s="672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29">
        <v>9</v>
      </c>
      <c r="AF9" s="31">
        <f t="shared" si="9"/>
        <v>0.85068493150684932</v>
      </c>
      <c r="AH9" s="29">
        <v>45438</v>
      </c>
      <c r="AI9" s="629">
        <v>42</v>
      </c>
      <c r="AJ9" s="31">
        <f t="shared" si="6"/>
        <v>3.9698630136986308</v>
      </c>
      <c r="AL9" s="29">
        <v>45530</v>
      </c>
      <c r="AM9" s="672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29">
        <v>5</v>
      </c>
      <c r="AF10" s="31">
        <f t="shared" si="9"/>
        <v>0.47260273972602745</v>
      </c>
      <c r="AH10" s="29">
        <v>45437</v>
      </c>
      <c r="AI10" s="629">
        <v>42</v>
      </c>
      <c r="AJ10" s="31">
        <f t="shared" si="6"/>
        <v>3.9698630136986308</v>
      </c>
      <c r="AL10" s="29">
        <v>45529</v>
      </c>
      <c r="AM10" s="672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29">
        <v>9</v>
      </c>
      <c r="AF11" s="31">
        <f t="shared" si="9"/>
        <v>0.85068493150684932</v>
      </c>
      <c r="AH11" s="29">
        <v>45436</v>
      </c>
      <c r="AI11" s="629">
        <v>42</v>
      </c>
      <c r="AJ11" s="31">
        <f t="shared" si="6"/>
        <v>3.9698630136986308</v>
      </c>
      <c r="AL11" s="29">
        <v>45528</v>
      </c>
      <c r="AM11" s="672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29">
        <v>9</v>
      </c>
      <c r="AF12" s="31">
        <f t="shared" si="9"/>
        <v>0.85068493150684932</v>
      </c>
      <c r="AH12" s="29">
        <v>45435</v>
      </c>
      <c r="AI12" s="629">
        <v>44</v>
      </c>
      <c r="AJ12" s="31">
        <f t="shared" si="6"/>
        <v>4.1589041095890416</v>
      </c>
      <c r="AL12" s="29">
        <v>45527</v>
      </c>
      <c r="AM12" s="672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29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72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72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72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29">
        <v>43</v>
      </c>
      <c r="AJ29" s="31">
        <f t="shared" si="6"/>
        <v>4.0643835616438366</v>
      </c>
      <c r="AL29" s="29">
        <v>45510</v>
      </c>
      <c r="AM29" s="672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29">
        <v>43</v>
      </c>
      <c r="AJ30" s="31">
        <f t="shared" si="6"/>
        <v>4.0643835616438366</v>
      </c>
      <c r="AL30" s="29">
        <v>45509</v>
      </c>
      <c r="AM30" s="672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29">
        <v>43</v>
      </c>
      <c r="AJ31" s="31">
        <f t="shared" si="6"/>
        <v>4.0643835616438366</v>
      </c>
      <c r="AL31" s="29">
        <v>45508</v>
      </c>
      <c r="AM31" s="672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29">
        <v>43</v>
      </c>
      <c r="AJ32" s="31">
        <f t="shared" si="6"/>
        <v>4.0643835616438366</v>
      </c>
      <c r="AL32" s="29">
        <v>45507</v>
      </c>
      <c r="AM32" s="672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29">
        <v>45.2</v>
      </c>
      <c r="AF33" s="31">
        <f t="shared" si="9"/>
        <v>4.2723287671232884</v>
      </c>
      <c r="AH33" s="29">
        <v>45414</v>
      </c>
      <c r="AI33" s="629">
        <v>43</v>
      </c>
      <c r="AJ33" s="31">
        <f t="shared" si="6"/>
        <v>4.0643835616438366</v>
      </c>
      <c r="AL33" s="29">
        <v>45506</v>
      </c>
      <c r="AM33" s="672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29">
        <v>18.5</v>
      </c>
      <c r="AF34" s="31">
        <f t="shared" si="9"/>
        <v>1.7486301369863013</v>
      </c>
      <c r="AH34" s="29">
        <v>45413</v>
      </c>
      <c r="AI34" s="629">
        <v>43</v>
      </c>
      <c r="AJ34" s="31">
        <f t="shared" si="6"/>
        <v>4.0643835616438366</v>
      </c>
      <c r="AL34" s="29">
        <v>45505</v>
      </c>
      <c r="AM34" s="672">
        <v>16</v>
      </c>
      <c r="AN34" s="31">
        <f t="shared" si="7"/>
        <v>0.43835616438356162</v>
      </c>
    </row>
    <row r="35" spans="2:40">
      <c r="AD35" s="629"/>
      <c r="AE35" s="629"/>
      <c r="AF35" s="629"/>
    </row>
    <row r="36" spans="2:40">
      <c r="B36" s="29" t="s">
        <v>3365</v>
      </c>
      <c r="D36" s="34">
        <f>SUM(D4:D34)*88</f>
        <v>1895.7128767123286</v>
      </c>
      <c r="F36" s="29" t="s">
        <v>3365</v>
      </c>
      <c r="H36" s="34">
        <f>SUM(H4:H34)*88</f>
        <v>2121.0410958904108</v>
      </c>
      <c r="J36" s="29" t="s">
        <v>3365</v>
      </c>
      <c r="L36" s="34">
        <f>SUM(L4:L34)*88</f>
        <v>2597.8082191780818</v>
      </c>
      <c r="N36" s="29" t="s">
        <v>3365</v>
      </c>
      <c r="P36" s="34">
        <f>SUM(P4:P34)*88</f>
        <v>2650.7287671232875</v>
      </c>
      <c r="R36" s="29" t="s">
        <v>3365</v>
      </c>
      <c r="T36" s="34">
        <v>292.3</v>
      </c>
      <c r="U36" s="34"/>
      <c r="V36" s="29" t="s">
        <v>3365</v>
      </c>
      <c r="X36" s="30">
        <f>SUM(X4:X34)</f>
        <v>769.29589041095926</v>
      </c>
      <c r="Z36" s="29" t="s">
        <v>3365</v>
      </c>
      <c r="AB36" s="36">
        <f>SUM(AB4:AB34)</f>
        <v>1085.6610958904116</v>
      </c>
      <c r="AD36" s="29" t="s">
        <v>3365</v>
      </c>
      <c r="AE36" s="629"/>
      <c r="AF36" s="34">
        <f>SUM(AF4:AF34)</f>
        <v>133.09219178082193</v>
      </c>
      <c r="AH36" s="29" t="s">
        <v>3365</v>
      </c>
      <c r="AJ36" s="34">
        <f>SUM(AJ4:AJ34)</f>
        <v>119.3794520547945</v>
      </c>
      <c r="AL36" s="29" t="s">
        <v>3365</v>
      </c>
      <c r="AN36" s="34">
        <f>SUM(AN4:AN34)</f>
        <v>79.315068493150648</v>
      </c>
    </row>
    <row r="37" spans="2:40">
      <c r="B37" s="29" t="s">
        <v>3366</v>
      </c>
      <c r="D37" s="34">
        <f>'HIS19'!KQ21</f>
        <v>1895.66</v>
      </c>
      <c r="F37" s="29" t="s">
        <v>3366</v>
      </c>
      <c r="H37" s="34">
        <f>'HIS19'!KQ22</f>
        <v>2121.2199999999998</v>
      </c>
      <c r="J37" s="29" t="s">
        <v>3366</v>
      </c>
      <c r="L37" s="34">
        <f>'HIS19'!KQ23</f>
        <v>2597.87</v>
      </c>
      <c r="N37" s="29" t="s">
        <v>3366</v>
      </c>
      <c r="P37" s="34">
        <f>'HIS19'!KQ24</f>
        <v>2650.71</v>
      </c>
      <c r="R37" s="29" t="s">
        <v>3366</v>
      </c>
      <c r="T37" s="34">
        <v>292</v>
      </c>
      <c r="U37" s="34"/>
      <c r="V37" s="29" t="s">
        <v>3366</v>
      </c>
      <c r="X37" s="30">
        <v>767</v>
      </c>
      <c r="Z37" s="29" t="s">
        <v>3366</v>
      </c>
      <c r="AB37" s="30">
        <v>1083</v>
      </c>
      <c r="AD37" s="29" t="s">
        <v>3366</v>
      </c>
      <c r="AE37" s="629"/>
      <c r="AF37" s="254">
        <f>132.45</f>
        <v>132.44999999999999</v>
      </c>
      <c r="AH37" s="29" t="s">
        <v>3366</v>
      </c>
      <c r="AJ37" s="254">
        <f>118.69</f>
        <v>118.69</v>
      </c>
      <c r="AL37" s="29" t="s">
        <v>3366</v>
      </c>
      <c r="AN37" s="254">
        <f>118.69</f>
        <v>118.69</v>
      </c>
    </row>
    <row r="38" spans="2:40">
      <c r="B38" s="29" t="s">
        <v>3367</v>
      </c>
      <c r="D38" s="34">
        <f>D37-D36</f>
        <v>-5.2876712328497888E-2</v>
      </c>
      <c r="F38" s="29" t="s">
        <v>3367</v>
      </c>
      <c r="H38" s="34">
        <f>H37-H36</f>
        <v>0.17890410958898428</v>
      </c>
      <c r="J38" s="29" t="s">
        <v>3367</v>
      </c>
      <c r="L38" s="34">
        <f>L37-L36</f>
        <v>6.1780821918091533E-2</v>
      </c>
      <c r="N38" s="29" t="s">
        <v>3367</v>
      </c>
      <c r="P38" s="34">
        <f>P37-P36</f>
        <v>-1.8767123287489085E-2</v>
      </c>
      <c r="R38" s="29" t="s">
        <v>3367</v>
      </c>
      <c r="T38" s="34">
        <v>-0.29999999999995502</v>
      </c>
      <c r="U38" s="34"/>
      <c r="V38" s="29" t="s">
        <v>3367</v>
      </c>
      <c r="X38" s="30">
        <f>X37-X36</f>
        <v>-2.2958904109592595</v>
      </c>
      <c r="Z38" s="29" t="s">
        <v>3367</v>
      </c>
      <c r="AB38" s="30">
        <f>AB37-AB36</f>
        <v>-2.661095890411616</v>
      </c>
      <c r="AD38" s="29" t="s">
        <v>3367</v>
      </c>
      <c r="AE38" s="629"/>
      <c r="AF38" s="30">
        <f>AF37-AF36</f>
        <v>-0.64219178082194617</v>
      </c>
      <c r="AH38" s="29" t="s">
        <v>3367</v>
      </c>
      <c r="AJ38" s="30">
        <f>AJ37-AJ36</f>
        <v>-0.68945205479450067</v>
      </c>
      <c r="AL38" s="29" t="s">
        <v>3367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2024-10-01T00:28:45Z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