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C735296-2403-42CB-A20D-D09B9AE71A57}" xr6:coauthVersionLast="41" xr6:coauthVersionMax="41" xr10:uidLastSave="{00000000-0000-0000-0000-000000000000}"/>
  <bookViews>
    <workbookView xWindow="7560" yWindow="186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JY27" i="32" l="1"/>
  <c r="JY24" i="32"/>
  <c r="KA32" i="32"/>
  <c r="KA5" i="32"/>
  <c r="JY12" i="32"/>
  <c r="KA29" i="32"/>
  <c r="KA24" i="32"/>
  <c r="KA10" i="32" l="1"/>
  <c r="KA21" i="32" l="1"/>
  <c r="JY15" i="32" l="1"/>
  <c r="KA13" i="32" l="1"/>
  <c r="E19" i="42" l="1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D35" i="42" l="1"/>
  <c r="C4" i="46" l="1"/>
  <c r="C5" i="46" s="1"/>
  <c r="C6" i="46" s="1"/>
  <c r="C7" i="46" s="1"/>
  <c r="C9" i="46" s="1"/>
  <c r="C10" i="46" s="1"/>
  <c r="KA20" i="32" l="1"/>
  <c r="KA34" i="32" l="1"/>
  <c r="JS14" i="32" l="1"/>
  <c r="JS30" i="32" l="1"/>
  <c r="JS28" i="32"/>
  <c r="JS25" i="32"/>
  <c r="JY22" i="32" l="1"/>
  <c r="JY2" i="32"/>
  <c r="JY21" i="32"/>
  <c r="JY23" i="32"/>
  <c r="JY26" i="32"/>
  <c r="JY25" i="32" l="1"/>
  <c r="JU49" i="32"/>
  <c r="JU14" i="32"/>
  <c r="JU48" i="32"/>
  <c r="JU13" i="32" l="1"/>
  <c r="JU22" i="32"/>
  <c r="JU19" i="32"/>
  <c r="JS26" i="32" l="1"/>
  <c r="JS19" i="32"/>
  <c r="JU29" i="32" l="1"/>
  <c r="JM17" i="32" l="1"/>
  <c r="JM16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S27" i="32"/>
  <c r="JO29" i="32" l="1"/>
  <c r="JO13" i="32" l="1"/>
  <c r="JM28" i="32" l="1"/>
  <c r="JM18" i="32" l="1"/>
  <c r="JM35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KC3" i="32" l="1"/>
  <c r="KC2" i="32" s="1"/>
  <c r="JW4" i="32"/>
  <c r="JW2" i="32" s="1"/>
  <c r="H31" i="42"/>
  <c r="H33" i="42" s="1"/>
  <c r="I31" i="42"/>
  <c r="I33" i="42" s="1"/>
  <c r="KA2" i="32" l="1"/>
  <c r="KA3" i="32" s="1"/>
  <c r="C21" i="41"/>
  <c r="KA4" i="32" l="1"/>
  <c r="JO24" i="32"/>
  <c r="JM27" i="32"/>
  <c r="JM29" i="32"/>
  <c r="JM33" i="32" l="1"/>
  <c r="JM32" i="32"/>
  <c r="JN40" i="32"/>
  <c r="JC17" i="32" l="1"/>
  <c r="JC16" i="32" l="1"/>
  <c r="JI12" i="32"/>
  <c r="JO31" i="32"/>
  <c r="JO5" i="32" s="1"/>
  <c r="JM31" i="32"/>
  <c r="JM30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6" authorId="3" shapeId="0" xr:uid="{00000000-0006-0000-0700-00001C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<sst xmlns="http://schemas.openxmlformats.org/spreadsheetml/2006/main" count="7272" uniqueCount="2945">
  <si>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</si>
  <si>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</si>
  <si>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</si>
  <si>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</si>
  <si>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</si>
  <si>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</si>
  <si>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</si>
  <si>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</si>
  <si>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</si>
  <si>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</si>
  <si>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</si>
  <si>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</si>
  <si>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</si>
  <si>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</si>
  <si>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</si>
  <si>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</si>
  <si>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</si>
  <si>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</si>
  <si>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</si>
  <si>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</si>
  <si>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</si>
  <si>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</si>
  <si>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</si>
  <si>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</si>
  <si>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</si>
  <si>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</si>
  <si>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</si>
  <si>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</si>
  <si>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</si>
  <si>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</si>
  <si>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</si>
  <si>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</si>
  <si>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</si>
  <si>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</si>
  <si>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</si>
  <si>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</si>
  <si>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</si>
  <si>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</si>
  <si>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</si>
  <si>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</si>
  <si>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</si>
  <si>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</si>
  <si>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</si>
  <si>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</si>
  <si>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</si>
  <si>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</si>
  <si>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</si>
  <si>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</si>
  <si>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</si>
  <si>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</si>
  <si>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</si>
  <si>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</si>
  <si>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</si>
  <si>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</si>
  <si>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</si>
  <si>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</si>
  <si>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</si>
  <si>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</si>
  <si>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</si>
  <si>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</si>
  <si>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</si>
  <si>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</si>
  <si>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</si>
  <si>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</si>
  <si>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</si>
  <si>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</si>
  <si>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</si>
  <si>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</si>
  <si>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</si>
  <si>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</si>
  <si>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</si>
  <si>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</si>
  <si>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</si>
  <si>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</si>
  <si>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</si>
  <si>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</si>
  <si>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</si>
  <si>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</si>
  <si>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</si>
  <si>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</si>
  <si>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</si>
  <si>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</si>
  <si>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</si>
  <si>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</si>
  <si>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</si>
  <si>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</si>
  <si>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</si>
  <si>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</si>
  <si>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</si>
  <si>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</si>
  <si>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</si>
  <si>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</si>
  <si>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</si>
  <si>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</si>
  <si>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</si>
  <si>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</si>
  <si>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</si>
  <si>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</si>
  <si>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</si>
  <si>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</si>
  <si>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</si>
  <si>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</si>
  <si>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</si>
  <si>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</si>
  <si>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</si>
  <si>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</si>
  <si>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</si>
  <si>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</si>
  <si>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</si>
  <si>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</si>
  <si>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</si>
  <si>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</si>
  <si>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</si>
  <si>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</si>
  <si>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</si>
  <si>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</si>
  <si>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</si>
  <si>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</si>
  <si>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</si>
  <si>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</si>
  <si>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</si>
  <si>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</si>
  <si>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</si>
  <si>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</si>
  <si>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</si>
  <si>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</si>
  <si>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</si>
  <si>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</si>
  <si>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</si>
  <si>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</si>
  <si>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</si>
  <si>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</si>
  <si>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</si>
  <si>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</si>
  <si>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</si>
  <si>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</si>
  <si>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</si>
  <si>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</si>
  <si>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</si>
  <si>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</si>
  <si>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</si>
  <si>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</si>
  <si>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</si>
  <si>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</si>
  <si>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</si>
  <si>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</si>
  <si>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</si>
  <si>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</si>
  <si>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</si>
  <si>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</si>
  <si>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</si>
  <si>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</si>
  <si>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</si>
  <si>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</si>
  <si>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</si>
  <si>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</si>
  <si>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</si>
  <si>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</si>
  <si>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</si>
  <si>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</si>
  <si>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</si>
  <si>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</si>
  <si>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</si>
  <si>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</si>
  <si>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</si>
  <si>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</si>
  <si>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</si>
  <si>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</si>
  <si>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</si>
  <si>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</si>
  <si>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</si>
  <si>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</si>
  <si>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</si>
  <si>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</si>
  <si>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</si>
  <si>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</si>
  <si>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</si>
  <si>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</si>
  <si>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</si>
  <si>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</si>
  <si>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</si>
  <si>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</si>
  <si>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</si>
  <si>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</si>
  <si>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</si>
  <si>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</si>
  <si>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</si>
  <si>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</si>
  <si>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</si>
  <si>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</si>
  <si>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</si>
  <si>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</si>
  <si>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</si>
  <si>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</si>
  <si>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</si>
  <si>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</si>
  <si>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</si>
  <si>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</si>
  <si>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</si>
  <si>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</si>
  <si>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</si>
  <si>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</si>
  <si>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</si>
  <si>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</si>
  <si>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</si>
  <si>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</si>
  <si>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</si>
  <si>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</si>
  <si>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</si>
  <si>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</si>
  <si>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</si>
  <si>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</si>
  <si>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</si>
  <si>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</si>
  <si>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</si>
  <si>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</si>
  <si>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</si>
  <si>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</si>
  <si>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</si>
  <si>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</si>
  <si>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</si>
  <si>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</si>
  <si>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</si>
  <si>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</si>
  <si>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</si>
  <si>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</si>
  <si>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</si>
  <si>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</si>
  <si>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</si>
  <si>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</si>
  <si>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</si>
  <si>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</si>
  <si>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</si>
  <si>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</si>
  <si>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</si>
  <si>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</si>
  <si>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</si>
  <si>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</si>
  <si>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</si>
  <si>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</si>
  <si>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</si>
  <si>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</si>
  <si>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</si>
  <si>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</si>
  <si>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</si>
  <si>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</si>
  <si>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</si>
  <si>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</si>
  <si>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</si>
  <si>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</si>
  <si>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</si>
  <si>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</si>
  <si>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</si>
  <si>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</si>
  <si>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</si>
  <si>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</si>
  <si>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</si>
  <si>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</si>
  <si>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</si>
  <si>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</si>
  <si>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</si>
  <si>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</si>
  <si>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</si>
  <si>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</si>
  <si>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</si>
  <si>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</si>
  <si>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</si>
  <si>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</si>
  <si>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</si>
  <si>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</si>
  <si>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</si>
  <si>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</si>
  <si>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</si>
  <si>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</si>
  <si>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</si>
  <si>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</si>
  <si>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</si>
  <si>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</si>
  <si>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</si>
  <si>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</si>
  <si>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</si>
  <si>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</si>
  <si>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</si>
  <si>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</si>
  <si>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</si>
  <si>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</si>
  <si>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</si>
  <si>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</si>
  <si>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</si>
  <si>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</si>
  <si>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</si>
  <si>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</si>
  <si>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</si>
  <si>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</si>
  <si>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</si>
  <si>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</si>
  <si>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</si>
  <si>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</si>
  <si>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</si>
  <si>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</si>
  <si>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</si>
  <si>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</si>
  <si>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</si>
  <si>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</si>
  <si>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</si>
  <si>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</si>
  <si>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</si>
  <si>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</si>
  <si>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</si>
  <si>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</si>
  <si>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</si>
  <si>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</si>
  <si>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</si>
  <si>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</si>
  <si>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</si>
  <si>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</si>
  <si>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</si>
  <si>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</si>
  <si>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</si>
  <si>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</si>
  <si>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</si>
  <si>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</si>
  <si>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</si>
  <si>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</si>
  <si>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</si>
  <si>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</si>
  <si>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</si>
  <si>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</si>
  <si>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</si>
  <si>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</si>
  <si>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</si>
  <si>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</si>
  <si>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</si>
  <si>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</si>
  <si>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</si>
  <si>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</si>
  <si>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</si>
  <si>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</si>
  <si>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</si>
  <si>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</si>
  <si>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</si>
  <si>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</si>
  <si>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</si>
  <si>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</si>
  <si>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</si>
  <si>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</si>
  <si>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</si>
  <si>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</si>
  <si>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</si>
  <si>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</si>
  <si>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</si>
  <si>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</si>
  <si>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</si>
  <si>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</si>
  <si>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</si>
  <si>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</si>
  <si>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</si>
  <si>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</si>
  <si>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</si>
  <si>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</si>
  <si>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</si>
  <si>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</si>
  <si>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</si>
  <si>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</si>
  <si>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</si>
  <si>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</si>
  <si>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</si>
  <si>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</si>
  <si>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</si>
  <si>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</si>
  <si>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</si>
  <si>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</si>
  <si>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</si>
  <si>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</si>
  <si>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</si>
  <si>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</si>
  <si>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</si>
  <si>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</si>
  <si>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</si>
  <si>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</si>
  <si>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</si>
  <si>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</si>
  <si>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</si>
  <si>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</si>
  <si>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</si>
  <si>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</si>
  <si>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</si>
  <si>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</si>
  <si>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</si>
  <si>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</si>
  <si>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</si>
  <si>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</si>
  <si>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</si>
  <si>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</si>
  <si>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</si>
  <si>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</si>
  <si>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</si>
  <si>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</si>
  <si>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</si>
  <si>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</si>
  <si>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</si>
  <si>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</si>
  <si>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</si>
  <si>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</si>
  <si>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</si>
  <si>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</si>
  <si>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</si>
  <si>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</si>
  <si>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</si>
  <si>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</si>
  <si>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</si>
  <si>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</si>
  <si>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</si>
  <si>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</si>
  <si>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</si>
  <si>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</si>
  <si>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</si>
  <si>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</si>
  <si>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</si>
  <si>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</si>
  <si>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</si>
  <si>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</si>
  <si>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</si>
  <si>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</si>
  <si>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</si>
  <si>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</si>
  <si>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</si>
  <si>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</si>
  <si>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</si>
  <si>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</si>
  <si>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</si>
  <si>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</si>
  <si>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</si>
  <si>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</si>
  <si>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</si>
  <si>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</si>
  <si>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</si>
  <si>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</si>
  <si>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</si>
  <si>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</si>
  <si>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</si>
  <si>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</si>
  <si>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</si>
  <si>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</si>
  <si>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</si>
  <si>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</si>
  <si>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</si>
  <si>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</si>
  <si>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</si>
  <si>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</si>
  <si>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</si>
  <si>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</si>
  <si>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</si>
  <si>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</si>
  <si>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</si>
  <si>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</si>
  <si>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</si>
  <si>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</si>
  <si>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</si>
  <si>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</si>
  <si>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</si>
  <si>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</si>
  <si>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</si>
  <si>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</si>
  <si>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</si>
  <si>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</si>
  <si>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</si>
  <si>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</si>
  <si>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</si>
  <si>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</si>
  <si>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</si>
  <si>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</si>
  <si>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</si>
  <si>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</si>
  <si>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</si>
  <si>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</si>
  <si>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</si>
  <si>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</si>
  <si>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</si>
  <si>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</si>
  <si>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</si>
  <si>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</si>
  <si>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</si>
  <si>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</si>
  <si>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</si>
  <si>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</si>
  <si>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</si>
  <si>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</si>
  <si>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</si>
  <si>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</si>
  <si>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</si>
  <si>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</si>
  <si>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</si>
  <si>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</si>
  <si>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</si>
  <si>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</si>
  <si>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</si>
  <si>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</si>
  <si>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</si>
  <si>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</si>
  <si>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</si>
  <si>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</si>
  <si>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</si>
  <si>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</si>
  <si>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</si>
  <si>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</si>
  <si>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</si>
  <si>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</si>
  <si>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</si>
  <si>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</si>
  <si>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</si>
  <si>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</si>
  <si>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</si>
  <si>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</si>
  <si>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</si>
  <si>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</si>
  <si>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</si>
  <si>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</si>
  <si>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</si>
  <si>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</si>
  <si>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</si>
  <si>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</si>
  <si>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</si>
  <si>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</si>
  <si>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</si>
  <si>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</si>
  <si>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</si>
  <si>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</si>
  <si>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</si>
  <si>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</si>
  <si>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</si>
  <si>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</si>
  <si>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</si>
  <si>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</si>
  <si>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</si>
  <si>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</si>
  <si>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</si>
  <si>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</si>
  <si>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</si>
  <si>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</si>
  <si>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</si>
  <si>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</si>
  <si>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</si>
  <si>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</si>
  <si>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</si>
  <si>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</si>
  <si>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</si>
  <si>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</si>
  <si>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</si>
  <si>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</si>
  <si>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</si>
  <si>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</si>
  <si>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</si>
  <si>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</si>
  <si>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</si>
  <si>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</si>
  <si>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</si>
  <si>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</si>
  <si>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</si>
  <si>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</si>
  <si>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</si>
  <si>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</si>
  <si>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</si>
  <si>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</si>
  <si>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</si>
  <si>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</si>
  <si>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</si>
  <si>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</si>
  <si>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</si>
  <si>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</si>
  <si>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</si>
  <si>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</si>
  <si>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</si>
  <si>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</si>
  <si>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</si>
  <si>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</si>
  <si>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</si>
  <si>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</si>
  <si>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</si>
  <si>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</si>
  <si>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</si>
  <si>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</si>
  <si>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</si>
  <si>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</si>
  <si>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</si>
  <si>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</si>
  <si>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</si>
  <si>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</si>
  <si>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</si>
  <si>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</si>
  <si>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</si>
  <si>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</si>
  <si>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</si>
  <si>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</si>
  <si>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</si>
  <si>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</si>
  <si>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</si>
  <si>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</si>
  <si>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</si>
  <si>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</si>
  <si>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</si>
  <si>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</si>
  <si>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</si>
  <si>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</si>
  <si>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</si>
  <si>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</si>
  <si>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</si>
  <si>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</si>
  <si>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</si>
  <si>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</si>
  <si>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</si>
  <si>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</si>
  <si>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</si>
  <si>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</si>
  <si>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</si>
  <si>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</si>
  <si>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</si>
  <si>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</si>
  <si>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</si>
  <si>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</si>
  <si>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</si>
  <si>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</si>
  <si>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</si>
  <si>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</si>
  <si>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</si>
  <si>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</si>
  <si>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</si>
  <si>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</si>
  <si>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</si>
  <si>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</si>
  <si>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</si>
  <si>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</si>
  <si>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</si>
  <si>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</si>
  <si>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</si>
  <si>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</si>
  <si>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</si>
  <si>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</si>
  <si>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</si>
  <si>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</si>
  <si>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</si>
  <si>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</si>
  <si>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</si>
  <si>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</si>
  <si>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</si>
  <si>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</si>
  <si>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</si>
  <si>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</si>
  <si>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</si>
  <si>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</si>
  <si>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</si>
  <si>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</si>
  <si>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</si>
  <si>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</si>
  <si>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</si>
  <si>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</si>
  <si>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</si>
  <si>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</si>
  <si>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</si>
  <si>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</si>
  <si>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</si>
  <si>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</si>
  <si>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</si>
  <si>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</si>
  <si>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</si>
  <si>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</si>
  <si>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</si>
  <si>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</si>
  <si>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</si>
  <si>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</si>
  <si>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</si>
  <si>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</si>
  <si>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</si>
  <si>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</si>
  <si>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</si>
  <si>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</si>
  <si>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</si>
  <si>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</si>
  <si>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</si>
  <si>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</si>
  <si>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</si>
  <si>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</si>
  <si>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</si>
  <si>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</si>
  <si>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</si>
  <si>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</si>
  <si>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</si>
  <si>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</si>
  <si>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</si>
  <si>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</si>
  <si>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</si>
  <si>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</si>
  <si>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</si>
  <si>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</si>
  <si>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</si>
  <si>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</si>
  <si>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</si>
  <si>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</si>
  <si>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</si>
  <si>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</si>
  <si>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</si>
  <si>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</si>
  <si>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</si>
  <si>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</si>
  <si>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</si>
  <si>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</si>
  <si>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</si>
  <si>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</si>
  <si>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</si>
  <si>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</si>
  <si>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</si>
  <si>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</si>
  <si>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</si>
  <si>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</si>
  <si>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</si>
  <si>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</si>
  <si>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</si>
  <si>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</si>
  <si>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</si>
  <si>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</si>
  <si>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</si>
  <si>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</si>
  <si>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</si>
  <si>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</si>
  <si>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</si>
  <si>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</si>
  <si>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</si>
  <si>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</si>
  <si>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</si>
  <si>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</si>
  <si>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</si>
  <si>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</si>
  <si>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</si>
  <si>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</si>
  <si>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</si>
  <si>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</si>
  <si>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</si>
  <si>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</si>
  <si>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</si>
  <si>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</si>
  <si>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</si>
  <si>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</si>
  <si>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</si>
  <si>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</si>
  <si>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</si>
  <si>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</si>
  <si>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</si>
  <si>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</si>
  <si>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</si>
  <si>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</si>
  <si>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</si>
  <si>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</si>
  <si>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</si>
  <si>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</si>
  <si>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</si>
  <si>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</si>
  <si>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</si>
  <si>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</si>
  <si>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</si>
  <si>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</si>
  <si>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</si>
  <si>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</si>
  <si>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</si>
  <si>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</si>
  <si>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</si>
  <si>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</si>
  <si>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</si>
  <si>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</si>
  <si>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</si>
  <si>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</si>
  <si>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</si>
  <si>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</si>
  <si>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</si>
  <si>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</si>
  <si>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</si>
  <si>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</si>
  <si>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</si>
  <si>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</si>
  <si>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</si>
  <si>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</si>
  <si>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</si>
  <si>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</si>
  <si>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</si>
  <si>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</si>
  <si>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</si>
  <si>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</si>
  <si>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</si>
  <si>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</si>
  <si>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</si>
  <si>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</si>
  <si>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</si>
  <si>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</si>
  <si>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</si>
  <si>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</si>
  <si>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</si>
  <si>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</si>
  <si>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</si>
  <si>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</si>
  <si>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</si>
  <si>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</si>
  <si>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</si>
  <si>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</si>
  <si>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</si>
  <si>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</si>
  <si>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</si>
  <si>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</si>
  <si>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</si>
  <si>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</si>
  <si>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</si>
  <si>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</si>
  <si>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</si>
  <si>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</si>
  <si>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</si>
  <si>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</si>
  <si>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</si>
  <si>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</si>
  <si>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</si>
  <si>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</si>
  <si>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</si>
  <si>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</si>
  <si>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</si>
  <si>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</si>
  <si>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</si>
  <si>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</si>
  <si>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</si>
  <si>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</si>
  <si>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</si>
  <si>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</si>
  <si>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</si>
  <si>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</si>
  <si>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</si>
  <si>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</si>
  <si>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</si>
  <si>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</si>
  <si>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</si>
  <si>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</si>
  <si>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</si>
  <si>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</si>
  <si>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</si>
  <si>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</si>
  <si>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</si>
  <si>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</si>
  <si>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</si>
  <si>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</si>
  <si>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</si>
  <si>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</si>
  <si>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</si>
  <si>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</si>
  <si>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</si>
  <si>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</si>
  <si>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</si>
  <si>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</si>
  <si>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</si>
  <si>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</si>
  <si>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</si>
  <si>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</si>
  <si>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</si>
  <si>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</si>
  <si>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</si>
  <si>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</si>
  <si>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</si>
  <si>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</si>
  <si>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</si>
  <si>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</si>
  <si>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</si>
  <si>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</si>
  <si>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</si>
  <si>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</si>
  <si>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</si>
  <si>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</si>
  <si>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</si>
  <si>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</si>
  <si>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</si>
  <si>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</si>
  <si>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</si>
  <si>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</si>
  <si>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</si>
  <si>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</si>
  <si>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</si>
  <si>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</si>
  <si>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</si>
  <si>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</si>
  <si>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</si>
  <si>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</si>
  <si>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</si>
  <si>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</si>
  <si>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</si>
  <si>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</si>
  <si>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</si>
  <si>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</si>
  <si>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</si>
  <si>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</si>
  <si>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</si>
  <si>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</si>
  <si>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</si>
  <si>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</si>
  <si>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</si>
  <si>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</si>
  <si>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</si>
  <si>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</si>
  <si>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</si>
  <si>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</si>
  <si>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</si>
  <si>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</si>
  <si>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</si>
  <si>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</si>
  <si>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</si>
  <si>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</si>
  <si>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</si>
  <si>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</si>
  <si>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</si>
  <si>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</si>
  <si>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</si>
  <si>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</si>
  <si>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</si>
  <si>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</si>
  <si>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</si>
  <si>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</si>
  <si>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</si>
  <si>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</si>
  <si>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</si>
  <si>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</si>
  <si>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</si>
  <si>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</si>
  <si>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</si>
  <si>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</si>
  <si>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</si>
  <si>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</si>
  <si>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</si>
  <si>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</si>
  <si>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</si>
  <si>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</si>
  <si>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</si>
  <si>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</si>
  <si>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</si>
  <si>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</si>
  <si>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</si>
  <si>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</si>
  <si>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</si>
  <si>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</si>
  <si>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</si>
  <si>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</si>
  <si>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</si>
  <si>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</si>
  <si>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</si>
  <si>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</si>
  <si>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</si>
  <si>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</si>
  <si>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</si>
  <si>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</si>
  <si>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</si>
  <si>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</si>
  <si>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</si>
  <si>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</si>
  <si>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</si>
  <si>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</si>
  <si>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</si>
  <si>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</si>
  <si>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</si>
  <si>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</si>
  <si>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</si>
  <si>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</si>
  <si>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</si>
  <si>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</si>
  <si>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</si>
  <si>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</si>
  <si>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</si>
  <si>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</si>
  <si>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</si>
  <si>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</si>
  <si>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</si>
  <si>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</si>
  <si>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</si>
  <si>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</si>
  <si>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</si>
  <si>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</si>
  <si>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</si>
  <si>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</si>
  <si>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</si>
  <si>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</si>
  <si>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</si>
  <si>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</si>
  <si>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</si>
  <si>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</si>
  <si>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</si>
  <si>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</si>
  <si>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</si>
  <si>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</si>
  <si>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</si>
  <si>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</si>
  <si>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</si>
  <si>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</si>
  <si>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</si>
  <si>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</si>
  <si>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</si>
  <si>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</si>
  <si>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</si>
  <si>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</si>
  <si>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</si>
  <si>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</si>
  <si>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</si>
  <si>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</si>
  <si>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</si>
  <si>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</si>
  <si>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</si>
  <si>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</si>
  <si>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</si>
  <si>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</si>
  <si>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</si>
  <si>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</si>
  <si>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</si>
  <si>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</si>
  <si>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</si>
  <si>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</si>
  <si>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</si>
  <si>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</si>
  <si>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</si>
  <si>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</si>
  <si>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</si>
  <si>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</si>
  <si>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</si>
  <si>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</si>
  <si>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</si>
  <si>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</si>
  <si>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</si>
  <si>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</si>
  <si>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</si>
  <si>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</si>
  <si>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</si>
  <si>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</si>
  <si>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</si>
  <si>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</si>
  <si>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</si>
  <si>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</si>
  <si>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</si>
  <si>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</si>
  <si>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</si>
  <si>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</si>
  <si>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</si>
  <si>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</si>
  <si>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</si>
  <si>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</si>
  <si>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</si>
  <si>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</si>
  <si>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</si>
  <si>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</si>
  <si>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</si>
  <si>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</si>
  <si>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</si>
  <si>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</si>
  <si>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</si>
  <si>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</si>
  <si>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</si>
  <si>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</si>
  <si>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</si>
  <si>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</si>
  <si>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</si>
  <si>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</si>
  <si>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</si>
  <si>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</si>
  <si>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</si>
  <si>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</si>
  <si>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</si>
  <si>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</si>
  <si>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</si>
  <si>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</si>
  <si>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</si>
  <si>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</si>
  <si>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</si>
  <si>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</si>
  <si>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</si>
  <si>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</si>
  <si>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</si>
  <si>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</si>
  <si>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</si>
  <si>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</si>
  <si>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</si>
  <si>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</si>
  <si>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</si>
  <si>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</si>
  <si>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</si>
  <si>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</si>
  <si>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</si>
  <si>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</si>
  <si>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</si>
  <si>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</si>
  <si>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</si>
  <si>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</si>
  <si>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</si>
  <si>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</si>
  <si>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</si>
  <si>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</si>
  <si>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</si>
  <si>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</si>
  <si>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</si>
  <si>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</si>
  <si>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</si>
  <si>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</si>
  <si>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</si>
  <si>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</si>
  <si>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</si>
  <si>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</si>
  <si>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</si>
  <si>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</si>
  <si>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</si>
  <si>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</si>
  <si>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</si>
  <si>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</si>
  <si>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</si>
  <si>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</si>
  <si>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</si>
  <si>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</si>
  <si>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</si>
  <si>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</si>
  <si>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</si>
  <si>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</si>
  <si>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</si>
  <si>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</si>
  <si>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</si>
  <si>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</si>
  <si>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</si>
  <si>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</si>
  <si>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</si>
  <si>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</si>
  <si>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</si>
  <si>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</si>
  <si>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</si>
  <si>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</si>
  <si>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</si>
  <si>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</si>
  <si>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</si>
  <si>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</si>
  <si>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</si>
  <si>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</si>
  <si>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</si>
  <si>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</si>
  <si>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</si>
  <si>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</si>
  <si>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</si>
  <si>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</si>
  <si>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</si>
  <si>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</si>
  <si>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</si>
  <si>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</si>
  <si>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</si>
  <si>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</si>
  <si>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</si>
  <si>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</si>
  <si>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</si>
  <si>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</si>
  <si>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</si>
  <si>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</si>
  <si>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</si>
  <si>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</si>
  <si>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</si>
  <si>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</si>
  <si>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</si>
  <si>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</si>
  <si>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</si>
  <si>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</si>
  <si>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</si>
  <si>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</si>
  <si>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</si>
  <si>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</si>
  <si>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</si>
  <si>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</si>
  <si>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</si>
  <si>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</si>
  <si>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</si>
  <si>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</si>
  <si>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</si>
  <si>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</si>
  <si>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</si>
  <si>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</si>
  <si>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</si>
  <si>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</si>
  <si>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</si>
  <si>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</si>
  <si>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</si>
  <si>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</si>
  <si>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</si>
  <si>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</si>
  <si>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</si>
  <si>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</si>
  <si>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</si>
  <si>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</si>
  <si>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</si>
  <si>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</si>
  <si>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</si>
  <si>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</si>
  <si>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</si>
  <si>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</si>
  <si>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</si>
  <si>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</si>
  <si>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</si>
  <si>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</si>
  <si>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</si>
  <si>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</si>
  <si>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</si>
  <si>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</si>
  <si>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</si>
  <si>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</si>
  <si>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</si>
  <si>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</si>
  <si>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</si>
  <si>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</si>
  <si>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</si>
  <si>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</si>
  <si>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</si>
  <si>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</si>
  <si>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</si>
  <si>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</si>
  <si>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</si>
  <si>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</si>
  <si>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</si>
  <si>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</si>
  <si>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</si>
  <si>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</si>
  <si>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</si>
  <si>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</si>
  <si>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</si>
  <si>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</si>
  <si>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</si>
  <si>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</si>
  <si>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</si>
  <si>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</si>
  <si>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</si>
  <si>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</si>
  <si>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</si>
  <si>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</si>
  <si>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</si>
  <si>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</si>
  <si>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</si>
  <si>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</si>
  <si>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</si>
  <si>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</si>
  <si>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</si>
  <si>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</si>
  <si>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</si>
  <si>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</si>
  <si>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</si>
  <si>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</si>
  <si>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</si>
  <si>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</si>
  <si>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</si>
  <si>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</si>
  <si>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</si>
  <si>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</si>
  <si>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</si>
  <si>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</si>
  <si>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</si>
  <si>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</si>
  <si>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</si>
  <si>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</si>
  <si>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</si>
  <si>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</si>
  <si>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</si>
  <si>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</si>
  <si>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</si>
  <si>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</si>
  <si>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</si>
  <si>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</si>
  <si>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</si>
  <si>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</si>
  <si>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</si>
  <si>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</si>
  <si>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</si>
  <si>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</si>
  <si>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</si>
  <si>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</si>
  <si>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</si>
  <si>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</si>
  <si>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</si>
  <si>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</si>
  <si>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</si>
  <si>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</si>
  <si>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</si>
  <si>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</si>
  <si>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</si>
  <si>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</si>
  <si>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</si>
  <si>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</si>
  <si>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</si>
  <si>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</si>
  <si>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</si>
  <si>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</si>
  <si>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</si>
  <si>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</si>
  <si>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</si>
  <si>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</si>
  <si>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</si>
  <si>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</si>
  <si>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</si>
  <si>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</si>
  <si>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</si>
  <si>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</si>
  <si>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</si>
  <si>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</si>
  <si>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</si>
  <si>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</si>
  <si>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</si>
  <si>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</si>
  <si>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</si>
  <si>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</si>
  <si>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</si>
  <si>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</si>
  <si>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</si>
  <si>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</si>
  <si>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</si>
  <si>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</si>
  <si>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</si>
  <si>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</si>
  <si>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</si>
  <si>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</si>
  <si>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</si>
  <si>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</si>
  <si>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</si>
  <si>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</si>
  <si>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</si>
  <si>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</si>
  <si>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</si>
  <si>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</si>
  <si>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</si>
  <si>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</si>
  <si>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</si>
  <si>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</si>
  <si>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</si>
  <si>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</si>
  <si>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</si>
  <si>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</si>
  <si>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</si>
  <si>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</si>
  <si>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</si>
  <si>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</si>
  <si>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</si>
  <si>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</si>
  <si>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</si>
  <si>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</si>
  <si>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</si>
  <si>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</si>
  <si>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</si>
  <si>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</si>
  <si>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</si>
  <si>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</si>
  <si>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</si>
  <si>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</si>
  <si>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</si>
  <si>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</si>
  <si>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</si>
  <si>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</si>
  <si>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</si>
  <si>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</si>
  <si>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</si>
  <si>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</si>
  <si>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</si>
  <si>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</si>
  <si>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</si>
  <si>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</si>
  <si>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</si>
  <si>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</si>
  <si>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</si>
  <si>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</si>
  <si>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</si>
  <si>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</si>
  <si>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</si>
  <si>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</si>
  <si>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</si>
  <si>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</si>
  <si>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</si>
  <si>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</si>
  <si>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</si>
  <si>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</si>
  <si>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</si>
  <si>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</si>
  <si>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</si>
  <si>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</si>
  <si>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</si>
  <si>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</si>
  <si>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</si>
  <si>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</si>
  <si>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</si>
  <si>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</si>
  <si>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</si>
  <si>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</si>
  <si>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</si>
  <si>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</si>
  <si>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</si>
  <si>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</si>
  <si>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</si>
  <si>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</si>
  <si>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</si>
  <si>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</si>
  <si>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</si>
  <si>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</si>
  <si>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</si>
  <si>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</si>
  <si>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</si>
  <si>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</si>
  <si>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</si>
  <si>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</si>
  <si>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</si>
  <si>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</si>
  <si>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</si>
  <si>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</si>
  <si>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</si>
  <si>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</si>
  <si>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</si>
  <si>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</si>
  <si>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</si>
  <si>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</si>
  <si>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</si>
  <si>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</si>
  <si>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</si>
  <si>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</si>
  <si>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</si>
  <si>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</si>
  <si>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</si>
  <si>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</si>
  <si>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</si>
  <si>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</si>
  <si>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</si>
  <si>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</si>
  <si>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</si>
  <si>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</si>
  <si>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</si>
  <si>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</si>
  <si>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</si>
  <si>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</si>
  <si>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</si>
  <si>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</si>
  <si>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</si>
  <si>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</si>
  <si>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</si>
  <si>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</si>
  <si>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</si>
  <si>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</si>
  <si>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</si>
  <si>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</si>
  <si>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</si>
  <si>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</si>
  <si>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</si>
  <si>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</si>
  <si>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</si>
  <si>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</si>
  <si>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</si>
  <si>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</si>
  <si>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</si>
  <si>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</si>
  <si>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</si>
  <si>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</si>
  <si>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</si>
  <si>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</si>
  <si>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</si>
  <si>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</si>
  <si>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</si>
  <si>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</si>
  <si>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</si>
  <si>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</si>
  <si>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</si>
  <si>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</si>
  <si>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</si>
  <si>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</si>
  <si>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</si>
  <si>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</si>
  <si>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</si>
  <si>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</si>
  <si>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</si>
  <si>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</si>
  <si>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</si>
  <si>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</si>
  <si>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</si>
  <si>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</si>
  <si>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</si>
  <si>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</si>
  <si>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</si>
  <si>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</si>
  <si>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</si>
  <si>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</si>
  <si>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</si>
  <si>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</si>
  <si>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</si>
  <si>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</si>
  <si>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</si>
  <si>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</si>
  <si>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</si>
  <si>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</si>
  <si>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</si>
  <si>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</si>
  <si>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</si>
  <si>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</si>
  <si>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</si>
  <si>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</si>
  <si>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</si>
  <si>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</si>
  <si>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</si>
  <si>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</si>
  <si>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</si>
  <si>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</si>
  <si>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</si>
  <si>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</si>
  <si>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</si>
  <si>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</si>
  <si>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</si>
  <si>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</si>
  <si>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</si>
  <si>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</si>
  <si>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</si>
  <si>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</si>
  <si>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</si>
  <si>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</si>
  <si>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</si>
  <si>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</si>
  <si>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</si>
  <si>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</si>
  <si>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</si>
  <si>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</si>
  <si>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</si>
  <si>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</si>
  <si>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</si>
  <si>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</si>
  <si>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</si>
  <si>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</si>
  <si>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</si>
  <si>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</si>
  <si>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</si>
  <si>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</si>
  <si>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</si>
  <si>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</si>
  <si>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</si>
  <si>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</si>
  <si>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</si>
  <si>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</si>
  <si>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</si>
  <si>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</si>
  <si>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</si>
  <si>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</si>
  <si>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</si>
  <si>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</si>
  <si>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</si>
  <si>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</si>
  <si>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</si>
  <si>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</si>
  <si>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</si>
  <si>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</si>
  <si>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</si>
  <si>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</si>
  <si>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</si>
  <si>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</si>
  <si>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</si>
  <si>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</si>
  <si>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</si>
  <si>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</si>
  <si>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</si>
  <si>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</si>
  <si>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</si>
  <si>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</si>
  <si>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</si>
  <si>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</si>
  <si>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</si>
  <si>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</si>
  <si>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</si>
  <si>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</si>
  <si>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</si>
  <si>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</si>
  <si>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</si>
  <si>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</si>
  <si>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</si>
  <si>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</si>
  <si>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</si>
  <si>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</si>
  <si>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</si>
  <si>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</si>
  <si>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</si>
  <si>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</si>
  <si>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</si>
  <si>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</si>
  <si>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</si>
  <si>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</si>
  <si>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</si>
  <si>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</si>
  <si>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</si>
  <si>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</si>
  <si>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</si>
  <si>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</si>
  <si>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</si>
  <si>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</si>
  <si>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</si>
  <si>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</si>
  <si>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</si>
  <si>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</si>
  <si>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</si>
  <si>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</si>
  <si>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</si>
  <si>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</si>
  <si>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</si>
  <si>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</si>
  <si>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</si>
  <si>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</si>
  <si>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</si>
  <si>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</si>
  <si>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</si>
  <si>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</si>
  <si>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</si>
  <si>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</si>
  <si>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</si>
  <si>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</si>
  <si>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</si>
  <si>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</si>
  <si>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</si>
  <si>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</si>
  <si>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</si>
  <si>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</si>
  <si>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</si>
  <si>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</si>
  <si>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</si>
  <si>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</si>
  <si>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</si>
  <si>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</si>
  <si>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</si>
  <si>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</si>
  <si>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</si>
  <si>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</si>
  <si>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</si>
  <si>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</si>
  <si>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</si>
  <si>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</si>
  <si>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</si>
  <si>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</si>
  <si>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</si>
  <si>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</si>
  <si>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</si>
  <si>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</si>
  <si>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</si>
  <si>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</si>
  <si>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</si>
  <si>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</si>
  <si>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</si>
  <si>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</si>
  <si>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</si>
  <si>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</si>
  <si>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</si>
  <si>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</si>
  <si>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</si>
  <si>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</si>
  <si>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</si>
  <si>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</si>
  <si>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</si>
  <si>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</si>
  <si>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</si>
  <si>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</si>
  <si>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</si>
  <si>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</si>
  <si>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</si>
  <si>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</si>
  <si>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</si>
  <si>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</si>
  <si>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</si>
  <si>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</si>
  <si>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</si>
  <si>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</si>
  <si>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</si>
  <si>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</si>
  <si>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</si>
  <si>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</si>
  <si>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</si>
  <si>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</si>
  <si>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</si>
  <si>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</si>
  <si>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</si>
  <si>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</si>
  <si>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</si>
  <si>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</si>
  <si>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</si>
  <si>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</si>
  <si>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</si>
  <si>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</si>
  <si>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</si>
  <si>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</si>
  <si>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</si>
  <si>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</si>
  <si>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</si>
  <si>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</si>
  <si>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</si>
  <si>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</si>
  <si>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</si>
  <si>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</si>
  <si>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</si>
  <si>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</si>
  <si>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</si>
  <si>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</si>
  <si>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</si>
  <si>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</si>
  <si>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</si>
  <si>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</si>
  <si>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</si>
  <si>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</si>
  <si>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</si>
  <si>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</si>
  <si>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</si>
  <si>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</si>
  <si>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</si>
  <si>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</si>
  <si>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</si>
  <si>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</si>
  <si>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</si>
  <si>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</si>
  <si>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</si>
  <si>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</si>
  <si>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</si>
  <si>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</si>
  <si>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</si>
  <si>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</si>
  <si>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</si>
  <si>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</si>
  <si>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</si>
  <si>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</si>
  <si>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</si>
  <si>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</si>
  <si>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</si>
  <si>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</si>
  <si>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</si>
  <si>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</si>
  <si>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</si>
  <si>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</si>
  <si>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</si>
  <si>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</si>
  <si>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</si>
  <si>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</si>
  <si>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</si>
  <si>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</si>
  <si>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</si>
  <si>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</si>
  <si>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</si>
  <si>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</si>
  <si>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</si>
  <si>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</si>
  <si>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</si>
  <si>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</si>
  <si>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</si>
  <si>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</si>
  <si>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</si>
  <si>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</si>
  <si>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</si>
  <si>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</si>
  <si>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</si>
  <si>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</si>
  <si>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</si>
  <si>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</si>
  <si>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</si>
  <si>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</si>
  <si>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</si>
  <si>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</si>
  <si>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</si>
  <si>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</si>
  <si>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</si>
  <si>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</si>
  <si>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</si>
  <si>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</si>
  <si>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</si>
  <si>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</si>
  <si>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</si>
  <si>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</si>
  <si>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</si>
  <si>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</si>
  <si>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</si>
  <si>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</si>
  <si>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</si>
  <si>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</si>
  <si>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</si>
  <si>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</si>
  <si>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</si>
  <si>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</si>
  <si>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</si>
  <si>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</si>
  <si>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</si>
  <si>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</si>
  <si>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</si>
  <si>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</si>
  <si>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</si>
  <si>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</si>
  <si>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</si>
  <si>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</si>
  <si>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</si>
  <si>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</si>
  <si>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</si>
  <si>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</si>
  <si>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</si>
  <si>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</si>
  <si>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</si>
  <si>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</si>
  <si>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</si>
  <si>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</si>
  <si>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</si>
  <si>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</si>
  <si>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</si>
  <si>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</si>
  <si>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</si>
  <si>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</si>
  <si>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</si>
  <si>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</si>
  <si>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</si>
  <si>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</si>
  <si>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</si>
  <si>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</si>
  <si>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</si>
  <si>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</si>
  <si>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</si>
  <si>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</si>
  <si>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</si>
  <si>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</si>
  <si>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</si>
  <si>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</si>
  <si>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</si>
  <si>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</si>
  <si>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</si>
  <si>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</si>
  <si>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</si>
  <si>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</si>
  <si>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</si>
  <si>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</si>
  <si>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</si>
  <si>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</si>
  <si>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</si>
  <si>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</si>
  <si>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</si>
  <si>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</si>
  <si>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</si>
  <si>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</si>
  <si>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</si>
  <si>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</si>
  <si>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</si>
  <si>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</si>
  <si>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</si>
  <si>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</si>
  <si>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</si>
  <si>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</si>
  <si>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</si>
  <si>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</si>
  <si>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</si>
  <si>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</si>
  <si>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</si>
  <si>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</si>
  <si>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</si>
  <si>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</si>
  <si>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</si>
  <si>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</si>
  <si>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</si>
  <si>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</si>
  <si>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</si>
  <si>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</si>
  <si>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</si>
  <si>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</si>
  <si>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</si>
  <si>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</si>
  <si>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</si>
  <si>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</si>
  <si>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</si>
  <si>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</si>
  <si>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</si>
  <si>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</si>
  <si>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</si>
  <si>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</si>
  <si>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</si>
  <si>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</si>
  <si>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</si>
  <si>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</si>
  <si>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</si>
  <si>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</si>
  <si>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</si>
  <si>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</si>
  <si>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</si>
  <si>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</si>
  <si>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</si>
  <si>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</si>
  <si>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</si>
  <si>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</si>
  <si>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</si>
  <si>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</si>
  <si>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</si>
  <si>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</si>
  <si>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</si>
  <si>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</si>
  <si>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</si>
  <si>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</si>
  <si>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</si>
  <si>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</si>
  <si>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</si>
  <si>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</si>
  <si>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</si>
  <si>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</si>
  <si>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</si>
  <si>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</si>
  <si>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</si>
  <si>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</si>
  <si>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</si>
  <si>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</si>
  <si>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</si>
  <si>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</si>
  <si>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</si>
  <si>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</si>
  <si>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</si>
  <si>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</si>
  <si>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</si>
  <si>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</si>
  <si>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</si>
  <si>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</si>
  <si>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</si>
  <si>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</si>
  <si>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</si>
  <si>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</si>
  <si>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</si>
  <si>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</si>
  <si>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</si>
  <si>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</si>
  <si>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</si>
  <si>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</si>
  <si>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</si>
  <si>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</si>
  <si>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</si>
  <si>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</si>
  <si>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</si>
  <si>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</si>
  <si>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</si>
  <si>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</si>
  <si>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</si>
  <si>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</si>
  <si>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</si>
  <si>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</si>
  <si>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</si>
  <si>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</si>
  <si>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</si>
  <si>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</si>
  <si>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</si>
  <si>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</si>
  <si>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</si>
  <si>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</si>
  <si>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</si>
  <si>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</si>
  <si>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</si>
  <si>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</si>
  <si>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</si>
  <si>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</si>
  <si>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</si>
  <si>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</si>
  <si>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</si>
  <si>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</si>
  <si>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</si>
  <si>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</si>
  <si>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</si>
  <si>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</si>
  <si>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</si>
  <si>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</si>
  <si>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</si>
  <si>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</si>
  <si>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</si>
  <si>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</si>
  <si>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</si>
  <si>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</si>
  <si>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</si>
  <si>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</si>
  <si>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</si>
  <si>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</si>
  <si>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</si>
  <si>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</si>
  <si>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</si>
  <si>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</si>
  <si>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</si>
  <si>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</si>
  <si>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</si>
  <si>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</si>
  <si>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</si>
  <si>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</si>
  <si>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</si>
  <si>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</si>
  <si>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</si>
  <si>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</si>
  <si>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</si>
  <si>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</si>
  <si>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</si>
  <si>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</si>
  <si>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</si>
  <si>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</si>
  <si>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</si>
  <si>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</si>
  <si>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</si>
  <si>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</si>
  <si>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</si>
  <si>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</si>
  <si>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</si>
  <si>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</si>
  <si>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</si>
  <si>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</si>
  <si>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</si>
  <si>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</si>
  <si>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</si>
  <si>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</si>
  <si>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</si>
  <si>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</si>
  <si>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</si>
  <si>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</si>
  <si>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</si>
  <si>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</si>
  <si>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</si>
  <si>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</si>
  <si>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</si>
  <si>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</si>
  <si>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</si>
  <si>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</si>
  <si>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</si>
  <si>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</si>
  <si>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</si>
  <si>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</si>
  <si>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</si>
  <si>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</si>
  <si>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</si>
  <si>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</si>
  <si>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</si>
  <si>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</si>
  <si>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</si>
  <si>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</si>
  <si>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</si>
  <si>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</si>
  <si>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</si>
  <si>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</si>
  <si>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</si>
  <si>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</si>
  <si>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</si>
  <si>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</si>
  <si>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</si>
  <si>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</si>
  <si>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</si>
  <si>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</si>
  <si>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</si>
  <si>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</si>
  <si>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</si>
  <si>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</si>
  <si>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</si>
  <si>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</si>
  <si>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</si>
  <si>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</si>
  <si>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</si>
  <si>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</si>
  <si>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</si>
  <si>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</si>
  <si>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</si>
  <si>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</si>
  <si>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</si>
  <si>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</si>
  <si>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</si>
  <si>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</si>
  <si>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</si>
  <si>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</si>
  <si>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</si>
  <si>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</si>
  <si>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</si>
  <si>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</si>
  <si>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</si>
  <si>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</si>
  <si>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</si>
  <si>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</si>
  <si>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</si>
  <si>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</si>
  <si>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</si>
  <si>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</si>
  <si>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</si>
  <si>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</si>
  <si>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</si>
  <si>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</si>
  <si>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</si>
  <si>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</si>
  <si>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</si>
  <si>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</si>
  <si>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</si>
  <si>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</si>
  <si>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</si>
  <si>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</si>
  <si>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</si>
  <si>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</si>
  <si>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</si>
  <si>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</si>
  <si>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</si>
  <si>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</si>
  <si>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</si>
  <si>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</si>
  <si>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</si>
  <si>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</si>
  <si>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</si>
  <si>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</si>
  <si>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</si>
  <si>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</si>
  <si>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</si>
  <si>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</si>
  <si>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</si>
  <si>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</si>
  <si>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</si>
  <si>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</si>
  <si>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</si>
  <si>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</si>
  <si>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</si>
  <si>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</si>
  <si>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</si>
  <si>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</si>
  <si>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</si>
  <si>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</si>
  <si>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</si>
  <si>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</si>
  <si>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</si>
  <si>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</si>
  <si>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</si>
  <si>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</si>
  <si>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</si>
  <si>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</si>
  <si>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</si>
  <si>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</si>
  <si>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</si>
  <si>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</si>
  <si>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</si>
  <si>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</si>
  <si>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</si>
  <si>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</si>
  <si>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</si>
  <si>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</si>
  <si>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</si>
  <si>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</si>
  <si>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</si>
  <si>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</si>
  <si>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</si>
  <si>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</si>
  <si>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</si>
  <si>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</si>
  <si>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</si>
  <si>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</si>
  <si>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</si>
  <si>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</si>
  <si>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</si>
  <si>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</si>
  <si>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</si>
  <si>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</si>
  <si>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</si>
  <si>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</si>
  <si>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</si>
  <si>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</si>
  <si>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</si>
  <si>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</si>
  <si>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</si>
  <si>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</si>
  <si>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</si>
  <si>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</si>
  <si>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</si>
  <si>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</si>
  <si>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</si>
  <si>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</si>
  <si>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</si>
  <si>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</si>
  <si>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</si>
  <si>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</si>
  <si>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</si>
  <si>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</si>
  <si>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</si>
  <si>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</si>
  <si>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</si>
  <si>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</si>
  <si>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</si>
  <si>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</si>
  <si>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</si>
  <si>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</si>
  <si>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</si>
  <si>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</si>
  <si>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</si>
  <si>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</si>
  <si>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</si>
  <si>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</si>
  <si>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</si>
  <si>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</si>
  <si>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</si>
  <si>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</si>
  <si>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</si>
  <si>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</si>
  <si>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</si>
  <si>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</si>
  <si>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</si>
  <si>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</si>
  <si>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</si>
  <si>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</si>
  <si>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</si>
  <si>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</si>
  <si>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</si>
  <si>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</si>
  <si>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</si>
  <si>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</si>
  <si>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</si>
  <si>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</si>
  <si>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</si>
  <si>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</si>
  <si>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</si>
  <si>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</si>
  <si>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</si>
  <si>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</si>
  <si>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</si>
  <si>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</si>
  <si>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</si>
  <si>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</si>
  <si>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</si>
  <si>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</si>
  <si>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</si>
  <si>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</si>
  <si>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</si>
  <si>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</si>
  <si>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</si>
  <si>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</si>
  <si>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</si>
  <si>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</si>
  <si>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</si>
  <si>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</si>
  <si>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</si>
  <si>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</si>
  <si>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</si>
  <si>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</si>
  <si>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</si>
  <si>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</si>
  <si>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</si>
  <si>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</si>
  <si>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</si>
  <si>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</si>
  <si>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</si>
  <si>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</si>
  <si>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</si>
  <si>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</si>
  <si>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</si>
  <si>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</si>
  <si>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</si>
  <si>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</si>
  <si>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</si>
  <si>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</si>
  <si>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</si>
  <si>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</si>
  <si>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</si>
  <si>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</si>
  <si>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</si>
  <si>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</si>
  <si>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</si>
  <si>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</si>
  <si>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</si>
  <si>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</si>
  <si>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</si>
  <si>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</si>
  <si>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</si>
  <si>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</si>
  <si>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</si>
  <si>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</si>
  <si>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</si>
  <si>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</si>
  <si>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</si>
  <si>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</si>
  <si>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</si>
  <si>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</si>
  <si>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</si>
  <si>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</si>
  <si>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</si>
  <si>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</si>
  <si>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</si>
  <si>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</si>
  <si>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</si>
  <si>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</si>
  <si>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</si>
  <si>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</si>
  <si>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</si>
  <si>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</si>
  <si>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</si>
  <si>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</si>
  <si>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</si>
  <si>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</si>
  <si>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</si>
  <si>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</si>
  <si>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</si>
  <si>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</si>
  <si>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</si>
  <si>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</si>
  <si>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</si>
  <si>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</si>
  <si>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</si>
  <si>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</si>
  <si>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</si>
  <si>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</si>
  <si>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</si>
  <si>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</si>
  <si>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</si>
  <si>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</si>
  <si>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</si>
  <si>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</si>
  <si>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</si>
  <si>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</si>
  <si>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</si>
  <si>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</si>
  <si>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</si>
  <si>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</si>
  <si>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</si>
  <si>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</si>
  <si>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</si>
  <si>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</si>
  <si>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</si>
  <si>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</si>
  <si>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</si>
  <si>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</si>
  <si>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</si>
  <si>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</si>
  <si>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</si>
  <si>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</si>
  <si>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</si>
  <si>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</si>
  <si>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</si>
  <si>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</si>
  <si>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</si>
  <si>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</si>
  <si>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</si>
  <si>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</si>
  <si>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</si>
  <si>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</si>
  <si>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</si>
  <si>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</si>
  <si>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</si>
  <si>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</si>
  <si>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</si>
  <si>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</si>
  <si>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</si>
  <si>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</si>
  <si>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</si>
  <si>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</si>
  <si>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</si>
  <si>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</si>
  <si>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</si>
  <si>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</si>
  <si>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</si>
  <si>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</si>
  <si>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</si>
  <si>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</si>
  <si>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</si>
  <si>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</si>
  <si>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</si>
  <si>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</si>
  <si>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</si>
  <si>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</si>
  <si>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</si>
  <si>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</si>
  <si>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</si>
  <si>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</si>
  <si>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</si>
  <si>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</si>
  <si>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</si>
  <si>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</si>
  <si>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</si>
  <si>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</si>
  <si>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</si>
  <si>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</si>
  <si>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</si>
  <si>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</si>
  <si>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</si>
  <si>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</si>
  <si>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</si>
  <si>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</si>
  <si>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</si>
  <si>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</si>
  <si>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</si>
  <si>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</si>
  <si>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</si>
  <si>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</si>
  <si>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</si>
  <si>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</si>
  <si>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</si>
  <si>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</si>
  <si>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</si>
  <si>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</si>
  <si>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</si>
  <si>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</si>
  <si>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</si>
  <si>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</si>
  <si>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</si>
  <si>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</si>
  <si>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</si>
  <si>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</si>
  <si>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</si>
  <si>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</si>
  <si>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</si>
  <si>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</si>
  <si>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</si>
  <si>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</si>
  <si>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</si>
  <si>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</si>
  <si>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</si>
  <si>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</si>
  <si>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</si>
  <si>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</si>
  <si>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</si>
  <si>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</si>
  <si>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</si>
  <si>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</si>
  <si>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</si>
  <si>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</si>
  <si>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</si>
  <si>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</si>
  <si>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</si>
  <si>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</si>
  <si>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</si>
  <si>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</si>
  <si>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</si>
  <si>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</si>
  <si>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</si>
  <si>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</si>
  <si>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</si>
  <si>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</si>
  <si>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</si>
  <si>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</si>
  <si>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</si>
  <si>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</si>
  <si>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</si>
  <si>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</si>
  <si>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</si>
  <si>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</si>
  <si>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</si>
  <si>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</si>
  <si>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</si>
  <si>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</si>
  <si>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</si>
  <si>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</si>
  <si>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</si>
  <si>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</si>
  <si>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</si>
  <si>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</si>
  <si>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</si>
  <si>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</si>
  <si>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</si>
  <si>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</si>
  <si>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</si>
  <si>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</si>
  <si>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</si>
  <si>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</si>
  <si>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</si>
  <si>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</si>
  <si>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</si>
  <si>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</si>
  <si>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</si>
  <si>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</si>
  <si>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</si>
  <si>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</si>
  <si>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</si>
  <si>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</si>
  <si>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</si>
  <si>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</si>
  <si>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</si>
  <si>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</si>
  <si>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</si>
  <si>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</si>
  <si>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</si>
  <si>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</si>
  <si>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</si>
  <si>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</si>
  <si>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</si>
  <si>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</si>
  <si>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</si>
  <si>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</si>
  <si>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</si>
  <si>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</si>
  <si>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</si>
  <si>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</si>
  <si>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</si>
  <si>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</si>
  <si>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</si>
  <si>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</si>
  <si>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</si>
  <si>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</si>
  <si>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</si>
  <si>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</si>
  <si>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</si>
  <si>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</si>
  <si>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</si>
  <si>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</si>
  <si>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</si>
  <si>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</si>
  <si>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</si>
  <si>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</si>
  <si>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</si>
  <si>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</si>
  <si>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</si>
  <si>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</si>
  <si>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</si>
  <si>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</si>
  <si>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</si>
  <si>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</si>
  <si>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</si>
  <si>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</si>
  <si>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</si>
  <si>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</si>
  <si>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</si>
  <si>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</si>
  <si>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</si>
  <si>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</si>
  <si>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</si>
  <si>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</si>
  <si>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</si>
  <si>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</si>
  <si>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</si>
  <si>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</si>
  <si>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</si>
  <si>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</si>
  <si>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</si>
  <si>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</si>
  <si>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</si>
  <si>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</si>
  <si>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</si>
  <si>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</si>
  <si>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</si>
  <si>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</si>
  <si>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</si>
  <si>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</si>
  <si>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</si>
  <si>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</si>
  <si>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</si>
  <si>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</si>
  <si>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</si>
  <si>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</si>
  <si>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</si>
  <si>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</si>
  <si>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</si>
  <si>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</si>
  <si>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</si>
  <si>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</si>
  <si>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</si>
  <si>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</si>
  <si>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</si>
  <si>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</si>
  <si>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</si>
  <si>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</si>
  <si>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</si>
  <si>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</si>
  <si>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</si>
  <si>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</si>
  <si>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</si>
  <si>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</si>
  <si>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</si>
  <si>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</si>
  <si>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</si>
  <si>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</si>
  <si>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</si>
  <si>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</si>
  <si>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</si>
  <si>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</si>
  <si>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</si>
  <si>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</si>
  <si>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</si>
  <si>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</si>
  <si>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</si>
  <si>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</si>
  <si>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</si>
  <si>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</si>
  <si>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</si>
  <si>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</si>
  <si>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</si>
  <si>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</si>
  <si>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</si>
  <si>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</si>
  <si>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</si>
  <si>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</si>
  <si>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</si>
  <si>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</si>
  <si>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</si>
  <si>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</si>
  <si>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</si>
  <si>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</si>
  <si>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</si>
  <si>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</si>
  <si>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</si>
  <si>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</si>
  <si>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</si>
  <si>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</si>
  <si>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</si>
  <si>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</si>
  <si>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</si>
  <si>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</si>
  <si>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</si>
  <si>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</si>
  <si>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</si>
  <si>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</si>
  <si>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</si>
  <si>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</si>
  <si>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</si>
  <si>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</si>
  <si>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</si>
  <si>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</si>
  <si>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</si>
  <si>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</si>
  <si>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</si>
  <si>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</si>
  <si>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</si>
  <si>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</si>
  <si>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</si>
  <si>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</si>
  <si>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</si>
  <si>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</si>
  <si>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</si>
  <si>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</si>
  <si>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</si>
  <si>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</si>
  <si>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</si>
  <si>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</si>
  <si>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</si>
  <si>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</si>
  <si>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</si>
  <si>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</si>
  <si>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</si>
  <si>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</si>
  <si>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</si>
  <si>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</si>
  <si>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</si>
  <si>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</si>
  <si>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</si>
  <si>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</si>
  <si>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</si>
  <si>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</si>
  <si>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</si>
  <si>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</si>
  <si>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</si>
  <si>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</si>
  <si>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</si>
  <si>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</si>
  <si>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</si>
  <si>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</si>
  <si>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</si>
  <si>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</si>
  <si>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</si>
  <si>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</si>
  <si>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</si>
  <si>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</si>
  <si>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</si>
  <si>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</si>
  <si>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</si>
  <si>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</si>
  <si>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</si>
  <si>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</si>
  <si>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</si>
  <si>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</si>
  <si>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</si>
  <si>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</si>
  <si>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</si>
  <si>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</si>
  <si>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</si>
  <si>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</si>
  <si>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</si>
  <si>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</si>
  <si>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</si>
  <si>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</si>
  <si>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</si>
  <si>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</si>
  <si>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</si>
  <si>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</si>
  <si>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</si>
  <si>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</si>
  <si>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</si>
  <si>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</si>
  <si>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</si>
  <si>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</si>
  <si>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</si>
  <si>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</si>
  <si>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</si>
  <si>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</si>
  <si>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</si>
  <si>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</si>
  <si>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</si>
  <si>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</si>
  <si>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</si>
  <si>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</si>
  <si>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</si>
  <si>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</si>
  <si>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</si>
  <si>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</si>
  <si>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</si>
  <si>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</si>
  <si>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</si>
  <si>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</si>
  <si>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</si>
  <si>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</si>
  <si>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</si>
  <si>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</si>
  <si>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</si>
  <si>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</si>
  <si>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</si>
  <si>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</si>
  <si>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</si>
  <si>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</si>
  <si>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</si>
  <si>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</si>
  <si>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</si>
  <si>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</si>
  <si>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</si>
  <si>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</si>
  <si>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</si>
  <si>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</si>
  <si>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</si>
  <si>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</si>
  <si>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</si>
  <si>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</si>
  <si>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</si>
  <si>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</si>
  <si>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</si>
  <si>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</si>
  <si>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</si>
  <si>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</si>
  <si>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</si>
  <si>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</si>
  <si>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</si>
  <si>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</si>
  <si>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</si>
  <si>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</si>
  <si>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</si>
  <si>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</si>
  <si>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</si>
  <si>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</si>
  <si>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</si>
  <si>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</si>
  <si>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</si>
  <si>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</si>
  <si>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</si>
  <si>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</si>
  <si>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</si>
  <si>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</si>
  <si>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</si>
  <si>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</si>
  <si>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</si>
  <si>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</si>
  <si>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</si>
  <si>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</si>
  <si>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</si>
  <si>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</si>
  <si>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</si>
  <si>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</si>
  <si>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</si>
  <si>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</si>
  <si>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</si>
  <si>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</si>
  <si>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</si>
  <si>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</si>
  <si>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</si>
  <si>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</si>
  <si>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</si>
  <si>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</si>
  <si>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</si>
  <si>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</si>
  <si>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</si>
  <si>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</si>
  <si>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</si>
  <si>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</si>
  <si>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</si>
  <si>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</si>
  <si>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</si>
  <si>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</si>
  <si>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</si>
  <si>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</si>
  <si>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</si>
  <si>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</si>
  <si>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</si>
  <si>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</si>
  <si>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</si>
  <si>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</si>
  <si>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</si>
  <si>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</si>
  <si>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</si>
  <si>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</si>
  <si>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</si>
  <si>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</si>
  <si>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</si>
  <si>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</si>
  <si>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</si>
  <si>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</si>
  <si>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</si>
  <si>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</si>
  <si>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</si>
  <si>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</si>
  <si>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</si>
  <si>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</si>
  <si>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</si>
  <si>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</si>
  <si>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</si>
  <si>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</si>
  <si>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</si>
  <si>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</si>
  <si>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</si>
  <si>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</si>
  <si>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</si>
  <si>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</si>
  <si>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</si>
  <si>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</si>
  <si>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</si>
  <si>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</si>
  <si>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</si>
  <si>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</si>
  <si>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</si>
  <si>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</si>
  <si>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</si>
  <si>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</si>
  <si>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</si>
  <si>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</si>
  <si>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</si>
  <si>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</si>
  <si>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</si>
  <si>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</si>
  <si>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</si>
  <si>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</si>
  <si>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</si>
  <si>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</si>
  <si>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</si>
  <si>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</si>
  <si>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</si>
  <si>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</si>
  <si>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</si>
  <si>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</si>
  <si>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</si>
  <si>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</si>
  <si>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</si>
  <si>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</si>
  <si>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</si>
  <si>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</si>
  <si>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</si>
  <si>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</si>
  <si>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</si>
  <si>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</si>
  <si>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</si>
  <si>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</si>
  <si>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</si>
  <si>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</si>
  <si>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</si>
  <si>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</si>
  <si>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</si>
  <si>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</si>
  <si>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</si>
  <si>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</si>
  <si>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</si>
  <si>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</si>
  <si>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</si>
  <si>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</si>
  <si>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</si>
  <si>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</si>
  <si>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</si>
  <si>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</si>
  <si>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</si>
  <si>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</si>
  <si>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</si>
  <si>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</si>
  <si>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</si>
  <si>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</si>
  <si>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</si>
  <si>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</si>
  <si>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</si>
  <si>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</si>
  <si>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</si>
  <si>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</si>
  <si>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</si>
  <si>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</si>
  <si>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</si>
  <si>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</si>
  <si>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</si>
  <si>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</si>
  <si>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</si>
  <si>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</si>
  <si>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</si>
  <si>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</si>
  <si>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</si>
  <si>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</si>
  <si>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</si>
  <si>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</si>
  <si>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</si>
  <si>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</si>
  <si>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</si>
  <si>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</si>
  <si>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</si>
  <si>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</si>
  <si>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</si>
  <si>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</si>
  <si>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</si>
  <si>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</si>
  <si>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</si>
  <si>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</si>
  <si>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</si>
  <si>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</si>
  <si>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</si>
  <si>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</si>
  <si>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</si>
  <si>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</si>
  <si>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</si>
  <si>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</si>
  <si>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</si>
  <si>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</si>
  <si>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</si>
  <si>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</si>
  <si>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</si>
  <si>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</si>
  <si>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</si>
  <si>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</si>
  <si>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</si>
  <si>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</si>
  <si>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</si>
  <si>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</si>
  <si>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</si>
  <si>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</si>
  <si>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</si>
  <si>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</si>
  <si>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</si>
  <si>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</si>
  <si>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</si>
  <si>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</si>
  <si>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</si>
  <si>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</si>
  <si>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</si>
  <si>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</si>
  <si>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</si>
  <si>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</si>
  <si>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</si>
  <si>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</si>
  <si>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</si>
  <si>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</si>
  <si>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</si>
  <si>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</si>
  <si>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</si>
  <si>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</si>
  <si>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</si>
  <si>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</si>
  <si>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</si>
  <si>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DrOng50%reimb</t>
  </si>
  <si>
    <t>Scoot #HSBC</t>
  </si>
  <si>
    <t>Laz mat #104</t>
  </si>
  <si>
    <t>GV #hsbcCcard</t>
  </si>
  <si>
    <t>replenish with OvD</t>
  </si>
  <si>
    <t>wife took</t>
  </si>
  <si>
    <t>115 not reflected in balance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</si>
  <si>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</si>
  <si>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</si>
  <si>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</si>
  <si>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</si>
  <si>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</si>
  <si>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</si>
  <si>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</si>
  <si>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incr2slow down #OvD</t>
  </si>
  <si>
    <t>foods4kids</t>
  </si>
  <si>
    <t>..ikea foods</t>
  </si>
  <si>
    <t>taobao4inlaws</t>
  </si>
  <si>
    <t>vivo4kids 8Jul</t>
  </si>
  <si>
    <t>MB mrt 4Jul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</si>
</sst>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4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0" fontId="0" fillId="0" borderId="0" xfId="0" applyFill="1" applyBorder="1" applyAlignmen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0" fontId="0" fillId="24" borderId="0" xfId="0" applyFill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19" t="s">
        <v>1875</v>
      </c>
      <c r="C2" s="919"/>
      <c r="D2" s="919"/>
      <c r="E2" s="921" t="s">
        <v>2500</v>
      </c>
      <c r="F2" s="921" t="s">
        <v>2522</v>
      </c>
      <c r="G2" s="689"/>
      <c r="H2" s="907"/>
      <c r="I2" s="920" t="s">
        <v>2629</v>
      </c>
      <c r="J2" s="920"/>
      <c r="K2" s="909" t="s">
        <v>2626</v>
      </c>
      <c r="L2" s="909" t="s">
        <v>2546</v>
      </c>
      <c r="M2" s="921" t="s">
        <v>2505</v>
      </c>
      <c r="N2" s="901" t="s">
        <v>2512</v>
      </c>
    </row>
    <row r="3" spans="2:16" s="696" customFormat="1">
      <c r="B3" s="690" t="s">
        <v>1874</v>
      </c>
      <c r="C3" s="691" t="s">
        <v>1873</v>
      </c>
      <c r="D3" s="692" t="s">
        <v>2415</v>
      </c>
      <c r="E3" s="922"/>
      <c r="F3" s="922"/>
      <c r="G3" s="693"/>
      <c r="H3" s="908"/>
      <c r="I3" s="694" t="s">
        <v>2589</v>
      </c>
      <c r="J3" s="695" t="s">
        <v>2212</v>
      </c>
      <c r="K3" s="910"/>
      <c r="L3" s="910"/>
      <c r="M3" s="922"/>
      <c r="N3" s="90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2515</v>
      </c>
      <c r="O4" s="622" t="s">
        <v>2552</v>
      </c>
    </row>
    <row r="5" spans="2:16" s="622" customFormat="1">
      <c r="B5" s="622" t="s">
        <v>2501</v>
      </c>
      <c r="C5" s="622">
        <v>8</v>
      </c>
      <c r="D5" s="622">
        <f>D4</f>
        <v>130</v>
      </c>
      <c r="E5" s="622" t="s">
        <v>2524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2515</v>
      </c>
    </row>
    <row r="6" spans="2:16" s="622" customFormat="1">
      <c r="B6" s="682"/>
      <c r="E6" s="683">
        <v>155</v>
      </c>
      <c r="G6" s="684">
        <v>44985</v>
      </c>
      <c r="H6" s="651" t="s">
        <v>2554</v>
      </c>
      <c r="P6" s="651"/>
    </row>
    <row r="7" spans="2:16" s="622" customFormat="1">
      <c r="B7" s="682"/>
      <c r="G7" s="684">
        <v>44987</v>
      </c>
      <c r="H7" s="685" t="s">
        <v>2699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2732</v>
      </c>
      <c r="P8" s="731"/>
    </row>
    <row r="9" spans="2:16" s="622" customFormat="1">
      <c r="B9" s="686"/>
      <c r="E9" s="622" t="s">
        <v>2521</v>
      </c>
      <c r="F9" s="622" t="s">
        <v>2592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2686</v>
      </c>
    </row>
    <row r="10" spans="2:16">
      <c r="B10" s="565"/>
      <c r="C10" s="914" t="s">
        <v>2503</v>
      </c>
      <c r="D10" s="914"/>
      <c r="E10" s="914"/>
      <c r="F10" s="914"/>
      <c r="G10" s="914"/>
      <c r="H10" s="914"/>
      <c r="I10" s="914"/>
      <c r="J10" s="914"/>
      <c r="K10" s="914"/>
      <c r="L10" s="914"/>
      <c r="M10" s="914"/>
      <c r="N10" s="914"/>
      <c r="O10" s="914"/>
      <c r="P10" s="914"/>
    </row>
    <row r="11" spans="2:16" ht="12.75" customHeight="1">
      <c r="B11" s="564"/>
      <c r="C11" s="556" t="s">
        <v>2518</v>
      </c>
      <c r="D11" s="554"/>
      <c r="E11" s="902" t="s">
        <v>2500</v>
      </c>
      <c r="F11" s="902" t="s">
        <v>2522</v>
      </c>
      <c r="G11" s="558"/>
      <c r="H11" s="905" t="s">
        <v>2511</v>
      </c>
      <c r="I11" s="911" t="s">
        <v>2749</v>
      </c>
      <c r="J11" s="915" t="s">
        <v>2627</v>
      </c>
      <c r="K11" s="915"/>
      <c r="L11" s="916"/>
      <c r="M11" s="902" t="s">
        <v>2750</v>
      </c>
      <c r="N11" s="904" t="s">
        <v>2512</v>
      </c>
    </row>
    <row r="12" spans="2:16">
      <c r="B12" s="564"/>
      <c r="C12" s="550" t="s">
        <v>1873</v>
      </c>
      <c r="D12" s="551" t="s">
        <v>2415</v>
      </c>
      <c r="E12" s="903"/>
      <c r="F12" s="903"/>
      <c r="G12" s="560"/>
      <c r="H12" s="906"/>
      <c r="I12" s="912"/>
      <c r="J12" s="697" t="s">
        <v>2520</v>
      </c>
      <c r="K12" s="561" t="s">
        <v>1874</v>
      </c>
      <c r="L12" s="917"/>
      <c r="M12" s="903"/>
      <c r="N12" s="904"/>
    </row>
    <row r="13" spans="2:16" s="622" customFormat="1">
      <c r="B13" s="918">
        <v>8</v>
      </c>
      <c r="C13" s="918"/>
      <c r="G13" s="688">
        <v>45017</v>
      </c>
      <c r="H13" s="651">
        <v>0</v>
      </c>
      <c r="J13" s="698"/>
      <c r="O13" s="622" t="s">
        <v>2519</v>
      </c>
    </row>
    <row r="14" spans="2:16" s="622" customFormat="1">
      <c r="B14" s="686"/>
      <c r="C14" s="622" t="s">
        <v>2501</v>
      </c>
      <c r="E14" s="685" t="s">
        <v>2630</v>
      </c>
      <c r="F14" s="685" t="s">
        <v>2618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2686</v>
      </c>
    </row>
    <row r="15" spans="2:16" s="622" customFormat="1">
      <c r="B15" s="686"/>
      <c r="E15" s="685"/>
      <c r="F15" s="685"/>
      <c r="G15" s="650">
        <v>45034</v>
      </c>
      <c r="H15" s="651" t="s">
        <v>2760</v>
      </c>
      <c r="N15" s="651"/>
    </row>
    <row r="16" spans="2:16" s="729" customFormat="1">
      <c r="B16" s="741"/>
      <c r="C16" s="729">
        <v>3</v>
      </c>
      <c r="E16" s="731" t="s">
        <v>2675</v>
      </c>
      <c r="F16" s="731" t="s">
        <v>2592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2513</v>
      </c>
      <c r="O16" s="729" t="s">
        <v>2779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2731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30" t="s">
        <v>2918</v>
      </c>
    </row>
    <row r="19" spans="2:18" s="729" customFormat="1">
      <c r="B19" s="831"/>
      <c r="C19" s="913" t="s">
        <v>2504</v>
      </c>
      <c r="D19" s="913"/>
      <c r="E19" s="913"/>
      <c r="F19" s="913"/>
      <c r="G19" s="913"/>
      <c r="H19" s="913"/>
      <c r="I19" s="913"/>
      <c r="J19" s="913"/>
      <c r="K19" s="913"/>
      <c r="L19" s="913"/>
      <c r="M19" s="913"/>
      <c r="N19" s="913"/>
      <c r="O19" s="913"/>
      <c r="P19" s="913"/>
    </row>
    <row r="20" spans="2:18" s="729" customFormat="1">
      <c r="B20" s="741"/>
      <c r="G20" s="900">
        <v>45076</v>
      </c>
      <c r="H20" s="731"/>
      <c r="K20" s="731"/>
      <c r="L20" s="731"/>
      <c r="O20" s="830"/>
    </row>
    <row r="21" spans="2:18" s="729" customFormat="1" ht="12.75" customHeight="1">
      <c r="B21" s="741"/>
      <c r="C21" s="729">
        <f>C16+1+20</f>
        <v>24</v>
      </c>
      <c r="D21" s="729" t="s">
        <v>2502</v>
      </c>
      <c r="G21" s="900"/>
      <c r="K21" s="731"/>
      <c r="L21" s="731"/>
      <c r="O21" s="729" t="s">
        <v>2539</v>
      </c>
      <c r="R21" s="830"/>
    </row>
    <row r="22" spans="2:18" s="729" customFormat="1" ht="12.75" customHeight="1">
      <c r="B22" s="741"/>
      <c r="G22" s="900"/>
      <c r="H22" s="731"/>
      <c r="K22" s="731"/>
      <c r="L22" s="731"/>
      <c r="O22" s="729" t="s">
        <v>2751</v>
      </c>
      <c r="R22" s="830"/>
    </row>
    <row r="23" spans="2:18" s="729" customFormat="1">
      <c r="B23" s="741"/>
      <c r="C23" s="729">
        <v>0</v>
      </c>
      <c r="E23" s="729" t="s">
        <v>2523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2514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2719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2510</v>
      </c>
    </row>
    <row r="27" spans="2:18">
      <c r="B27" s="564"/>
      <c r="H27" s="553"/>
      <c r="K27" s="553"/>
      <c r="L27" s="553"/>
    </row>
    <row r="28" spans="2:18">
      <c r="B28" s="564"/>
      <c r="E28" s="586" t="s">
        <v>2835</v>
      </c>
      <c r="F28" s="586" t="s">
        <v>2508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2509</v>
      </c>
    </row>
    <row r="31" spans="2:18">
      <c r="N31" s="568">
        <f>3.78%-2.5%</f>
        <v>1.2799999999999999E-2</v>
      </c>
      <c r="O31" s="566" t="s">
        <v>2507</v>
      </c>
    </row>
    <row r="32" spans="2:18">
      <c r="N32" s="569">
        <f>N30*N31/12</f>
        <v>10.666666666666666</v>
      </c>
      <c r="O32" s="566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2795</v>
      </c>
      <c r="C2" s="772"/>
      <c r="D2" s="773" t="s">
        <v>2804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2691</v>
      </c>
      <c r="I28" s="580" t="s">
        <v>2692</v>
      </c>
      <c r="J28" s="580" t="s">
        <v>2796</v>
      </c>
      <c r="K28" s="580" t="s">
        <v>2693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2756</v>
      </c>
      <c r="I31" s="580" t="s">
        <v>2756</v>
      </c>
      <c r="J31" s="580" t="s">
        <v>2756</v>
      </c>
      <c r="K31" s="580" t="s">
        <v>2756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2813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3">
        <f>SUMPRODUCT(D4:D33,E4:E33)/365</f>
        <v>25.715295438356168</v>
      </c>
      <c r="E34" s="923"/>
      <c r="F34" s="773"/>
    </row>
    <row r="35" spans="2:11">
      <c r="B35" s="772" t="s">
        <v>2818</v>
      </c>
      <c r="D35" s="923" t="s">
        <v>2805</v>
      </c>
      <c r="E35" s="92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62" sqref="D62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8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2795</v>
      </c>
      <c r="C2" s="734"/>
      <c r="D2" s="828" t="s">
        <v>2804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7">
        <v>100216.65</v>
      </c>
      <c r="E4" s="737">
        <f>VLOOKUP(D4,$H$5:$I$8,2)</f>
        <v>4.0000000000000001E-3</v>
      </c>
      <c r="F4" s="737"/>
      <c r="H4" s="219" t="s">
        <v>2914</v>
      </c>
      <c r="I4" s="219" t="s">
        <v>2913</v>
      </c>
      <c r="J4" s="219" t="s">
        <v>2915</v>
      </c>
    </row>
    <row r="5" spans="2:10" ht="14.25">
      <c r="B5" s="242">
        <f t="shared" si="0"/>
        <v>100000</v>
      </c>
      <c r="C5" s="736">
        <v>45106</v>
      </c>
      <c r="D5" s="827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9">
        <v>1.5E-3</v>
      </c>
      <c r="J5" s="219" t="s">
        <v>2917</v>
      </c>
    </row>
    <row r="6" spans="2:10" ht="14.25">
      <c r="B6" s="242">
        <f t="shared" si="0"/>
        <v>100000</v>
      </c>
      <c r="C6" s="736">
        <v>45105</v>
      </c>
      <c r="D6" s="827">
        <v>100283.34</v>
      </c>
      <c r="E6" s="737">
        <f t="shared" si="1"/>
        <v>4.0000000000000001E-3</v>
      </c>
      <c r="F6" s="737"/>
      <c r="H6" s="640">
        <v>5000</v>
      </c>
      <c r="I6" s="829">
        <v>2E-3</v>
      </c>
      <c r="J6" s="219"/>
    </row>
    <row r="7" spans="2:10" ht="14.25">
      <c r="B7" s="242">
        <f t="shared" si="0"/>
        <v>100000</v>
      </c>
      <c r="C7" s="736">
        <v>45104</v>
      </c>
      <c r="D7" s="827">
        <v>100912.23</v>
      </c>
      <c r="E7" s="737">
        <f t="shared" si="1"/>
        <v>4.0000000000000001E-3</v>
      </c>
      <c r="F7" s="737"/>
      <c r="H7" s="640">
        <v>20000</v>
      </c>
      <c r="I7" s="829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7">
        <v>100912.22</v>
      </c>
      <c r="E8" s="737">
        <f t="shared" si="1"/>
        <v>4.0000000000000001E-3</v>
      </c>
      <c r="F8" s="737"/>
      <c r="H8" s="640">
        <v>100000</v>
      </c>
      <c r="I8" s="829">
        <v>4.0000000000000001E-3</v>
      </c>
      <c r="J8" s="219" t="s">
        <v>2916</v>
      </c>
    </row>
    <row r="9" spans="2:10" ht="14.25">
      <c r="B9" s="242">
        <f t="shared" si="0"/>
        <v>100000</v>
      </c>
      <c r="C9" s="736">
        <v>45102</v>
      </c>
      <c r="D9" s="827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7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7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7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7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7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7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7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7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7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7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7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7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7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7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7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7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7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7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7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7">
        <v>1488.29</v>
      </c>
      <c r="E29" s="737">
        <f t="shared" si="1"/>
        <v>1.5E-3</v>
      </c>
      <c r="F29" s="737"/>
      <c r="H29" s="580" t="s">
        <v>2691</v>
      </c>
      <c r="I29" s="580" t="s">
        <v>2692</v>
      </c>
      <c r="J29" s="580" t="s">
        <v>2796</v>
      </c>
      <c r="K29" s="580" t="s">
        <v>2693</v>
      </c>
    </row>
    <row r="30" spans="2:11" ht="14.25">
      <c r="B30" s="242">
        <f t="shared" si="0"/>
        <v>100000</v>
      </c>
      <c r="C30" s="736">
        <v>45081</v>
      </c>
      <c r="D30" s="827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7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7">
        <v>102499.29</v>
      </c>
      <c r="E32" s="737">
        <f t="shared" si="1"/>
        <v>4.0000000000000001E-3</v>
      </c>
      <c r="F32" s="737"/>
      <c r="H32" s="580" t="s">
        <v>2756</v>
      </c>
      <c r="I32" s="580" t="s">
        <v>2756</v>
      </c>
      <c r="J32" s="580" t="s">
        <v>2756</v>
      </c>
      <c r="K32" s="580" t="s">
        <v>2756</v>
      </c>
    </row>
    <row r="33" spans="2:11" ht="14.25">
      <c r="B33" s="242">
        <f t="shared" si="0"/>
        <v>100000</v>
      </c>
      <c r="C33" s="736">
        <v>45078</v>
      </c>
      <c r="D33" s="827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2813</v>
      </c>
      <c r="K34" s="580">
        <v>13.23</v>
      </c>
    </row>
    <row r="35" spans="2:11">
      <c r="B35" s="739">
        <f>AVERAGE(B4:B34)</f>
        <v>41237.874333333319</v>
      </c>
      <c r="D35" s="923">
        <f>SUMPRODUCT(D4:D34,E4:E34)/365</f>
        <v>13.229677205479451</v>
      </c>
      <c r="E35" s="923"/>
      <c r="F35" s="740"/>
    </row>
    <row r="36" spans="2:11">
      <c r="B36" s="734" t="s">
        <v>2818</v>
      </c>
      <c r="D36" s="923" t="s">
        <v>2805</v>
      </c>
      <c r="E36" s="92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2723</v>
      </c>
      <c r="C2" s="674" t="s">
        <v>311</v>
      </c>
      <c r="D2" s="675" t="s">
        <v>2727</v>
      </c>
      <c r="E2" s="676" t="s">
        <v>2724</v>
      </c>
      <c r="F2" s="676" t="s">
        <v>2758</v>
      </c>
      <c r="G2" s="676" t="s">
        <v>2725</v>
      </c>
      <c r="H2" s="674" t="s">
        <v>460</v>
      </c>
      <c r="I2" s="673" t="s">
        <v>2722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2757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2757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2757</v>
      </c>
      <c r="G7" s="227">
        <f>SUM(B7:E7)</f>
        <v>112225.48</v>
      </c>
      <c r="H7" s="81">
        <v>44195</v>
      </c>
      <c r="I7" s="63" t="s">
        <v>2728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2757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2729</v>
      </c>
      <c r="D10" s="227"/>
      <c r="E10" s="227"/>
      <c r="F10" s="705"/>
      <c r="G10" s="227" t="s">
        <v>2730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2757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2757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2757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2757</v>
      </c>
      <c r="G15" s="227">
        <f t="shared" si="1"/>
        <v>108175.48</v>
      </c>
      <c r="H15" s="81">
        <v>44701</v>
      </c>
      <c r="I15" s="63" t="s">
        <v>2733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2757</v>
      </c>
      <c r="G16" s="227">
        <f t="shared" si="1"/>
        <v>109985.48</v>
      </c>
      <c r="H16" s="81">
        <v>44728</v>
      </c>
      <c r="I16" s="63" t="s">
        <v>2734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2757</v>
      </c>
      <c r="G17" s="227">
        <f t="shared" si="1"/>
        <v>105859.48</v>
      </c>
      <c r="H17" s="81">
        <v>44788</v>
      </c>
      <c r="I17" s="63" t="s">
        <v>2726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2757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2757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2757</v>
      </c>
      <c r="G20" s="227">
        <f>SUM(B20:E20)</f>
        <v>98359.48</v>
      </c>
      <c r="H20" s="81">
        <v>44910</v>
      </c>
      <c r="I20" s="63" t="s">
        <v>2726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2757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2757</v>
      </c>
      <c r="G22" s="227">
        <f>SUM(B22:E22)</f>
        <v>100108.48</v>
      </c>
      <c r="H22" s="81">
        <v>45000</v>
      </c>
      <c r="I22" s="63" t="s">
        <v>2848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2909</v>
      </c>
      <c r="C2" s="824" t="s">
        <v>2910</v>
      </c>
      <c r="D2" t="s">
        <v>461</v>
      </c>
    </row>
    <row r="3" spans="1:4">
      <c r="A3" s="825">
        <v>45082</v>
      </c>
      <c r="C3">
        <v>1000</v>
      </c>
      <c r="D3" t="s">
        <v>2908</v>
      </c>
    </row>
    <row r="4" spans="1:4">
      <c r="B4">
        <v>5000</v>
      </c>
      <c r="C4">
        <f>C3+B4</f>
        <v>6000</v>
      </c>
      <c r="D4" t="s">
        <v>2906</v>
      </c>
    </row>
    <row r="5" spans="1:4">
      <c r="B5">
        <v>5000</v>
      </c>
      <c r="C5" s="823">
        <f t="shared" ref="C5:C7" si="0">C4+B5</f>
        <v>11000</v>
      </c>
      <c r="D5" s="823" t="s">
        <v>2906</v>
      </c>
    </row>
    <row r="6" spans="1:4">
      <c r="B6">
        <v>2000</v>
      </c>
      <c r="C6" s="823">
        <f t="shared" si="0"/>
        <v>13000</v>
      </c>
      <c r="D6" t="s">
        <v>2905</v>
      </c>
    </row>
    <row r="7" spans="1:4">
      <c r="B7">
        <v>2000</v>
      </c>
      <c r="C7" s="823">
        <f t="shared" si="0"/>
        <v>15000</v>
      </c>
      <c r="D7" s="823" t="s">
        <v>2905</v>
      </c>
    </row>
    <row r="8" spans="1:4">
      <c r="A8" s="825">
        <v>45098</v>
      </c>
      <c r="B8">
        <v>-12700</v>
      </c>
      <c r="D8" t="s">
        <v>2907</v>
      </c>
    </row>
    <row r="9" spans="1:4">
      <c r="C9" s="823">
        <f>C7+B8</f>
        <v>2300</v>
      </c>
      <c r="D9" t="s">
        <v>2911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24" t="s">
        <v>1897</v>
      </c>
      <c r="D3" s="92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1946</v>
      </c>
      <c r="D10" s="385">
        <f>SUM(D4:D9)</f>
        <v>90064</v>
      </c>
      <c r="E10" s="373" t="s">
        <v>1933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2052</v>
      </c>
      <c r="C19" s="383">
        <f>SUM(C7:C17)</f>
        <v>619064</v>
      </c>
    </row>
    <row r="22" spans="2:3" ht="28.5">
      <c r="B22" s="387" t="s">
        <v>1949</v>
      </c>
    </row>
    <row r="23" spans="2: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25" t="s">
        <v>2080</v>
      </c>
      <c r="C2" s="925"/>
      <c r="D2" s="926" t="s">
        <v>1875</v>
      </c>
      <c r="E2" s="926"/>
      <c r="F2" s="471"/>
      <c r="G2" s="471"/>
      <c r="H2" s="378"/>
      <c r="I2" s="929" t="s">
        <v>2257</v>
      </c>
      <c r="J2" s="930"/>
      <c r="K2" s="930"/>
      <c r="L2" s="930"/>
      <c r="M2" s="930"/>
      <c r="N2" s="930"/>
      <c r="O2" s="931"/>
      <c r="P2" s="438"/>
      <c r="Q2" s="932" t="s">
        <v>2288</v>
      </c>
      <c r="R2" s="434"/>
    </row>
    <row r="3" spans="2:28" s="426" customFormat="1" ht="15.75" customHeight="1">
      <c r="B3" s="429"/>
      <c r="C3" s="435"/>
      <c r="D3" s="427"/>
      <c r="E3" s="427"/>
      <c r="F3" s="937" t="s">
        <v>2283</v>
      </c>
      <c r="G3" s="938"/>
      <c r="H3" s="378"/>
      <c r="I3" s="433"/>
      <c r="J3" s="472"/>
      <c r="K3" s="934" t="s">
        <v>2425</v>
      </c>
      <c r="L3" s="935"/>
      <c r="M3" s="936"/>
      <c r="N3" s="476"/>
      <c r="O3" s="430"/>
      <c r="P3" s="470"/>
      <c r="Q3" s="933"/>
      <c r="R3" s="372"/>
    </row>
    <row r="4" spans="2:28" ht="31.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2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2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8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9" t="s">
        <v>124</v>
      </c>
      <c r="C1" s="849"/>
      <c r="D1" s="853" t="s">
        <v>292</v>
      </c>
      <c r="E1" s="853"/>
      <c r="F1" s="853" t="s">
        <v>341</v>
      </c>
      <c r="G1" s="853"/>
      <c r="H1" s="850" t="s">
        <v>127</v>
      </c>
      <c r="I1" s="850"/>
      <c r="J1" s="851" t="s">
        <v>292</v>
      </c>
      <c r="K1" s="851"/>
      <c r="L1" s="852" t="s">
        <v>520</v>
      </c>
      <c r="M1" s="852"/>
      <c r="N1" s="850" t="s">
        <v>146</v>
      </c>
      <c r="O1" s="850"/>
      <c r="P1" s="851" t="s">
        <v>293</v>
      </c>
      <c r="Q1" s="851"/>
      <c r="R1" s="852" t="s">
        <v>522</v>
      </c>
      <c r="S1" s="852"/>
      <c r="T1" s="838" t="s">
        <v>193</v>
      </c>
      <c r="U1" s="838"/>
      <c r="V1" s="851" t="s">
        <v>292</v>
      </c>
      <c r="W1" s="851"/>
      <c r="X1" s="840" t="s">
        <v>524</v>
      </c>
      <c r="Y1" s="840"/>
      <c r="Z1" s="838" t="s">
        <v>241</v>
      </c>
      <c r="AA1" s="838"/>
      <c r="AB1" s="839" t="s">
        <v>292</v>
      </c>
      <c r="AC1" s="839"/>
      <c r="AD1" s="848" t="s">
        <v>524</v>
      </c>
      <c r="AE1" s="848"/>
      <c r="AF1" s="838" t="s">
        <v>367</v>
      </c>
      <c r="AG1" s="838"/>
      <c r="AH1" s="839" t="s">
        <v>292</v>
      </c>
      <c r="AI1" s="839"/>
      <c r="AJ1" s="840" t="s">
        <v>530</v>
      </c>
      <c r="AK1" s="840"/>
      <c r="AL1" s="838" t="s">
        <v>389</v>
      </c>
      <c r="AM1" s="838"/>
      <c r="AN1" s="846" t="s">
        <v>292</v>
      </c>
      <c r="AO1" s="846"/>
      <c r="AP1" s="844" t="s">
        <v>531</v>
      </c>
      <c r="AQ1" s="844"/>
      <c r="AR1" s="838" t="s">
        <v>416</v>
      </c>
      <c r="AS1" s="838"/>
      <c r="AV1" s="844" t="s">
        <v>285</v>
      </c>
      <c r="AW1" s="844"/>
      <c r="AX1" s="847" t="s">
        <v>998</v>
      </c>
      <c r="AY1" s="847"/>
      <c r="AZ1" s="847"/>
      <c r="BA1" s="208"/>
      <c r="BB1" s="842">
        <v>42942</v>
      </c>
      <c r="BC1" s="843"/>
      <c r="BD1" s="84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1" t="s">
        <v>261</v>
      </c>
      <c r="U4" s="841"/>
      <c r="X4" s="119" t="s">
        <v>233</v>
      </c>
      <c r="Y4" s="123">
        <f>Y3-Y6</f>
        <v>4.9669099999591708</v>
      </c>
      <c r="Z4" s="841" t="s">
        <v>262</v>
      </c>
      <c r="AA4" s="841"/>
      <c r="AD4" s="154" t="s">
        <v>233</v>
      </c>
      <c r="AE4" s="154">
        <f>AE3-AE5</f>
        <v>-52.526899999851594</v>
      </c>
      <c r="AF4" s="841" t="s">
        <v>262</v>
      </c>
      <c r="AG4" s="841"/>
      <c r="AH4" s="143"/>
      <c r="AI4" s="143"/>
      <c r="AJ4" s="154" t="s">
        <v>233</v>
      </c>
      <c r="AK4" s="154">
        <f>AK3-AK5</f>
        <v>94.988909999992757</v>
      </c>
      <c r="AL4" s="841" t="s">
        <v>262</v>
      </c>
      <c r="AM4" s="841"/>
      <c r="AP4" s="170" t="s">
        <v>233</v>
      </c>
      <c r="AQ4" s="174">
        <f>AQ3-AQ5</f>
        <v>33.841989999942598</v>
      </c>
      <c r="AR4" s="841" t="s">
        <v>262</v>
      </c>
      <c r="AS4" s="841"/>
      <c r="AX4" s="841" t="s">
        <v>564</v>
      </c>
      <c r="AY4" s="841"/>
      <c r="BB4" s="841" t="s">
        <v>567</v>
      </c>
      <c r="BC4" s="84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1"/>
      <c r="U5" s="841"/>
      <c r="V5" s="3" t="s">
        <v>258</v>
      </c>
      <c r="W5">
        <v>2050</v>
      </c>
      <c r="X5" s="82"/>
      <c r="Z5" s="841"/>
      <c r="AA5" s="84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1"/>
      <c r="AG5" s="841"/>
      <c r="AH5" s="143"/>
      <c r="AI5" s="143"/>
      <c r="AJ5" s="154" t="s">
        <v>352</v>
      </c>
      <c r="AK5" s="162">
        <f>SUM(AK11:AK59)</f>
        <v>30858.011000000002</v>
      </c>
      <c r="AL5" s="841"/>
      <c r="AM5" s="84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1"/>
      <c r="AS5" s="841"/>
      <c r="AX5" s="841"/>
      <c r="AY5" s="841"/>
      <c r="BB5" s="841"/>
      <c r="BC5" s="841"/>
      <c r="BD5" s="845" t="s">
        <v>999</v>
      </c>
      <c r="BE5" s="845"/>
      <c r="BF5" s="845"/>
      <c r="BG5" s="845"/>
      <c r="BH5" s="845"/>
      <c r="BI5" s="845"/>
      <c r="BJ5" s="845"/>
      <c r="BK5" s="84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4" t="s">
        <v>264</v>
      </c>
      <c r="W23" s="85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6"/>
      <c r="W24" s="85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2574</v>
      </c>
      <c r="E3" s="256"/>
      <c r="F3" s="256"/>
      <c r="G3" s="858" t="s">
        <v>2670</v>
      </c>
      <c r="H3" s="859"/>
      <c r="I3" s="590"/>
      <c r="J3" s="858" t="s">
        <v>2671</v>
      </c>
      <c r="K3" s="859"/>
      <c r="L3" s="299"/>
      <c r="M3" s="858">
        <v>43739</v>
      </c>
      <c r="N3" s="859"/>
      <c r="O3" s="858">
        <v>42401</v>
      </c>
      <c r="P3" s="859"/>
    </row>
    <row r="4" spans="2:16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4" t="s">
        <v>2702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4"/>
      <c r="H7" s="227" t="s">
        <v>2701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4"/>
      <c r="H11" s="227" t="s">
        <v>2672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64" t="s">
        <v>2590</v>
      </c>
      <c r="D18" s="71" t="s">
        <v>2669</v>
      </c>
      <c r="E18" s="63" t="s">
        <v>2576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5"/>
      <c r="D19" s="71" t="s">
        <v>2669</v>
      </c>
      <c r="E19" s="63" t="s">
        <v>2578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5"/>
      <c r="D20" s="71" t="s">
        <v>2669</v>
      </c>
      <c r="E20" s="63" t="s">
        <v>2577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5"/>
      <c r="D21" s="71" t="s">
        <v>2669</v>
      </c>
      <c r="E21" s="63" t="s">
        <v>2575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5"/>
      <c r="D24" s="71" t="s">
        <v>1044</v>
      </c>
      <c r="E24" s="63" t="s">
        <v>2558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2556</v>
      </c>
      <c r="C26" s="866"/>
      <c r="D26" s="71" t="s">
        <v>2669</v>
      </c>
      <c r="E26" s="63" t="s">
        <v>2588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5" t="s">
        <v>2557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5">
        <v>1000</v>
      </c>
      <c r="H28" s="227" t="s">
        <v>2560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7" t="s">
        <v>1182</v>
      </c>
      <c r="E33" s="613" t="s">
        <v>2637</v>
      </c>
      <c r="F33" s="183" t="s">
        <v>2609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8"/>
      <c r="E34" s="613" t="s">
        <v>2638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2565</v>
      </c>
      <c r="F35" s="71" t="s">
        <v>2569</v>
      </c>
      <c r="G35" s="595" t="s">
        <v>2566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2612</v>
      </c>
      <c r="F36" s="183" t="s">
        <v>1183</v>
      </c>
      <c r="G36" s="597" t="s">
        <v>2666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2634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2610</v>
      </c>
      <c r="F38" s="71" t="s">
        <v>2569</v>
      </c>
      <c r="G38" s="595" t="s">
        <v>2611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2587</v>
      </c>
      <c r="F42" s="202">
        <v>1.33</v>
      </c>
      <c r="G42" s="114"/>
      <c r="H42" s="114" t="s">
        <v>2559</v>
      </c>
      <c r="I42" s="2"/>
      <c r="J42" s="114"/>
      <c r="K42" s="591"/>
      <c r="L42" s="2"/>
    </row>
    <row r="43" spans="2:16" s="589" customFormat="1">
      <c r="E43" s="207"/>
      <c r="F43" s="207" t="s">
        <v>2667</v>
      </c>
      <c r="G43" s="863">
        <f>G40/F42+H40</f>
        <v>1932511.2781954887</v>
      </c>
      <c r="H43" s="86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2668</v>
      </c>
      <c r="G44" s="862">
        <f>H40*F42+G40</f>
        <v>2570240</v>
      </c>
      <c r="H44" s="862"/>
      <c r="I44" s="2"/>
      <c r="J44" s="862">
        <f>K40*1.37+J40</f>
        <v>1877697.6600000001</v>
      </c>
      <c r="K44" s="862"/>
      <c r="L44" s="2"/>
      <c r="M44" s="862">
        <f>N40*1.37+M40</f>
        <v>1789659</v>
      </c>
      <c r="N44" s="862"/>
      <c r="O44" s="862">
        <f>P40*1.36+O40</f>
        <v>1320187.2</v>
      </c>
      <c r="P44" s="86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1" t="s">
        <v>1186</v>
      </c>
      <c r="C47" s="861"/>
      <c r="D47" s="861"/>
      <c r="E47" s="861"/>
      <c r="F47" s="861"/>
      <c r="G47" s="861"/>
      <c r="H47" s="861"/>
      <c r="I47" s="861"/>
      <c r="J47" s="861"/>
      <c r="K47" s="861"/>
      <c r="L47" s="861"/>
      <c r="M47" s="861"/>
      <c r="N47" s="861"/>
    </row>
    <row r="48" spans="2:16">
      <c r="B48" s="861" t="s">
        <v>2563</v>
      </c>
      <c r="C48" s="861"/>
      <c r="D48" s="861"/>
      <c r="E48" s="861"/>
      <c r="F48" s="861"/>
      <c r="G48" s="861"/>
      <c r="H48" s="861"/>
      <c r="I48" s="861"/>
      <c r="J48" s="861"/>
      <c r="K48" s="861"/>
      <c r="L48" s="861"/>
      <c r="M48" s="861"/>
      <c r="N48" s="861"/>
    </row>
    <row r="49" spans="2:14">
      <c r="B49" s="861" t="s">
        <v>2562</v>
      </c>
      <c r="C49" s="861"/>
      <c r="D49" s="861"/>
      <c r="E49" s="861"/>
      <c r="F49" s="861"/>
      <c r="G49" s="861"/>
      <c r="H49" s="861"/>
      <c r="I49" s="861"/>
      <c r="J49" s="861"/>
      <c r="K49" s="861"/>
      <c r="L49" s="861"/>
      <c r="M49" s="861"/>
      <c r="N49" s="861"/>
    </row>
    <row r="50" spans="2:14">
      <c r="B50" s="860" t="s">
        <v>2561</v>
      </c>
      <c r="C50" s="860"/>
      <c r="D50" s="860"/>
      <c r="E50" s="860"/>
      <c r="F50" s="860"/>
      <c r="G50" s="860"/>
      <c r="H50" s="860"/>
      <c r="I50" s="860"/>
      <c r="J50" s="860"/>
      <c r="K50" s="860"/>
      <c r="L50" s="860"/>
      <c r="M50" s="860"/>
      <c r="N50" s="860"/>
    </row>
    <row r="51" spans="2:14">
      <c r="B51" s="860"/>
      <c r="C51" s="860"/>
      <c r="D51" s="860"/>
      <c r="E51" s="860"/>
      <c r="F51" s="860"/>
      <c r="G51" s="860"/>
      <c r="H51" s="860"/>
      <c r="I51" s="860"/>
      <c r="J51" s="860"/>
      <c r="K51" s="860"/>
      <c r="L51" s="860"/>
      <c r="M51" s="860"/>
      <c r="N51" s="860"/>
    </row>
    <row r="52" spans="2:14">
      <c r="B52" s="860"/>
      <c r="C52" s="860"/>
      <c r="D52" s="860"/>
      <c r="E52" s="860"/>
      <c r="F52" s="860"/>
      <c r="G52" s="860"/>
      <c r="H52" s="860"/>
      <c r="I52" s="860"/>
      <c r="J52" s="860"/>
      <c r="K52" s="860"/>
      <c r="L52" s="860"/>
      <c r="M52" s="860"/>
      <c r="N52" s="86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2640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2649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2647</v>
      </c>
      <c r="C5" s="637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2643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2643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2643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2643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2643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2643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2643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2643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2643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2643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2642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2639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2644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2641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2654</v>
      </c>
      <c r="C24" s="637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>
      <c r="B25" s="63" t="s">
        <v>2652</v>
      </c>
      <c r="C25" s="637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2648</v>
      </c>
      <c r="C26" s="637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2650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2651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0" t="s">
        <v>2658</v>
      </c>
      <c r="F38" s="871"/>
      <c r="G38" s="90"/>
      <c r="H38" s="90"/>
    </row>
    <row r="39" spans="2:8">
      <c r="B39" s="63" t="s">
        <v>2656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2657</v>
      </c>
    </row>
    <row r="41" spans="2:8" ht="18">
      <c r="B41" s="869" t="s">
        <v>989</v>
      </c>
      <c r="C41" s="869"/>
      <c r="D41" s="869"/>
      <c r="E41" s="869"/>
      <c r="F41" s="869"/>
      <c r="G41" s="869"/>
      <c r="H41" s="86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9" t="s">
        <v>909</v>
      </c>
      <c r="C1" s="849"/>
      <c r="D1" s="848" t="s">
        <v>515</v>
      </c>
      <c r="E1" s="848"/>
      <c r="F1" s="849" t="s">
        <v>513</v>
      </c>
      <c r="G1" s="849"/>
      <c r="H1" s="872" t="s">
        <v>549</v>
      </c>
      <c r="I1" s="872"/>
      <c r="J1" s="848" t="s">
        <v>515</v>
      </c>
      <c r="K1" s="848"/>
      <c r="L1" s="849" t="s">
        <v>908</v>
      </c>
      <c r="M1" s="849"/>
      <c r="N1" s="872" t="s">
        <v>549</v>
      </c>
      <c r="O1" s="872"/>
      <c r="P1" s="848" t="s">
        <v>515</v>
      </c>
      <c r="Q1" s="848"/>
      <c r="R1" s="849" t="s">
        <v>552</v>
      </c>
      <c r="S1" s="849"/>
      <c r="T1" s="872" t="s">
        <v>549</v>
      </c>
      <c r="U1" s="872"/>
      <c r="V1" s="848" t="s">
        <v>515</v>
      </c>
      <c r="W1" s="848"/>
      <c r="X1" s="849" t="s">
        <v>907</v>
      </c>
      <c r="Y1" s="849"/>
      <c r="Z1" s="872" t="s">
        <v>549</v>
      </c>
      <c r="AA1" s="872"/>
      <c r="AB1" s="848" t="s">
        <v>515</v>
      </c>
      <c r="AC1" s="848"/>
      <c r="AD1" s="849" t="s">
        <v>591</v>
      </c>
      <c r="AE1" s="849"/>
      <c r="AF1" s="872" t="s">
        <v>549</v>
      </c>
      <c r="AG1" s="872"/>
      <c r="AH1" s="848" t="s">
        <v>515</v>
      </c>
      <c r="AI1" s="848"/>
      <c r="AJ1" s="849" t="s">
        <v>906</v>
      </c>
      <c r="AK1" s="849"/>
      <c r="AL1" s="872" t="s">
        <v>626</v>
      </c>
      <c r="AM1" s="872"/>
      <c r="AN1" s="848" t="s">
        <v>627</v>
      </c>
      <c r="AO1" s="848"/>
      <c r="AP1" s="849" t="s">
        <v>621</v>
      </c>
      <c r="AQ1" s="849"/>
      <c r="AR1" s="872" t="s">
        <v>549</v>
      </c>
      <c r="AS1" s="872"/>
      <c r="AT1" s="848" t="s">
        <v>515</v>
      </c>
      <c r="AU1" s="848"/>
      <c r="AV1" s="849" t="s">
        <v>905</v>
      </c>
      <c r="AW1" s="849"/>
      <c r="AX1" s="872" t="s">
        <v>549</v>
      </c>
      <c r="AY1" s="872"/>
      <c r="AZ1" s="848" t="s">
        <v>515</v>
      </c>
      <c r="BA1" s="848"/>
      <c r="BB1" s="849" t="s">
        <v>653</v>
      </c>
      <c r="BC1" s="849"/>
      <c r="BD1" s="872" t="s">
        <v>549</v>
      </c>
      <c r="BE1" s="872"/>
      <c r="BF1" s="848" t="s">
        <v>515</v>
      </c>
      <c r="BG1" s="848"/>
      <c r="BH1" s="849" t="s">
        <v>904</v>
      </c>
      <c r="BI1" s="849"/>
      <c r="BJ1" s="872" t="s">
        <v>549</v>
      </c>
      <c r="BK1" s="872"/>
      <c r="BL1" s="848" t="s">
        <v>515</v>
      </c>
      <c r="BM1" s="848"/>
      <c r="BN1" s="849" t="s">
        <v>921</v>
      </c>
      <c r="BO1" s="849"/>
      <c r="BP1" s="872" t="s">
        <v>549</v>
      </c>
      <c r="BQ1" s="872"/>
      <c r="BR1" s="848" t="s">
        <v>515</v>
      </c>
      <c r="BS1" s="848"/>
      <c r="BT1" s="849" t="s">
        <v>903</v>
      </c>
      <c r="BU1" s="849"/>
      <c r="BV1" s="872" t="s">
        <v>704</v>
      </c>
      <c r="BW1" s="872"/>
      <c r="BX1" s="848" t="s">
        <v>705</v>
      </c>
      <c r="BY1" s="848"/>
      <c r="BZ1" s="849" t="s">
        <v>703</v>
      </c>
      <c r="CA1" s="849"/>
      <c r="CB1" s="872" t="s">
        <v>730</v>
      </c>
      <c r="CC1" s="872"/>
      <c r="CD1" s="848" t="s">
        <v>731</v>
      </c>
      <c r="CE1" s="848"/>
      <c r="CF1" s="849" t="s">
        <v>902</v>
      </c>
      <c r="CG1" s="849"/>
      <c r="CH1" s="872" t="s">
        <v>730</v>
      </c>
      <c r="CI1" s="872"/>
      <c r="CJ1" s="848" t="s">
        <v>731</v>
      </c>
      <c r="CK1" s="848"/>
      <c r="CL1" s="849" t="s">
        <v>748</v>
      </c>
      <c r="CM1" s="849"/>
      <c r="CN1" s="872" t="s">
        <v>730</v>
      </c>
      <c r="CO1" s="872"/>
      <c r="CP1" s="848" t="s">
        <v>731</v>
      </c>
      <c r="CQ1" s="848"/>
      <c r="CR1" s="849" t="s">
        <v>901</v>
      </c>
      <c r="CS1" s="849"/>
      <c r="CT1" s="872" t="s">
        <v>730</v>
      </c>
      <c r="CU1" s="872"/>
      <c r="CV1" s="876" t="s">
        <v>731</v>
      </c>
      <c r="CW1" s="876"/>
      <c r="CX1" s="849" t="s">
        <v>769</v>
      </c>
      <c r="CY1" s="849"/>
      <c r="CZ1" s="872" t="s">
        <v>730</v>
      </c>
      <c r="DA1" s="872"/>
      <c r="DB1" s="876" t="s">
        <v>731</v>
      </c>
      <c r="DC1" s="876"/>
      <c r="DD1" s="849" t="s">
        <v>900</v>
      </c>
      <c r="DE1" s="849"/>
      <c r="DF1" s="872" t="s">
        <v>816</v>
      </c>
      <c r="DG1" s="872"/>
      <c r="DH1" s="876" t="s">
        <v>817</v>
      </c>
      <c r="DI1" s="876"/>
      <c r="DJ1" s="849" t="s">
        <v>809</v>
      </c>
      <c r="DK1" s="849"/>
      <c r="DL1" s="872" t="s">
        <v>816</v>
      </c>
      <c r="DM1" s="872"/>
      <c r="DN1" s="876" t="s">
        <v>731</v>
      </c>
      <c r="DO1" s="876"/>
      <c r="DP1" s="849" t="s">
        <v>899</v>
      </c>
      <c r="DQ1" s="849"/>
      <c r="DR1" s="872" t="s">
        <v>816</v>
      </c>
      <c r="DS1" s="872"/>
      <c r="DT1" s="876" t="s">
        <v>731</v>
      </c>
      <c r="DU1" s="876"/>
      <c r="DV1" s="849" t="s">
        <v>898</v>
      </c>
      <c r="DW1" s="849"/>
      <c r="DX1" s="872" t="s">
        <v>816</v>
      </c>
      <c r="DY1" s="872"/>
      <c r="DZ1" s="876" t="s">
        <v>731</v>
      </c>
      <c r="EA1" s="876"/>
      <c r="EB1" s="849" t="s">
        <v>897</v>
      </c>
      <c r="EC1" s="849"/>
      <c r="ED1" s="872" t="s">
        <v>816</v>
      </c>
      <c r="EE1" s="872"/>
      <c r="EF1" s="876" t="s">
        <v>731</v>
      </c>
      <c r="EG1" s="876"/>
      <c r="EH1" s="849" t="s">
        <v>883</v>
      </c>
      <c r="EI1" s="849"/>
      <c r="EJ1" s="872" t="s">
        <v>816</v>
      </c>
      <c r="EK1" s="872"/>
      <c r="EL1" s="876" t="s">
        <v>936</v>
      </c>
      <c r="EM1" s="876"/>
      <c r="EN1" s="849" t="s">
        <v>922</v>
      </c>
      <c r="EO1" s="849"/>
      <c r="EP1" s="872" t="s">
        <v>816</v>
      </c>
      <c r="EQ1" s="872"/>
      <c r="ER1" s="876" t="s">
        <v>950</v>
      </c>
      <c r="ES1" s="876"/>
      <c r="ET1" s="849" t="s">
        <v>937</v>
      </c>
      <c r="EU1" s="849"/>
      <c r="EV1" s="872" t="s">
        <v>816</v>
      </c>
      <c r="EW1" s="872"/>
      <c r="EX1" s="876" t="s">
        <v>530</v>
      </c>
      <c r="EY1" s="876"/>
      <c r="EZ1" s="849" t="s">
        <v>952</v>
      </c>
      <c r="FA1" s="84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5" t="s">
        <v>779</v>
      </c>
      <c r="CU7" s="84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5" t="s">
        <v>778</v>
      </c>
      <c r="DA8" s="84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5" t="s">
        <v>778</v>
      </c>
      <c r="DG8" s="84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5" t="s">
        <v>778</v>
      </c>
      <c r="DM8" s="84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5" t="s">
        <v>778</v>
      </c>
      <c r="DS8" s="849"/>
      <c r="DT8" s="142" t="s">
        <v>783</v>
      </c>
      <c r="DU8" s="142">
        <f>SUM(DU13:DU17)</f>
        <v>32</v>
      </c>
      <c r="DV8" s="63"/>
      <c r="DW8" s="63"/>
      <c r="DX8" s="875" t="s">
        <v>778</v>
      </c>
      <c r="DY8" s="84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5" t="s">
        <v>928</v>
      </c>
      <c r="EK8" s="84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5" t="s">
        <v>928</v>
      </c>
      <c r="EQ9" s="84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5" t="s">
        <v>928</v>
      </c>
      <c r="EW9" s="84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5" t="s">
        <v>928</v>
      </c>
      <c r="EE11" s="84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5" t="s">
        <v>778</v>
      </c>
      <c r="CU12" s="84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8" t="s">
        <v>782</v>
      </c>
      <c r="CU19" s="83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1" t="s">
        <v>858</v>
      </c>
      <c r="FA21" s="861"/>
      <c r="FC21" s="238">
        <f>FC20-FC22</f>
        <v>113457.16899999997</v>
      </c>
      <c r="FD21" s="230"/>
      <c r="FE21" s="877" t="s">
        <v>1546</v>
      </c>
      <c r="FF21" s="877"/>
      <c r="FG21" s="87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1" t="s">
        <v>871</v>
      </c>
      <c r="FA22" s="86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1" t="s">
        <v>1000</v>
      </c>
      <c r="FA23" s="86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1" t="s">
        <v>1076</v>
      </c>
      <c r="FA24" s="86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W1" zoomScaleNormal="100" workbookViewId="0">
      <selection activeCell="KD26" sqref="KD2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83" t="s">
        <v>1209</v>
      </c>
      <c r="B1" s="883"/>
      <c r="C1" s="846" t="s">
        <v>292</v>
      </c>
      <c r="D1" s="846"/>
      <c r="E1" s="844" t="s">
        <v>1010</v>
      </c>
      <c r="F1" s="844"/>
      <c r="G1" s="883" t="s">
        <v>1210</v>
      </c>
      <c r="H1" s="883"/>
      <c r="I1" s="846" t="s">
        <v>292</v>
      </c>
      <c r="J1" s="846"/>
      <c r="K1" s="844" t="s">
        <v>1011</v>
      </c>
      <c r="L1" s="844"/>
      <c r="M1" s="883" t="s">
        <v>1211</v>
      </c>
      <c r="N1" s="883"/>
      <c r="O1" s="846" t="s">
        <v>292</v>
      </c>
      <c r="P1" s="846"/>
      <c r="Q1" s="844" t="s">
        <v>1057</v>
      </c>
      <c r="R1" s="844"/>
      <c r="S1" s="883" t="s">
        <v>1212</v>
      </c>
      <c r="T1" s="883"/>
      <c r="U1" s="846" t="s">
        <v>292</v>
      </c>
      <c r="V1" s="846"/>
      <c r="W1" s="844" t="s">
        <v>627</v>
      </c>
      <c r="X1" s="844"/>
      <c r="Y1" s="883" t="s">
        <v>1213</v>
      </c>
      <c r="Z1" s="883"/>
      <c r="AA1" s="846" t="s">
        <v>292</v>
      </c>
      <c r="AB1" s="846"/>
      <c r="AC1" s="844" t="s">
        <v>1084</v>
      </c>
      <c r="AD1" s="844"/>
      <c r="AE1" s="883" t="s">
        <v>1214</v>
      </c>
      <c r="AF1" s="883"/>
      <c r="AG1" s="846" t="s">
        <v>292</v>
      </c>
      <c r="AH1" s="846"/>
      <c r="AI1" s="844" t="s">
        <v>1134</v>
      </c>
      <c r="AJ1" s="844"/>
      <c r="AK1" s="883" t="s">
        <v>1217</v>
      </c>
      <c r="AL1" s="883"/>
      <c r="AM1" s="846" t="s">
        <v>1132</v>
      </c>
      <c r="AN1" s="846"/>
      <c r="AO1" s="844" t="s">
        <v>1133</v>
      </c>
      <c r="AP1" s="844"/>
      <c r="AQ1" s="883" t="s">
        <v>1218</v>
      </c>
      <c r="AR1" s="883"/>
      <c r="AS1" s="846" t="s">
        <v>1132</v>
      </c>
      <c r="AT1" s="846"/>
      <c r="AU1" s="844" t="s">
        <v>1178</v>
      </c>
      <c r="AV1" s="844"/>
      <c r="AW1" s="883" t="s">
        <v>1215</v>
      </c>
      <c r="AX1" s="883"/>
      <c r="AY1" s="844" t="s">
        <v>1241</v>
      </c>
      <c r="AZ1" s="844"/>
      <c r="BA1" s="883" t="s">
        <v>1215</v>
      </c>
      <c r="BB1" s="883"/>
      <c r="BC1" s="846" t="s">
        <v>816</v>
      </c>
      <c r="BD1" s="846"/>
      <c r="BE1" s="844" t="s">
        <v>1208</v>
      </c>
      <c r="BF1" s="844"/>
      <c r="BG1" s="883" t="s">
        <v>1216</v>
      </c>
      <c r="BH1" s="883"/>
      <c r="BI1" s="846" t="s">
        <v>816</v>
      </c>
      <c r="BJ1" s="846"/>
      <c r="BK1" s="844" t="s">
        <v>1208</v>
      </c>
      <c r="BL1" s="844"/>
      <c r="BM1" s="883" t="s">
        <v>1226</v>
      </c>
      <c r="BN1" s="883"/>
      <c r="BO1" s="846" t="s">
        <v>816</v>
      </c>
      <c r="BP1" s="846"/>
      <c r="BQ1" s="844" t="s">
        <v>1244</v>
      </c>
      <c r="BR1" s="844"/>
      <c r="BS1" s="883" t="s">
        <v>1243</v>
      </c>
      <c r="BT1" s="883"/>
      <c r="BU1" s="846" t="s">
        <v>816</v>
      </c>
      <c r="BV1" s="846"/>
      <c r="BW1" s="844" t="s">
        <v>1248</v>
      </c>
      <c r="BX1" s="844"/>
      <c r="BY1" s="883" t="s">
        <v>1270</v>
      </c>
      <c r="BZ1" s="883"/>
      <c r="CA1" s="846" t="s">
        <v>816</v>
      </c>
      <c r="CB1" s="846"/>
      <c r="CC1" s="844" t="s">
        <v>1244</v>
      </c>
      <c r="CD1" s="844"/>
      <c r="CE1" s="883" t="s">
        <v>1291</v>
      </c>
      <c r="CF1" s="883"/>
      <c r="CG1" s="846" t="s">
        <v>816</v>
      </c>
      <c r="CH1" s="846"/>
      <c r="CI1" s="844" t="s">
        <v>1248</v>
      </c>
      <c r="CJ1" s="844"/>
      <c r="CK1" s="883" t="s">
        <v>1307</v>
      </c>
      <c r="CL1" s="883"/>
      <c r="CM1" s="846" t="s">
        <v>816</v>
      </c>
      <c r="CN1" s="846"/>
      <c r="CO1" s="844" t="s">
        <v>1244</v>
      </c>
      <c r="CP1" s="844"/>
      <c r="CQ1" s="883" t="s">
        <v>1335</v>
      </c>
      <c r="CR1" s="883"/>
      <c r="CS1" s="879" t="s">
        <v>816</v>
      </c>
      <c r="CT1" s="879"/>
      <c r="CU1" s="844" t="s">
        <v>1391</v>
      </c>
      <c r="CV1" s="844"/>
      <c r="CW1" s="883" t="s">
        <v>1374</v>
      </c>
      <c r="CX1" s="883"/>
      <c r="CY1" s="879" t="s">
        <v>816</v>
      </c>
      <c r="CZ1" s="879"/>
      <c r="DA1" s="844" t="s">
        <v>1597</v>
      </c>
      <c r="DB1" s="844"/>
      <c r="DC1" s="883" t="s">
        <v>1394</v>
      </c>
      <c r="DD1" s="883"/>
      <c r="DE1" s="879" t="s">
        <v>816</v>
      </c>
      <c r="DF1" s="879"/>
      <c r="DG1" s="844" t="s">
        <v>1491</v>
      </c>
      <c r="DH1" s="844"/>
      <c r="DI1" s="883" t="s">
        <v>1594</v>
      </c>
      <c r="DJ1" s="883"/>
      <c r="DK1" s="879" t="s">
        <v>816</v>
      </c>
      <c r="DL1" s="879"/>
      <c r="DM1" s="844" t="s">
        <v>1391</v>
      </c>
      <c r="DN1" s="844"/>
      <c r="DO1" s="883" t="s">
        <v>1595</v>
      </c>
      <c r="DP1" s="883"/>
      <c r="DQ1" s="879" t="s">
        <v>816</v>
      </c>
      <c r="DR1" s="879"/>
      <c r="DS1" s="844" t="s">
        <v>1590</v>
      </c>
      <c r="DT1" s="844"/>
      <c r="DU1" s="883" t="s">
        <v>1596</v>
      </c>
      <c r="DV1" s="883"/>
      <c r="DW1" s="879" t="s">
        <v>816</v>
      </c>
      <c r="DX1" s="879"/>
      <c r="DY1" s="844" t="s">
        <v>1616</v>
      </c>
      <c r="DZ1" s="844"/>
      <c r="EA1" s="878" t="s">
        <v>1611</v>
      </c>
      <c r="EB1" s="878"/>
      <c r="EC1" s="879" t="s">
        <v>816</v>
      </c>
      <c r="ED1" s="879"/>
      <c r="EE1" s="844" t="s">
        <v>1590</v>
      </c>
      <c r="EF1" s="844"/>
      <c r="EG1" s="361"/>
      <c r="EH1" s="878" t="s">
        <v>1641</v>
      </c>
      <c r="EI1" s="878"/>
      <c r="EJ1" s="879" t="s">
        <v>816</v>
      </c>
      <c r="EK1" s="879"/>
      <c r="EL1" s="844" t="s">
        <v>1675</v>
      </c>
      <c r="EM1" s="844"/>
      <c r="EN1" s="878" t="s">
        <v>1666</v>
      </c>
      <c r="EO1" s="878"/>
      <c r="EP1" s="879" t="s">
        <v>816</v>
      </c>
      <c r="EQ1" s="879"/>
      <c r="ER1" s="844" t="s">
        <v>1715</v>
      </c>
      <c r="ES1" s="844"/>
      <c r="ET1" s="878" t="s">
        <v>1708</v>
      </c>
      <c r="EU1" s="878"/>
      <c r="EV1" s="879" t="s">
        <v>816</v>
      </c>
      <c r="EW1" s="879"/>
      <c r="EX1" s="844" t="s">
        <v>1616</v>
      </c>
      <c r="EY1" s="844"/>
      <c r="EZ1" s="878" t="s">
        <v>1743</v>
      </c>
      <c r="FA1" s="878"/>
      <c r="FB1" s="879" t="s">
        <v>816</v>
      </c>
      <c r="FC1" s="879"/>
      <c r="FD1" s="844" t="s">
        <v>1597</v>
      </c>
      <c r="FE1" s="844"/>
      <c r="FF1" s="878" t="s">
        <v>1782</v>
      </c>
      <c r="FG1" s="878"/>
      <c r="FH1" s="879" t="s">
        <v>816</v>
      </c>
      <c r="FI1" s="879"/>
      <c r="FJ1" s="844" t="s">
        <v>1391</v>
      </c>
      <c r="FK1" s="844"/>
      <c r="FL1" s="878" t="s">
        <v>1817</v>
      </c>
      <c r="FM1" s="878"/>
      <c r="FN1" s="879" t="s">
        <v>816</v>
      </c>
      <c r="FO1" s="879"/>
      <c r="FP1" s="844" t="s">
        <v>1864</v>
      </c>
      <c r="FQ1" s="844"/>
      <c r="FR1" s="878" t="s">
        <v>1853</v>
      </c>
      <c r="FS1" s="878"/>
      <c r="FT1" s="879" t="s">
        <v>816</v>
      </c>
      <c r="FU1" s="879"/>
      <c r="FV1" s="844" t="s">
        <v>1864</v>
      </c>
      <c r="FW1" s="844"/>
      <c r="FX1" s="878" t="s">
        <v>1997</v>
      </c>
      <c r="FY1" s="878"/>
      <c r="FZ1" s="879" t="s">
        <v>816</v>
      </c>
      <c r="GA1" s="879"/>
      <c r="GB1" s="844" t="s">
        <v>1616</v>
      </c>
      <c r="GC1" s="844"/>
      <c r="GD1" s="878" t="s">
        <v>1998</v>
      </c>
      <c r="GE1" s="878"/>
      <c r="GF1" s="879" t="s">
        <v>816</v>
      </c>
      <c r="GG1" s="879"/>
      <c r="GH1" s="844" t="s">
        <v>1590</v>
      </c>
      <c r="GI1" s="844"/>
      <c r="GJ1" s="878" t="s">
        <v>2007</v>
      </c>
      <c r="GK1" s="878"/>
      <c r="GL1" s="879" t="s">
        <v>816</v>
      </c>
      <c r="GM1" s="879"/>
      <c r="GN1" s="844" t="s">
        <v>1590</v>
      </c>
      <c r="GO1" s="844"/>
      <c r="GP1" s="878" t="s">
        <v>2049</v>
      </c>
      <c r="GQ1" s="878"/>
      <c r="GR1" s="879" t="s">
        <v>816</v>
      </c>
      <c r="GS1" s="879"/>
      <c r="GT1" s="844" t="s">
        <v>1675</v>
      </c>
      <c r="GU1" s="844"/>
      <c r="GV1" s="878" t="s">
        <v>2083</v>
      </c>
      <c r="GW1" s="878"/>
      <c r="GX1" s="879" t="s">
        <v>816</v>
      </c>
      <c r="GY1" s="879"/>
      <c r="GZ1" s="844" t="s">
        <v>2122</v>
      </c>
      <c r="HA1" s="844"/>
      <c r="HB1" s="878" t="s">
        <v>2142</v>
      </c>
      <c r="HC1" s="878"/>
      <c r="HD1" s="879" t="s">
        <v>816</v>
      </c>
      <c r="HE1" s="879"/>
      <c r="HF1" s="844" t="s">
        <v>1715</v>
      </c>
      <c r="HG1" s="844"/>
      <c r="HH1" s="878" t="s">
        <v>2155</v>
      </c>
      <c r="HI1" s="878"/>
      <c r="HJ1" s="879" t="s">
        <v>816</v>
      </c>
      <c r="HK1" s="879"/>
      <c r="HL1" s="844" t="s">
        <v>1391</v>
      </c>
      <c r="HM1" s="844"/>
      <c r="HN1" s="878" t="s">
        <v>2201</v>
      </c>
      <c r="HO1" s="878"/>
      <c r="HP1" s="879" t="s">
        <v>816</v>
      </c>
      <c r="HQ1" s="879"/>
      <c r="HR1" s="844" t="s">
        <v>1391</v>
      </c>
      <c r="HS1" s="844"/>
      <c r="HT1" s="878" t="s">
        <v>2243</v>
      </c>
      <c r="HU1" s="878"/>
      <c r="HV1" s="879" t="s">
        <v>816</v>
      </c>
      <c r="HW1" s="879"/>
      <c r="HX1" s="844" t="s">
        <v>1616</v>
      </c>
      <c r="HY1" s="844"/>
      <c r="HZ1" s="878" t="s">
        <v>2300</v>
      </c>
      <c r="IA1" s="878"/>
      <c r="IB1" s="879" t="s">
        <v>816</v>
      </c>
      <c r="IC1" s="879"/>
      <c r="ID1" s="844" t="s">
        <v>1715</v>
      </c>
      <c r="IE1" s="844"/>
      <c r="IF1" s="878" t="s">
        <v>2367</v>
      </c>
      <c r="IG1" s="878"/>
      <c r="IH1" s="879" t="s">
        <v>816</v>
      </c>
      <c r="II1" s="879"/>
      <c r="IJ1" s="844" t="s">
        <v>1590</v>
      </c>
      <c r="IK1" s="844"/>
      <c r="IL1" s="878" t="s">
        <v>2443</v>
      </c>
      <c r="IM1" s="878"/>
      <c r="IN1" s="879" t="s">
        <v>816</v>
      </c>
      <c r="IO1" s="879"/>
      <c r="IP1" s="844" t="s">
        <v>1616</v>
      </c>
      <c r="IQ1" s="844"/>
      <c r="IR1" s="878" t="s">
        <v>2661</v>
      </c>
      <c r="IS1" s="878"/>
      <c r="IT1" s="879" t="s">
        <v>816</v>
      </c>
      <c r="IU1" s="879"/>
      <c r="IV1" s="844" t="s">
        <v>1748</v>
      </c>
      <c r="IW1" s="844"/>
      <c r="IX1" s="878" t="s">
        <v>2660</v>
      </c>
      <c r="IY1" s="878"/>
      <c r="IZ1" s="879" t="s">
        <v>816</v>
      </c>
      <c r="JA1" s="879"/>
      <c r="JB1" s="844" t="s">
        <v>1864</v>
      </c>
      <c r="JC1" s="844"/>
      <c r="JD1" s="878" t="s">
        <v>2707</v>
      </c>
      <c r="JE1" s="878"/>
      <c r="JF1" s="879" t="s">
        <v>816</v>
      </c>
      <c r="JG1" s="879"/>
      <c r="JH1" s="844" t="s">
        <v>1748</v>
      </c>
      <c r="JI1" s="844"/>
      <c r="JJ1" s="878" t="s">
        <v>2771</v>
      </c>
      <c r="JK1" s="878"/>
      <c r="JL1" s="713" t="s">
        <v>816</v>
      </c>
      <c r="JM1" s="713"/>
      <c r="JN1" s="710" t="s">
        <v>1748</v>
      </c>
      <c r="JO1" s="710"/>
      <c r="JP1" s="712" t="s">
        <v>2829</v>
      </c>
      <c r="JQ1" s="712"/>
      <c r="JR1" s="759" t="s">
        <v>816</v>
      </c>
      <c r="JS1" s="759"/>
      <c r="JT1" s="756" t="s">
        <v>1748</v>
      </c>
      <c r="JU1" s="756"/>
      <c r="JV1" s="758" t="s">
        <v>2888</v>
      </c>
      <c r="JW1" s="758"/>
      <c r="JX1" s="798" t="s">
        <v>816</v>
      </c>
      <c r="JY1" s="798"/>
      <c r="JZ1" s="795" t="s">
        <v>1748</v>
      </c>
      <c r="KA1" s="795"/>
      <c r="KB1" s="797" t="s">
        <v>2886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2185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17463.62</v>
      </c>
      <c r="JZ2" s="334" t="s">
        <v>296</v>
      </c>
      <c r="KA2" s="273">
        <f>JY2+JW2-KC2</f>
        <v>8496.2199999999721</v>
      </c>
      <c r="KB2" s="796" t="s">
        <v>1911</v>
      </c>
      <c r="KC2" s="363">
        <f>SUM(KC3:KC27)</f>
        <v>310400</v>
      </c>
      <c r="KD2" s="606" t="s">
        <v>2939</v>
      </c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539306.65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0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0</v>
      </c>
      <c r="IT3" s="570" t="s">
        <v>633</v>
      </c>
      <c r="IU3" s="541">
        <v>43151.3</v>
      </c>
      <c r="IV3" s="570" t="s">
        <v>2397</v>
      </c>
      <c r="IW3" s="273">
        <f>IW2-IU24-IU23</f>
        <v>5412.000333333297</v>
      </c>
      <c r="IX3" s="766"/>
      <c r="IY3" s="363"/>
      <c r="IZ3" s="654"/>
      <c r="JA3" s="492"/>
      <c r="JB3" s="616" t="s">
        <v>2397</v>
      </c>
      <c r="JC3" s="273">
        <f>JC2-JA30-JA29</f>
        <v>5095.8330000000415</v>
      </c>
      <c r="JD3" s="766"/>
      <c r="JE3" s="363"/>
      <c r="JG3" s="492"/>
      <c r="JH3" s="662" t="s">
        <v>2397</v>
      </c>
      <c r="JI3" s="273">
        <f>JI2-JG29-JG28</f>
        <v>5318.7558739726428</v>
      </c>
      <c r="JJ3" s="766"/>
      <c r="JK3" s="363"/>
      <c r="JM3" s="492"/>
      <c r="JN3" s="711" t="s">
        <v>2397</v>
      </c>
      <c r="JO3" s="273">
        <f>JO2-JM28-JM27</f>
        <v>7527.189000000023</v>
      </c>
      <c r="JP3" s="711" t="s">
        <v>2854</v>
      </c>
      <c r="JQ3" s="203">
        <f>$IA$6</f>
        <v>0</v>
      </c>
      <c r="JS3" s="492"/>
      <c r="JT3" s="757" t="s">
        <v>2397</v>
      </c>
      <c r="JU3" s="273">
        <f>JU2-JS26-JS25</f>
        <v>4220.0940000000155</v>
      </c>
      <c r="JV3" s="778" t="s">
        <v>2854</v>
      </c>
      <c r="JW3" s="203">
        <f>$IA$6</f>
        <v>0</v>
      </c>
      <c r="JY3" s="492"/>
      <c r="JZ3" s="796" t="s">
        <v>2397</v>
      </c>
      <c r="KA3" s="273">
        <f>KA2-JY22-JY21</f>
        <v>2517.9999999999723</v>
      </c>
      <c r="KB3" s="796" t="s">
        <v>2797</v>
      </c>
      <c r="KC3" s="268">
        <f>$JQ$4</f>
        <v>-211000</v>
      </c>
      <c r="KD3" s="607"/>
    </row>
    <row r="4" spans="1:291" ht="12.75" customHeight="1" thickBot="1">
      <c r="A4" s="841" t="s">
        <v>991</v>
      </c>
      <c r="B4" s="841"/>
      <c r="E4" s="170" t="s">
        <v>233</v>
      </c>
      <c r="F4" s="174">
        <f>F3-F5</f>
        <v>17</v>
      </c>
      <c r="G4" s="841" t="s">
        <v>991</v>
      </c>
      <c r="H4" s="84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08" t="s">
        <v>2664</v>
      </c>
      <c r="IU4" s="541">
        <v>-1437.02</v>
      </c>
      <c r="IV4" s="669" t="s">
        <v>2449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2449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2797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2797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1.4389999999730207</v>
      </c>
      <c r="KB4" s="801" t="s">
        <v>2678</v>
      </c>
      <c r="KC4" s="442">
        <v>-87000</v>
      </c>
      <c r="KD4" s="607"/>
    </row>
    <row r="5" spans="1:291">
      <c r="A5" s="841"/>
      <c r="B5" s="841"/>
      <c r="E5" s="170" t="s">
        <v>352</v>
      </c>
      <c r="F5" s="174">
        <f>SUM(F15:F58)</f>
        <v>12750</v>
      </c>
      <c r="G5" s="841"/>
      <c r="H5" s="84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4" t="s">
        <v>2604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2345</v>
      </c>
      <c r="IY5" s="268">
        <f>$IA$6</f>
        <v>0</v>
      </c>
      <c r="IZ5" s="616" t="s">
        <v>2664</v>
      </c>
      <c r="JA5" s="541">
        <v>-71</v>
      </c>
      <c r="JB5" s="616" t="s">
        <v>1203</v>
      </c>
      <c r="JC5" s="286">
        <f>JC2-JC6</f>
        <v>-3.9079999999557913</v>
      </c>
      <c r="JD5" s="616" t="s">
        <v>2345</v>
      </c>
      <c r="JE5" s="268">
        <f>$IA$6</f>
        <v>0</v>
      </c>
      <c r="JF5" s="662" t="s">
        <v>2664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2345</v>
      </c>
      <c r="JK5" s="203">
        <f>$IA$6</f>
        <v>0</v>
      </c>
      <c r="JL5" s="711" t="s">
        <v>2604</v>
      </c>
      <c r="JM5" s="492">
        <v>-1400</v>
      </c>
      <c r="JN5" s="711" t="s">
        <v>352</v>
      </c>
      <c r="JO5" s="273">
        <f>SUM(JO6:JO51)</f>
        <v>126905.181</v>
      </c>
      <c r="JP5" s="717" t="s">
        <v>2678</v>
      </c>
      <c r="JQ5" s="442">
        <v>-80000</v>
      </c>
      <c r="JR5" s="779" t="s">
        <v>2856</v>
      </c>
      <c r="JS5" s="541">
        <v>-30</v>
      </c>
      <c r="JT5" s="757" t="s">
        <v>352</v>
      </c>
      <c r="JU5" s="273">
        <f>SUM(JU6:JU50)</f>
        <v>13510.48</v>
      </c>
      <c r="JV5" s="762" t="s">
        <v>2678</v>
      </c>
      <c r="JW5" s="442">
        <v>-77000</v>
      </c>
      <c r="JX5" s="796" t="s">
        <v>2856</v>
      </c>
      <c r="JY5" s="541">
        <v>-30</v>
      </c>
      <c r="JZ5" s="796" t="s">
        <v>352</v>
      </c>
      <c r="KA5" s="273">
        <f>SUM(KA6:KA51)</f>
        <v>8494.780999999999</v>
      </c>
      <c r="KB5" s="800" t="s">
        <v>2677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03">
        <v>0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0" t="s">
        <v>2679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2608</v>
      </c>
      <c r="IY6" s="611">
        <v>0.13300000000000001</v>
      </c>
      <c r="IZ6" s="616" t="s">
        <v>2604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2797</v>
      </c>
      <c r="JE6" s="268">
        <f>-140000-71000</f>
        <v>-211000</v>
      </c>
      <c r="JF6" s="662" t="s">
        <v>2604</v>
      </c>
      <c r="JG6" s="492">
        <v>-1401</v>
      </c>
      <c r="JH6" s="192" t="s">
        <v>2735</v>
      </c>
      <c r="JI6" s="580">
        <v>2000.06</v>
      </c>
      <c r="JJ6" s="733" t="s">
        <v>2797</v>
      </c>
      <c r="JK6" s="268">
        <v>-71000</v>
      </c>
      <c r="JM6" s="492"/>
      <c r="JN6" s="192" t="s">
        <v>2788</v>
      </c>
      <c r="JO6" s="580">
        <v>1000.07</v>
      </c>
      <c r="JP6" s="718" t="s">
        <v>2677</v>
      </c>
      <c r="JQ6" s="268">
        <v>-4000</v>
      </c>
      <c r="JR6" s="757" t="s">
        <v>2664</v>
      </c>
      <c r="JS6" s="541" t="s">
        <v>2844</v>
      </c>
      <c r="JT6" s="821" t="s">
        <v>2849</v>
      </c>
      <c r="JU6" s="61">
        <v>2000</v>
      </c>
      <c r="JV6" s="763" t="s">
        <v>2677</v>
      </c>
      <c r="JW6" s="268">
        <v>-4000</v>
      </c>
      <c r="JX6" s="796" t="s">
        <v>2664</v>
      </c>
      <c r="JY6" s="541"/>
      <c r="JZ6" s="821" t="s">
        <v>2788</v>
      </c>
      <c r="KA6" s="61">
        <v>1000.08</v>
      </c>
      <c r="KB6" s="796" t="s">
        <v>2814</v>
      </c>
      <c r="KC6" s="268">
        <v>610005</v>
      </c>
      <c r="KD6" s="606">
        <v>45114</v>
      </c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1">
        <v>0</v>
      </c>
      <c r="IT7" s="570" t="s">
        <v>2597</v>
      </c>
      <c r="IU7" s="492">
        <v>100</v>
      </c>
      <c r="IV7" s="351" t="s">
        <v>2459</v>
      </c>
      <c r="IW7" s="61">
        <v>11</v>
      </c>
      <c r="IX7" s="658" t="s">
        <v>2678</v>
      </c>
      <c r="IY7" s="272">
        <v>-75000</v>
      </c>
      <c r="IZ7" s="654" t="s">
        <v>2679</v>
      </c>
      <c r="JA7" s="492">
        <v>-30</v>
      </c>
      <c r="JB7" s="192" t="s">
        <v>1002</v>
      </c>
      <c r="JC7" s="61">
        <v>1900.03</v>
      </c>
      <c r="JD7" s="619" t="s">
        <v>2678</v>
      </c>
      <c r="JE7" s="272">
        <v>-75000</v>
      </c>
      <c r="JG7" s="492"/>
      <c r="JH7" s="192" t="s">
        <v>1002</v>
      </c>
      <c r="JI7" s="61">
        <v>1900.04</v>
      </c>
      <c r="JJ7" s="665" t="s">
        <v>2678</v>
      </c>
      <c r="JK7" s="272">
        <v>-75000</v>
      </c>
      <c r="JL7" s="711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79" t="s">
        <v>2879</v>
      </c>
      <c r="JS7" s="541">
        <v>236.43</v>
      </c>
      <c r="JT7" s="821" t="s">
        <v>1002</v>
      </c>
      <c r="JU7" s="580">
        <v>1900.06</v>
      </c>
      <c r="JV7" s="757" t="s">
        <v>2814</v>
      </c>
      <c r="JW7" s="268">
        <v>585077</v>
      </c>
      <c r="JX7" s="796" t="s">
        <v>2899</v>
      </c>
      <c r="JY7" s="541">
        <v>60</v>
      </c>
      <c r="JZ7" s="821" t="s">
        <v>1002</v>
      </c>
      <c r="KA7" s="580">
        <v>1900.07</v>
      </c>
      <c r="KB7" s="320" t="s">
        <v>2467</v>
      </c>
      <c r="KC7" s="359">
        <v>115</v>
      </c>
      <c r="KD7" s="606">
        <v>45114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2677</v>
      </c>
      <c r="IY8" s="268">
        <v>-4000</v>
      </c>
      <c r="IZ8" s="668"/>
      <c r="JA8" s="492"/>
      <c r="JB8" s="389" t="s">
        <v>2687</v>
      </c>
      <c r="JC8" s="61">
        <v>300.27999999999997</v>
      </c>
      <c r="JD8" s="620" t="s">
        <v>2677</v>
      </c>
      <c r="JE8" s="268">
        <v>-4000</v>
      </c>
      <c r="JF8" s="662" t="s">
        <v>2528</v>
      </c>
      <c r="JG8" s="492"/>
      <c r="JH8" s="389" t="s">
        <v>2753</v>
      </c>
      <c r="JI8" s="61">
        <v>327.74</v>
      </c>
      <c r="JJ8" s="666" t="s">
        <v>2677</v>
      </c>
      <c r="JK8" s="268">
        <v>-4000</v>
      </c>
      <c r="JL8" s="609" t="s">
        <v>2776</v>
      </c>
      <c r="JM8" s="711">
        <v>2.5</v>
      </c>
      <c r="JN8" s="389" t="s">
        <v>2817</v>
      </c>
      <c r="JO8" s="61">
        <v>48.69</v>
      </c>
      <c r="JP8" s="711" t="s">
        <v>2814</v>
      </c>
      <c r="JQ8" s="268">
        <v>515008</v>
      </c>
      <c r="JR8" s="757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6" t="s">
        <v>2528</v>
      </c>
      <c r="JY8" s="492"/>
      <c r="JZ8" s="389" t="s">
        <v>2897</v>
      </c>
      <c r="KA8" s="61"/>
      <c r="KB8" s="205" t="s">
        <v>2919</v>
      </c>
      <c r="KC8" s="359">
        <v>30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1" t="s">
        <v>2698</v>
      </c>
      <c r="JA9" s="492">
        <f>544.23-533.02</f>
        <v>11.210000000000036</v>
      </c>
      <c r="JB9" s="389" t="s">
        <v>2712</v>
      </c>
      <c r="JC9" s="61">
        <v>600</v>
      </c>
      <c r="JD9" s="254" t="s">
        <v>2606</v>
      </c>
      <c r="JE9" s="2">
        <f>100*(120+1000+330+310)</f>
        <v>176000</v>
      </c>
      <c r="JF9" s="609" t="s">
        <v>2773</v>
      </c>
      <c r="JH9" s="346" t="s">
        <v>2761</v>
      </c>
      <c r="JI9" s="61">
        <v>1954.8</v>
      </c>
      <c r="JJ9" s="254" t="s">
        <v>2606</v>
      </c>
      <c r="JK9" s="2">
        <f>100*(120+1000+330+310)</f>
        <v>176000</v>
      </c>
      <c r="JL9" s="711" t="s">
        <v>2820</v>
      </c>
      <c r="JM9" s="711">
        <v>4.09</v>
      </c>
      <c r="JN9" s="389" t="s">
        <v>2778</v>
      </c>
      <c r="JO9" s="61">
        <v>127.14</v>
      </c>
      <c r="JP9" s="320" t="s">
        <v>2467</v>
      </c>
      <c r="JQ9" s="359">
        <v>31</v>
      </c>
      <c r="JR9" s="609" t="s">
        <v>2863</v>
      </c>
      <c r="JS9" s="757">
        <v>2.33</v>
      </c>
      <c r="JT9" s="346" t="s">
        <v>2903</v>
      </c>
      <c r="JU9" s="61">
        <v>10</v>
      </c>
      <c r="JV9" s="205" t="s">
        <v>2852</v>
      </c>
      <c r="JW9" s="84">
        <v>0</v>
      </c>
      <c r="JX9" s="609"/>
      <c r="JZ9" s="346" t="s">
        <v>1814</v>
      </c>
      <c r="KA9" s="61">
        <v>67.23</v>
      </c>
      <c r="KB9" s="205" t="s">
        <v>2852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2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0" t="s">
        <v>2528</v>
      </c>
      <c r="IU10" s="492"/>
      <c r="IV10" s="389" t="s">
        <v>2673</v>
      </c>
      <c r="IW10" s="532">
        <v>2000</v>
      </c>
      <c r="IX10" s="570" t="s">
        <v>2424</v>
      </c>
      <c r="IY10" s="268">
        <v>360000</v>
      </c>
      <c r="JA10" s="492"/>
      <c r="JB10" s="389" t="s">
        <v>2713</v>
      </c>
      <c r="JC10" s="532">
        <v>454.04</v>
      </c>
      <c r="JD10" s="616" t="s">
        <v>2424</v>
      </c>
      <c r="JE10" s="268">
        <v>590000</v>
      </c>
      <c r="JH10" s="346" t="s">
        <v>2017</v>
      </c>
      <c r="JI10" s="61">
        <v>58.77</v>
      </c>
      <c r="JJ10" s="662" t="s">
        <v>2424</v>
      </c>
      <c r="JK10" s="359">
        <v>0</v>
      </c>
      <c r="JL10" s="711" t="s">
        <v>2412</v>
      </c>
      <c r="JM10" s="514"/>
      <c r="JN10" s="346" t="s">
        <v>2807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2876</v>
      </c>
      <c r="JS10" s="779">
        <v>3.4</v>
      </c>
      <c r="JT10" s="346" t="s">
        <v>2889</v>
      </c>
      <c r="JU10" s="533">
        <v>5.38</v>
      </c>
      <c r="JV10" s="777" t="s">
        <v>1630</v>
      </c>
      <c r="JW10" s="442">
        <v>-123</v>
      </c>
      <c r="JX10" s="609"/>
      <c r="JZ10" s="346" t="s">
        <v>2925</v>
      </c>
      <c r="KA10" s="796">
        <f>73.44/2</f>
        <v>36.72</v>
      </c>
      <c r="KB10" s="801" t="s">
        <v>1630</v>
      </c>
      <c r="KC10" s="442">
        <v>-896</v>
      </c>
      <c r="KD10" s="606">
        <v>45115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3">
        <v>10</v>
      </c>
      <c r="IP11" s="346" t="s">
        <v>2808</v>
      </c>
      <c r="IQ11" s="61">
        <f>406.6+487.92</f>
        <v>894.52</v>
      </c>
      <c r="IR11" s="66" t="s">
        <v>1505</v>
      </c>
      <c r="IS11" s="268">
        <v>364</v>
      </c>
      <c r="IT11" s="570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1">
        <v>-49.87</v>
      </c>
      <c r="IZ11" s="616" t="s">
        <v>2528</v>
      </c>
      <c r="JA11" s="492"/>
      <c r="JB11" s="346" t="s">
        <v>2807</v>
      </c>
      <c r="JC11" s="61">
        <f>259.2+410.4</f>
        <v>669.59999999999991</v>
      </c>
      <c r="JD11" s="320" t="s">
        <v>2467</v>
      </c>
      <c r="JE11" s="581">
        <v>0</v>
      </c>
      <c r="JF11" s="662" t="s">
        <v>2412</v>
      </c>
      <c r="JG11" s="514"/>
      <c r="JH11" s="346" t="s">
        <v>2688</v>
      </c>
      <c r="JI11" s="61">
        <f>259.2+410.4</f>
        <v>669.59999999999991</v>
      </c>
      <c r="JJ11" s="320" t="s">
        <v>2467</v>
      </c>
      <c r="JK11" s="581">
        <v>-54</v>
      </c>
      <c r="JL11" s="711" t="s">
        <v>2164</v>
      </c>
      <c r="JM11" s="725">
        <v>52.000999999999998</v>
      </c>
      <c r="JN11" s="245" t="s">
        <v>2865</v>
      </c>
      <c r="JO11" s="492">
        <v>1396.9</v>
      </c>
      <c r="JP11" s="715" t="s">
        <v>2798</v>
      </c>
      <c r="JQ11" s="268">
        <v>2600</v>
      </c>
      <c r="JR11" s="609" t="s">
        <v>2895</v>
      </c>
      <c r="JS11" s="492">
        <v>1.21</v>
      </c>
      <c r="JT11" s="245" t="s">
        <v>2865</v>
      </c>
      <c r="JU11" s="492">
        <v>1371.77</v>
      </c>
      <c r="JV11" s="760" t="s">
        <v>2798</v>
      </c>
      <c r="JW11" s="268">
        <v>2600</v>
      </c>
      <c r="JX11" s="796" t="s">
        <v>2412</v>
      </c>
      <c r="JY11" s="514"/>
      <c r="JZ11" s="346" t="s">
        <v>2923</v>
      </c>
      <c r="KA11" s="61">
        <v>5.01</v>
      </c>
      <c r="KB11" s="799" t="s">
        <v>2798</v>
      </c>
      <c r="KC11" s="832">
        <v>0</v>
      </c>
      <c r="KD11" s="606"/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0" t="s">
        <v>2622</v>
      </c>
      <c r="IU12" s="570">
        <v>25.58</v>
      </c>
      <c r="IV12" s="389" t="s">
        <v>2570</v>
      </c>
      <c r="IW12" s="532">
        <v>378.81</v>
      </c>
      <c r="IX12" s="574" t="s">
        <v>1630</v>
      </c>
      <c r="IY12" s="580">
        <v>-997</v>
      </c>
      <c r="IZ12" s="616" t="s">
        <v>2663</v>
      </c>
      <c r="JA12" s="616">
        <v>30</v>
      </c>
      <c r="JB12" s="346" t="s">
        <v>2624</v>
      </c>
      <c r="JC12" s="533">
        <v>52.89</v>
      </c>
      <c r="JD12" s="619" t="s">
        <v>1630</v>
      </c>
      <c r="JE12" s="581">
        <v>-260</v>
      </c>
      <c r="JF12" s="662" t="s">
        <v>2164</v>
      </c>
      <c r="JG12" s="514">
        <f>72.14+1.23</f>
        <v>73.37</v>
      </c>
      <c r="JH12" s="245" t="s">
        <v>2754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2816</v>
      </c>
      <c r="JO12" s="492">
        <v>110000</v>
      </c>
      <c r="JP12" s="718" t="s">
        <v>2799</v>
      </c>
      <c r="JQ12" s="268">
        <v>682</v>
      </c>
      <c r="JR12" s="609" t="s">
        <v>2894</v>
      </c>
      <c r="JS12" s="804"/>
      <c r="JT12" s="245" t="s">
        <v>2866</v>
      </c>
      <c r="JU12" s="492">
        <v>1478.09</v>
      </c>
      <c r="JV12" s="763" t="s">
        <v>2799</v>
      </c>
      <c r="JW12" s="268">
        <v>800</v>
      </c>
      <c r="JX12" s="796" t="s">
        <v>2164</v>
      </c>
      <c r="JY12" s="725">
        <f>55.87+0.96</f>
        <v>56.83</v>
      </c>
      <c r="JZ12" s="346" t="s">
        <v>2924</v>
      </c>
      <c r="KA12" s="796">
        <v>10.87</v>
      </c>
      <c r="KB12" s="800" t="s">
        <v>2799</v>
      </c>
      <c r="KC12" s="268">
        <v>614</v>
      </c>
      <c r="KD12" s="606">
        <v>45115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2" t="s">
        <v>1838</v>
      </c>
      <c r="IY13" s="496">
        <v>2600</v>
      </c>
      <c r="JB13" s="660" t="s">
        <v>2697</v>
      </c>
      <c r="JC13" s="533">
        <f>80-40</f>
        <v>40</v>
      </c>
      <c r="JD13" s="617" t="s">
        <v>1838</v>
      </c>
      <c r="JE13" s="517">
        <v>2600</v>
      </c>
      <c r="JF13" s="662" t="s">
        <v>2934</v>
      </c>
      <c r="JG13" s="492">
        <v>22.41</v>
      </c>
      <c r="JH13" s="245" t="s">
        <v>2775</v>
      </c>
      <c r="JI13" s="720"/>
      <c r="JJ13" s="663" t="s">
        <v>1838</v>
      </c>
      <c r="JK13" s="268">
        <v>2600</v>
      </c>
      <c r="JL13" s="9" t="s">
        <v>2935</v>
      </c>
      <c r="JM13" s="726">
        <v>5.9</v>
      </c>
      <c r="JN13" s="245" t="s">
        <v>2836</v>
      </c>
      <c r="JO13" s="52">
        <f>JO14*4</f>
        <v>5080.7519999999995</v>
      </c>
      <c r="JP13" s="718" t="s">
        <v>2800</v>
      </c>
      <c r="JQ13" s="268">
        <v>895</v>
      </c>
      <c r="JR13" s="757" t="s">
        <v>2412</v>
      </c>
      <c r="JS13" s="514"/>
      <c r="JT13" s="245" t="s">
        <v>2620</v>
      </c>
      <c r="JU13" s="52">
        <f>JU14*4</f>
        <v>2540.3759999999997</v>
      </c>
      <c r="JV13" s="763" t="s">
        <v>2800</v>
      </c>
      <c r="JW13" s="268">
        <v>597</v>
      </c>
      <c r="JX13" s="796" t="s">
        <v>1799</v>
      </c>
      <c r="JY13" s="725"/>
      <c r="JZ13" s="346" t="s">
        <v>2688</v>
      </c>
      <c r="KA13" s="796">
        <f>259.2+410.4</f>
        <v>669.59999999999991</v>
      </c>
      <c r="KB13" s="800" t="s">
        <v>2800</v>
      </c>
      <c r="KC13" s="268">
        <v>951</v>
      </c>
      <c r="KD13" s="606">
        <v>45115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9" t="s">
        <v>2186</v>
      </c>
      <c r="HK14" s="84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3">
        <v>30</v>
      </c>
      <c r="IR14" s="66" t="s">
        <v>2466</v>
      </c>
      <c r="IS14" s="2" t="s">
        <v>2542</v>
      </c>
      <c r="IT14" s="570" t="s">
        <v>2412</v>
      </c>
      <c r="IU14" s="514"/>
      <c r="IV14" s="245" t="s">
        <v>2620</v>
      </c>
      <c r="IW14" s="2">
        <f>IW15*2</f>
        <v>2116.9666666666667</v>
      </c>
      <c r="IX14" s="573" t="s">
        <v>1505</v>
      </c>
      <c r="IY14" s="268">
        <v>983</v>
      </c>
      <c r="IZ14" s="616" t="s">
        <v>2412</v>
      </c>
      <c r="JA14" s="514"/>
      <c r="JB14" s="245" t="s">
        <v>2696</v>
      </c>
      <c r="JC14" s="644">
        <v>26.001000000000001</v>
      </c>
      <c r="JD14" s="620" t="s">
        <v>1505</v>
      </c>
      <c r="JE14" s="268">
        <v>635</v>
      </c>
      <c r="JF14" s="701" t="s">
        <v>2759</v>
      </c>
      <c r="JG14" s="492">
        <v>118.15</v>
      </c>
      <c r="JH14" s="245" t="s">
        <v>2815</v>
      </c>
      <c r="JI14" s="492">
        <v>1422.53</v>
      </c>
      <c r="JJ14" s="666" t="s">
        <v>1505</v>
      </c>
      <c r="JK14" s="268">
        <v>966</v>
      </c>
      <c r="JL14" s="9" t="s">
        <v>2936</v>
      </c>
      <c r="JM14" s="726"/>
      <c r="JN14" s="345" t="s">
        <v>2837</v>
      </c>
      <c r="JO14" s="52">
        <f>(3175.47/5)*2</f>
        <v>1270.1879999999999</v>
      </c>
      <c r="JP14" s="718" t="s">
        <v>2801</v>
      </c>
      <c r="JQ14" s="268">
        <v>76</v>
      </c>
      <c r="JR14" s="580" t="s">
        <v>2164</v>
      </c>
      <c r="JS14" s="725">
        <f>54.27+1.49</f>
        <v>55.760000000000005</v>
      </c>
      <c r="JT14" s="345" t="s">
        <v>2538</v>
      </c>
      <c r="JU14" s="52">
        <f>(3175.47/5)</f>
        <v>635.09399999999994</v>
      </c>
      <c r="JV14" s="763" t="s">
        <v>2801</v>
      </c>
      <c r="JW14" s="268">
        <v>561</v>
      </c>
      <c r="JX14" s="9" t="s">
        <v>2683</v>
      </c>
      <c r="JY14" s="726"/>
      <c r="JZ14" s="245" t="s">
        <v>2865</v>
      </c>
      <c r="KA14" s="492">
        <v>1347.2</v>
      </c>
      <c r="KB14" s="800" t="s">
        <v>2806</v>
      </c>
      <c r="KC14" s="832">
        <v>397</v>
      </c>
      <c r="KD14" s="606">
        <v>45114</v>
      </c>
      <c r="KE14" s="268" t="s">
        <v>2929</v>
      </c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91" t="s">
        <v>1504</v>
      </c>
      <c r="DP15" s="89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0" t="s">
        <v>2602</v>
      </c>
      <c r="IU15" s="514">
        <v>43</v>
      </c>
      <c r="IV15" s="345" t="s">
        <v>2538</v>
      </c>
      <c r="IW15" s="2">
        <f>3175.45/3</f>
        <v>1058.4833333333333</v>
      </c>
      <c r="IX15" s="573" t="s">
        <v>1506</v>
      </c>
      <c r="IY15" s="268">
        <v>618</v>
      </c>
      <c r="IZ15" s="616" t="s">
        <v>2164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2704</v>
      </c>
      <c r="JG15" s="662">
        <f>6.24+2.24</f>
        <v>8.48</v>
      </c>
      <c r="JH15" s="388" t="s">
        <v>2755</v>
      </c>
      <c r="JI15" s="492">
        <v>155000</v>
      </c>
      <c r="JJ15" s="666" t="s">
        <v>1506</v>
      </c>
      <c r="JK15" s="268">
        <v>1556</v>
      </c>
      <c r="JL15" s="779" t="s">
        <v>2855</v>
      </c>
      <c r="JM15" s="510">
        <v>1.96</v>
      </c>
      <c r="JN15" s="345" t="s">
        <v>2553</v>
      </c>
      <c r="JO15" s="61">
        <v>53.91</v>
      </c>
      <c r="JP15" s="718" t="s">
        <v>2806</v>
      </c>
      <c r="JQ15" s="605">
        <v>2441</v>
      </c>
      <c r="JR15" s="771" t="s">
        <v>2850</v>
      </c>
      <c r="JS15" s="726">
        <v>200</v>
      </c>
      <c r="JT15" s="345" t="s">
        <v>2553</v>
      </c>
      <c r="JU15" s="61">
        <v>75.430000000000007</v>
      </c>
      <c r="JV15" s="763" t="s">
        <v>2806</v>
      </c>
      <c r="JW15" s="268">
        <v>2151</v>
      </c>
      <c r="JX15" s="9" t="s">
        <v>2933</v>
      </c>
      <c r="JY15" s="726">
        <f>65.16+2.55</f>
        <v>67.709999999999994</v>
      </c>
      <c r="JZ15" s="245" t="s">
        <v>2866</v>
      </c>
      <c r="KA15" s="492">
        <v>1730.87</v>
      </c>
      <c r="KB15" s="254" t="s">
        <v>2802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2683</v>
      </c>
      <c r="IU16" s="492">
        <v>7.57</v>
      </c>
      <c r="IV16" s="345" t="s">
        <v>2553</v>
      </c>
      <c r="IW16" s="61">
        <v>47.54</v>
      </c>
      <c r="IX16" s="573" t="s">
        <v>2547</v>
      </c>
      <c r="IY16" s="268">
        <v>24</v>
      </c>
      <c r="IZ16" s="732" t="s">
        <v>2792</v>
      </c>
      <c r="JA16" s="492">
        <v>16.05</v>
      </c>
      <c r="JB16" s="245" t="s">
        <v>2620</v>
      </c>
      <c r="JC16" s="52">
        <f>JC17*2</f>
        <v>2116.98</v>
      </c>
      <c r="JD16" s="620" t="s">
        <v>2694</v>
      </c>
      <c r="JE16" s="268">
        <v>89</v>
      </c>
      <c r="JF16" s="401" t="s">
        <v>2738</v>
      </c>
      <c r="JG16" s="510">
        <v>379.39</v>
      </c>
      <c r="JH16" s="345" t="s">
        <v>2767</v>
      </c>
      <c r="JI16" s="61" t="s">
        <v>657</v>
      </c>
      <c r="JJ16" s="666" t="s">
        <v>2694</v>
      </c>
      <c r="JK16" s="268">
        <v>4000</v>
      </c>
      <c r="JL16" s="711" t="s">
        <v>2859</v>
      </c>
      <c r="JM16" s="61">
        <f>25.72</f>
        <v>25.72</v>
      </c>
      <c r="JN16" s="345" t="s">
        <v>2710</v>
      </c>
      <c r="JO16" s="61">
        <v>23.96</v>
      </c>
      <c r="JP16" s="254" t="s">
        <v>2802</v>
      </c>
      <c r="JQ16" s="605"/>
      <c r="JR16" s="793" t="s">
        <v>2875</v>
      </c>
      <c r="JS16" s="726">
        <v>300</v>
      </c>
      <c r="JT16" s="345" t="s">
        <v>2710</v>
      </c>
      <c r="JU16" s="61">
        <v>129.6</v>
      </c>
      <c r="JV16" s="254" t="s">
        <v>2802</v>
      </c>
      <c r="JW16" s="605"/>
      <c r="JX16" s="9" t="s">
        <v>2932</v>
      </c>
      <c r="JY16" s="726">
        <v>24.55</v>
      </c>
      <c r="JZ16" s="345" t="s">
        <v>2553</v>
      </c>
      <c r="KA16" s="61">
        <v>69.209999999999994</v>
      </c>
      <c r="KB16" s="800" t="s">
        <v>2803</v>
      </c>
      <c r="KC16" s="268">
        <v>0</v>
      </c>
      <c r="KD16" s="606"/>
    </row>
    <row r="17" spans="1:291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5" t="s">
        <v>1799</v>
      </c>
      <c r="IU17" s="570">
        <v>13.86</v>
      </c>
      <c r="IV17" s="345" t="s">
        <v>2176</v>
      </c>
      <c r="IW17" s="570">
        <f>30+59.31</f>
        <v>89.31</v>
      </c>
      <c r="IX17" s="490" t="s">
        <v>2468</v>
      </c>
      <c r="IY17" s="242">
        <v>65005</v>
      </c>
      <c r="IZ17" s="643" t="s">
        <v>2704</v>
      </c>
      <c r="JA17" s="643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2739</v>
      </c>
      <c r="JG17" s="662">
        <v>442.61</v>
      </c>
      <c r="JH17" s="345" t="s">
        <v>2690</v>
      </c>
      <c r="JI17" s="61">
        <v>59.36</v>
      </c>
      <c r="JJ17" s="678" t="s">
        <v>2736</v>
      </c>
      <c r="JK17" s="268">
        <f>25000.29+90000.29+140000.29+10000</f>
        <v>265000.87</v>
      </c>
      <c r="JL17" s="779" t="s">
        <v>2860</v>
      </c>
      <c r="JM17" s="61">
        <f>180.39+64.94+57.72</f>
        <v>303.04999999999995</v>
      </c>
      <c r="JN17" s="345" t="s">
        <v>2711</v>
      </c>
      <c r="JO17" s="61">
        <v>30</v>
      </c>
      <c r="JP17" s="718" t="s">
        <v>2803</v>
      </c>
      <c r="JQ17" s="268">
        <v>0</v>
      </c>
      <c r="JR17" s="779" t="s">
        <v>2855</v>
      </c>
      <c r="JS17" s="726">
        <v>2.95</v>
      </c>
      <c r="JT17" s="345" t="s">
        <v>2891</v>
      </c>
      <c r="JU17" s="534">
        <v>131.6</v>
      </c>
      <c r="JV17" s="763" t="s">
        <v>2803</v>
      </c>
      <c r="JW17" s="268">
        <v>0</v>
      </c>
      <c r="JX17" s="9" t="s">
        <v>2912</v>
      </c>
      <c r="JY17" s="726">
        <v>13.23</v>
      </c>
      <c r="JZ17" s="345" t="s">
        <v>2710</v>
      </c>
      <c r="KA17" s="61"/>
      <c r="KB17" s="800" t="s">
        <v>2689</v>
      </c>
      <c r="KC17" s="268">
        <v>14</v>
      </c>
      <c r="KD17" s="606"/>
    </row>
    <row r="18" spans="1:291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2" t="s">
        <v>2792</v>
      </c>
      <c r="IU18" s="492">
        <v>14</v>
      </c>
      <c r="IV18" s="345" t="s">
        <v>2625</v>
      </c>
      <c r="IW18" s="534">
        <v>110.02</v>
      </c>
      <c r="IX18" s="573" t="s">
        <v>2545</v>
      </c>
      <c r="IY18" s="605">
        <v>4175</v>
      </c>
      <c r="IZ18" s="401"/>
      <c r="JA18" s="510"/>
      <c r="JB18" s="345" t="s">
        <v>2616</v>
      </c>
      <c r="JC18" s="61">
        <v>110.79</v>
      </c>
      <c r="JD18" s="620" t="s">
        <v>2695</v>
      </c>
      <c r="JE18" s="605">
        <v>3083</v>
      </c>
      <c r="JF18" s="401"/>
      <c r="JG18" s="510"/>
      <c r="JH18" s="345" t="s">
        <v>2711</v>
      </c>
      <c r="JI18" s="61">
        <v>30</v>
      </c>
      <c r="JJ18" s="666" t="s">
        <v>2695</v>
      </c>
      <c r="JK18" s="268">
        <v>99936</v>
      </c>
      <c r="JL18" s="401" t="s">
        <v>2827</v>
      </c>
      <c r="JM18" s="510">
        <f>228.82+344.82+65.55+23.84</f>
        <v>663.03</v>
      </c>
      <c r="JN18" s="345" t="s">
        <v>2623</v>
      </c>
      <c r="JO18" s="534">
        <v>157.54</v>
      </c>
      <c r="JP18" s="718" t="s">
        <v>2689</v>
      </c>
      <c r="JQ18" s="268">
        <v>14</v>
      </c>
      <c r="JR18" s="10" t="s">
        <v>2859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2689</v>
      </c>
      <c r="JW18" s="268">
        <v>15</v>
      </c>
      <c r="JX18" s="11" t="s">
        <v>2860</v>
      </c>
      <c r="JY18" s="726"/>
      <c r="JZ18" s="345" t="s">
        <v>2920</v>
      </c>
      <c r="KA18" s="61">
        <v>30</v>
      </c>
      <c r="KB18" s="801" t="s">
        <v>2685</v>
      </c>
      <c r="KC18" s="2">
        <v>170</v>
      </c>
      <c r="KD18" s="606">
        <v>45115</v>
      </c>
    </row>
    <row r="19" spans="1:291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91" t="s">
        <v>1474</v>
      </c>
      <c r="DJ19" s="89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2" t="s">
        <v>2792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5" t="s">
        <v>2621</v>
      </c>
      <c r="IY19" s="268">
        <v>10</v>
      </c>
      <c r="IZ19" s="657"/>
      <c r="JA19" s="657"/>
      <c r="JB19" s="345" t="s">
        <v>2710</v>
      </c>
      <c r="JC19" s="61">
        <v>109.57</v>
      </c>
      <c r="JD19" s="642" t="s">
        <v>2674</v>
      </c>
      <c r="JE19" s="268">
        <v>0</v>
      </c>
      <c r="JF19" s="680"/>
      <c r="JG19" s="680"/>
      <c r="JH19" s="345" t="s">
        <v>2623</v>
      </c>
      <c r="JI19" s="534">
        <v>115.37</v>
      </c>
      <c r="JJ19" s="666" t="s">
        <v>2674</v>
      </c>
      <c r="JK19" s="268">
        <v>0</v>
      </c>
      <c r="JL19" s="721" t="s">
        <v>2824</v>
      </c>
      <c r="JM19" s="721">
        <v>2</v>
      </c>
      <c r="JN19" s="345" t="s">
        <v>1195</v>
      </c>
      <c r="JO19" s="61">
        <f>15+6.5+30</f>
        <v>51.5</v>
      </c>
      <c r="JP19" s="717" t="s">
        <v>2685</v>
      </c>
      <c r="JQ19" s="2">
        <v>210</v>
      </c>
      <c r="JR19" s="11" t="s">
        <v>2860</v>
      </c>
      <c r="JS19" s="788">
        <f>183.29+65.98+58.65</f>
        <v>307.91999999999996</v>
      </c>
      <c r="JT19" s="345" t="s">
        <v>2811</v>
      </c>
      <c r="JU19" s="61">
        <f>9+14.32</f>
        <v>23.32</v>
      </c>
      <c r="JV19" s="762" t="s">
        <v>2685</v>
      </c>
      <c r="JW19" s="2">
        <v>240</v>
      </c>
      <c r="JY19" s="510"/>
      <c r="JZ19" s="345" t="s">
        <v>2623</v>
      </c>
      <c r="KA19" s="534">
        <v>131.87</v>
      </c>
      <c r="KB19" s="801" t="s">
        <v>2684</v>
      </c>
      <c r="KC19" s="2"/>
      <c r="KD19" s="606"/>
    </row>
    <row r="20" spans="1:291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08" t="s">
        <v>2763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4" t="s">
        <v>2541</v>
      </c>
      <c r="IY20" s="570">
        <v>190</v>
      </c>
      <c r="IZ20" s="401"/>
      <c r="JA20" s="510"/>
      <c r="JB20" s="345" t="s">
        <v>2714</v>
      </c>
      <c r="JC20" s="61">
        <f>10+30</f>
        <v>40</v>
      </c>
      <c r="JD20" s="620" t="s">
        <v>2689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2774</v>
      </c>
      <c r="JK20" s="581">
        <v>44.23</v>
      </c>
      <c r="JL20" s="401"/>
      <c r="JM20" s="510"/>
      <c r="JN20" s="345" t="s">
        <v>2811</v>
      </c>
      <c r="JO20" s="61">
        <f>9+14.32</f>
        <v>23.32</v>
      </c>
      <c r="JP20" s="717" t="s">
        <v>2684</v>
      </c>
      <c r="JQ20" s="2"/>
      <c r="JR20" s="11" t="s">
        <v>2861</v>
      </c>
      <c r="JS20" s="789">
        <v>15.42</v>
      </c>
      <c r="JT20" s="345" t="s">
        <v>2783</v>
      </c>
      <c r="JU20" s="203">
        <f>64+64+3</f>
        <v>131</v>
      </c>
      <c r="JV20" s="762" t="s">
        <v>2684</v>
      </c>
      <c r="JW20" s="2"/>
      <c r="JX20" s="794" t="s">
        <v>2787</v>
      </c>
      <c r="JY20" s="794"/>
      <c r="JZ20" s="345" t="s">
        <v>1195</v>
      </c>
      <c r="KA20" s="61">
        <f>15+6.5</f>
        <v>21.5</v>
      </c>
      <c r="KB20" s="803" t="s">
        <v>2454</v>
      </c>
      <c r="KC20" s="2">
        <v>1000</v>
      </c>
      <c r="KD20" s="108"/>
    </row>
    <row r="21" spans="1:291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07" t="s">
        <v>2762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6" t="s">
        <v>2454</v>
      </c>
      <c r="IY21" s="570">
        <v>2013</v>
      </c>
      <c r="IZ21" s="401"/>
      <c r="JA21" s="510"/>
      <c r="JB21" s="345" t="s">
        <v>2623</v>
      </c>
      <c r="JC21" s="534">
        <v>115.37</v>
      </c>
      <c r="JD21" s="658" t="s">
        <v>2685</v>
      </c>
      <c r="JE21" s="616">
        <v>130</v>
      </c>
      <c r="JF21" s="401"/>
      <c r="JG21" s="510"/>
      <c r="JH21" s="345" t="s">
        <v>2745</v>
      </c>
      <c r="JI21" s="61">
        <v>27</v>
      </c>
      <c r="JJ21" s="666" t="s">
        <v>2689</v>
      </c>
      <c r="JK21" s="605">
        <v>10</v>
      </c>
      <c r="JN21" s="345" t="s">
        <v>2366</v>
      </c>
      <c r="JO21" s="61">
        <f>11.94+10+20.54+17.31+14.45+15.78+10</f>
        <v>100.02</v>
      </c>
      <c r="JP21" s="719" t="s">
        <v>2454</v>
      </c>
      <c r="JQ21" s="2">
        <v>1000</v>
      </c>
      <c r="JR21" s="790" t="s">
        <v>2858</v>
      </c>
      <c r="JS21" s="791">
        <f>783.33+1167.38+1493.5+2179.3</f>
        <v>5623.51</v>
      </c>
      <c r="JT21" s="345" t="s">
        <v>2873</v>
      </c>
      <c r="JU21" s="203">
        <v>6.97</v>
      </c>
      <c r="JV21" s="764" t="s">
        <v>2454</v>
      </c>
      <c r="JW21" s="2">
        <v>1000</v>
      </c>
      <c r="JX21" s="821" t="s">
        <v>1959</v>
      </c>
      <c r="JY21" s="273">
        <f>SUM(KA6:KA7)</f>
        <v>2900.15</v>
      </c>
      <c r="JZ21" s="345" t="s">
        <v>2811</v>
      </c>
      <c r="KA21" s="61">
        <f>9+14.32</f>
        <v>23.32</v>
      </c>
      <c r="KB21" s="802" t="s">
        <v>2472</v>
      </c>
      <c r="KC21" s="61"/>
    </row>
    <row r="22" spans="1:291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84" t="s">
        <v>507</v>
      </c>
      <c r="N22" s="884"/>
      <c r="Q22" s="166" t="s">
        <v>365</v>
      </c>
      <c r="S22" s="884" t="s">
        <v>507</v>
      </c>
      <c r="T22" s="88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2"/>
      <c r="IO22" s="492"/>
      <c r="IP22" s="337" t="s">
        <v>2476</v>
      </c>
      <c r="IQ22" s="61">
        <v>10</v>
      </c>
      <c r="IR22" s="537" t="s">
        <v>2480</v>
      </c>
      <c r="IS22" s="536"/>
      <c r="IT22" s="838" t="s">
        <v>2171</v>
      </c>
      <c r="IU22" s="838"/>
      <c r="IV22" s="337" t="s">
        <v>2599</v>
      </c>
      <c r="IW22" s="61">
        <v>42.51</v>
      </c>
      <c r="IX22" s="575" t="s">
        <v>2480</v>
      </c>
      <c r="IZ22" s="401"/>
      <c r="JA22" s="510"/>
      <c r="JB22" s="345" t="s">
        <v>1195</v>
      </c>
      <c r="JC22" s="61">
        <f>13+30</f>
        <v>43</v>
      </c>
      <c r="JD22" s="619" t="s">
        <v>2684</v>
      </c>
      <c r="JH22" s="345" t="s">
        <v>2188</v>
      </c>
      <c r="JI22" s="61">
        <f>9+14.32</f>
        <v>23.32</v>
      </c>
      <c r="JJ22" s="665" t="s">
        <v>2685</v>
      </c>
      <c r="JK22" s="662">
        <v>230</v>
      </c>
      <c r="JL22" s="401"/>
      <c r="JM22" s="510"/>
      <c r="JN22" s="337" t="s">
        <v>2810</v>
      </c>
      <c r="JO22" s="61">
        <v>2953</v>
      </c>
      <c r="JP22" s="727" t="s">
        <v>2480</v>
      </c>
      <c r="JQ22" s="2"/>
      <c r="JR22" s="790" t="s">
        <v>2867</v>
      </c>
      <c r="JS22" s="791"/>
      <c r="JT22" s="345" t="s">
        <v>2366</v>
      </c>
      <c r="JU22" s="61">
        <f>17.57+15.78+10+10+16.81+16.4+1.52+17.15+1.19+10.85</f>
        <v>117.26999999999998</v>
      </c>
      <c r="JV22" s="761" t="s">
        <v>2480</v>
      </c>
      <c r="JW22" s="61"/>
      <c r="JX22" s="388" t="s">
        <v>2868</v>
      </c>
      <c r="JY22" s="273">
        <f>SUM(KA14:KA15)</f>
        <v>3078.0699999999997</v>
      </c>
      <c r="JZ22" s="345" t="s">
        <v>2783</v>
      </c>
      <c r="KA22" s="203">
        <v>64</v>
      </c>
      <c r="KB22" s="802" t="s">
        <v>2480</v>
      </c>
      <c r="KC22" s="61"/>
      <c r="KE22">
        <v>27.52</v>
      </c>
    </row>
    <row r="23" spans="1:291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2" t="s">
        <v>990</v>
      </c>
      <c r="N23" s="882"/>
      <c r="Q23" s="166" t="s">
        <v>369</v>
      </c>
      <c r="S23" s="882" t="s">
        <v>990</v>
      </c>
      <c r="T23" s="882"/>
      <c r="W23" s="244" t="s">
        <v>1019</v>
      </c>
      <c r="X23" s="142">
        <v>0</v>
      </c>
      <c r="Y23" s="884" t="s">
        <v>507</v>
      </c>
      <c r="Z23" s="88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8" t="s">
        <v>2171</v>
      </c>
      <c r="HK23" s="838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8" t="s">
        <v>2171</v>
      </c>
      <c r="HW23" s="838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5"/>
      <c r="IZ23" s="402"/>
      <c r="JA23" s="643"/>
      <c r="JB23" s="345" t="s">
        <v>2188</v>
      </c>
      <c r="JC23" s="61">
        <f>9+14.32</f>
        <v>23.32</v>
      </c>
      <c r="JD23" s="621" t="s">
        <v>2454</v>
      </c>
      <c r="JE23" s="616">
        <v>1000</v>
      </c>
      <c r="JF23" s="401"/>
      <c r="JG23" s="510"/>
      <c r="JH23" s="700" t="s">
        <v>2746</v>
      </c>
      <c r="JI23" s="533">
        <v>4.05</v>
      </c>
      <c r="JJ23" s="665" t="s">
        <v>2684</v>
      </c>
      <c r="JL23" s="401"/>
      <c r="JM23" s="510"/>
      <c r="JN23" s="337" t="s">
        <v>2782</v>
      </c>
      <c r="JO23" s="61">
        <v>50.23</v>
      </c>
      <c r="JP23" s="743" t="s">
        <v>2819</v>
      </c>
      <c r="JQ23" s="2">
        <v>14.8</v>
      </c>
      <c r="JR23" s="767"/>
      <c r="JS23" s="510"/>
      <c r="JT23" s="337" t="s">
        <v>2862</v>
      </c>
      <c r="JU23" s="61">
        <v>10</v>
      </c>
      <c r="JV23" s="761" t="s">
        <v>2472</v>
      </c>
      <c r="JW23" s="61"/>
      <c r="JX23" s="350" t="s">
        <v>1392</v>
      </c>
      <c r="JY23" s="2">
        <f>SUM(KA8:KA8)</f>
        <v>0</v>
      </c>
      <c r="JZ23" s="345" t="s">
        <v>2873</v>
      </c>
      <c r="KA23" s="203">
        <v>10.8</v>
      </c>
      <c r="KB23" s="802" t="s">
        <v>2423</v>
      </c>
      <c r="KC23" s="61"/>
      <c r="KE23">
        <v>32.24</v>
      </c>
    </row>
    <row r="24" spans="1:291">
      <c r="A24" s="884" t="s">
        <v>507</v>
      </c>
      <c r="B24" s="884"/>
      <c r="E24" s="164" t="s">
        <v>237</v>
      </c>
      <c r="F24" s="166"/>
      <c r="G24" s="884" t="s">
        <v>507</v>
      </c>
      <c r="H24" s="884"/>
      <c r="K24" s="244" t="s">
        <v>1019</v>
      </c>
      <c r="L24" s="142">
        <v>0</v>
      </c>
      <c r="M24" s="861"/>
      <c r="N24" s="861"/>
      <c r="Q24" s="166" t="s">
        <v>1056</v>
      </c>
      <c r="S24" s="861"/>
      <c r="T24" s="861"/>
      <c r="W24" s="244" t="s">
        <v>1027</v>
      </c>
      <c r="X24" s="205">
        <v>0</v>
      </c>
      <c r="Y24" s="882" t="s">
        <v>990</v>
      </c>
      <c r="Z24" s="882"/>
      <c r="AC24"/>
      <c r="AE24" s="884" t="s">
        <v>507</v>
      </c>
      <c r="AF24" s="884"/>
      <c r="AI24"/>
      <c r="AK24" s="884" t="s">
        <v>507</v>
      </c>
      <c r="AL24" s="88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0" t="s">
        <v>1536</v>
      </c>
      <c r="EF24" s="88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2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5" t="s">
        <v>2423</v>
      </c>
      <c r="JB24" s="345" t="s">
        <v>2464</v>
      </c>
      <c r="JC24" s="61">
        <v>96</v>
      </c>
      <c r="JD24" s="618"/>
      <c r="JF24" s="401"/>
      <c r="JG24" s="510"/>
      <c r="JH24" s="345" t="s">
        <v>2366</v>
      </c>
      <c r="JI24" s="61">
        <f>15.55+10+15.6+17.36+16.4+10+14.01+16.99+15.65</f>
        <v>131.56</v>
      </c>
      <c r="JJ24" s="667" t="s">
        <v>2454</v>
      </c>
      <c r="JK24" s="662">
        <v>1000</v>
      </c>
      <c r="JL24" s="402"/>
      <c r="JN24" s="337" t="s">
        <v>2789</v>
      </c>
      <c r="JO24" s="61">
        <f>9+2</f>
        <v>11</v>
      </c>
      <c r="JP24" s="716" t="s">
        <v>2472</v>
      </c>
      <c r="JQ24" s="2"/>
      <c r="JR24" s="755" t="s">
        <v>2787</v>
      </c>
      <c r="JS24" s="755"/>
      <c r="JT24" s="337" t="s">
        <v>2890</v>
      </c>
      <c r="JU24" s="61">
        <v>48.2</v>
      </c>
      <c r="JV24" s="765" t="s">
        <v>2851</v>
      </c>
      <c r="JW24" s="61">
        <v>453.6</v>
      </c>
      <c r="JX24" s="346" t="s">
        <v>2166</v>
      </c>
      <c r="JY24" s="2">
        <f>SUM(KA9:KA13)</f>
        <v>789.43</v>
      </c>
      <c r="JZ24" s="345" t="s">
        <v>2366</v>
      </c>
      <c r="KA24" s="61">
        <f>16.3+16.34+12.3+10</f>
        <v>54.94</v>
      </c>
      <c r="KB24" s="826"/>
      <c r="KC24" s="61"/>
      <c r="KE24">
        <v>23.63</v>
      </c>
    </row>
    <row r="25" spans="1:291">
      <c r="A25" s="882" t="s">
        <v>990</v>
      </c>
      <c r="B25" s="882"/>
      <c r="E25" s="164" t="s">
        <v>139</v>
      </c>
      <c r="F25" s="166"/>
      <c r="G25" s="882" t="s">
        <v>990</v>
      </c>
      <c r="H25" s="882"/>
      <c r="K25" s="244" t="s">
        <v>1027</v>
      </c>
      <c r="L25" s="205">
        <v>0</v>
      </c>
      <c r="M25" s="861"/>
      <c r="N25" s="861"/>
      <c r="Q25" s="244" t="s">
        <v>1029</v>
      </c>
      <c r="R25" s="142">
        <v>0</v>
      </c>
      <c r="S25" s="861"/>
      <c r="T25" s="861"/>
      <c r="W25" s="244" t="s">
        <v>1050</v>
      </c>
      <c r="X25" s="142">
        <v>910.17</v>
      </c>
      <c r="Y25" s="861"/>
      <c r="Z25" s="861"/>
      <c r="AC25" s="248" t="s">
        <v>1083</v>
      </c>
      <c r="AD25" s="142">
        <v>90</v>
      </c>
      <c r="AE25" s="882" t="s">
        <v>990</v>
      </c>
      <c r="AF25" s="882"/>
      <c r="AI25" s="245" t="s">
        <v>1101</v>
      </c>
      <c r="AJ25" s="142">
        <v>30</v>
      </c>
      <c r="AK25" s="882" t="s">
        <v>990</v>
      </c>
      <c r="AL25" s="88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2"/>
      <c r="BH25" s="882"/>
      <c r="BK25" s="266" t="s">
        <v>1222</v>
      </c>
      <c r="BL25" s="205">
        <v>48.54</v>
      </c>
      <c r="BM25" s="882"/>
      <c r="BN25" s="882"/>
      <c r="BQ25" s="266" t="s">
        <v>1051</v>
      </c>
      <c r="BR25" s="205">
        <v>50.15</v>
      </c>
      <c r="BS25" s="882" t="s">
        <v>1245</v>
      </c>
      <c r="BT25" s="882"/>
      <c r="BW25" s="266" t="s">
        <v>1051</v>
      </c>
      <c r="BX25" s="205">
        <v>48.54</v>
      </c>
      <c r="BY25" s="882"/>
      <c r="BZ25" s="882"/>
      <c r="CC25" s="266" t="s">
        <v>1051</v>
      </c>
      <c r="CD25" s="205">
        <v>142.91</v>
      </c>
      <c r="CE25" s="882"/>
      <c r="CF25" s="882"/>
      <c r="CI25" s="266" t="s">
        <v>1312</v>
      </c>
      <c r="CJ25" s="205">
        <v>35.049999999999997</v>
      </c>
      <c r="CK25" s="861"/>
      <c r="CL25" s="861"/>
      <c r="CO25" s="266" t="s">
        <v>1286</v>
      </c>
      <c r="CP25" s="205">
        <v>153.41</v>
      </c>
      <c r="CQ25" s="861" t="s">
        <v>1327</v>
      </c>
      <c r="CR25" s="86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185426.5633333333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8" t="s">
        <v>2171</v>
      </c>
      <c r="IC25" s="838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4"/>
      <c r="IY25" s="582"/>
      <c r="IZ25" s="401"/>
      <c r="JA25" s="510"/>
      <c r="JB25" s="345" t="s">
        <v>2366</v>
      </c>
      <c r="JC25" s="61">
        <f>17.98+13.67+17.8+15.37+10+15+12.85</f>
        <v>102.67</v>
      </c>
      <c r="JD25" s="618"/>
      <c r="JF25" s="402"/>
      <c r="JH25" s="337" t="s">
        <v>2765</v>
      </c>
      <c r="JI25" s="61">
        <v>20</v>
      </c>
      <c r="JJ25" s="664" t="s">
        <v>2472</v>
      </c>
      <c r="JN25" s="337" t="s">
        <v>2793</v>
      </c>
      <c r="JO25" s="61">
        <v>16.100000000000001</v>
      </c>
      <c r="JP25" s="727" t="s">
        <v>2794</v>
      </c>
      <c r="JQ25" s="2">
        <v>15</v>
      </c>
      <c r="JR25" s="821" t="s">
        <v>1959</v>
      </c>
      <c r="JS25" s="273">
        <f>SUM(JU6:JU7)</f>
        <v>3900.06</v>
      </c>
      <c r="JT25" s="337" t="s">
        <v>2870</v>
      </c>
      <c r="JU25" s="61">
        <v>68.900000000000006</v>
      </c>
      <c r="JV25" s="761" t="s">
        <v>2423</v>
      </c>
      <c r="JW25" s="61"/>
      <c r="JX25" s="348" t="s">
        <v>2167</v>
      </c>
      <c r="JY25" s="2">
        <f>SUM(KA16:KA24)</f>
        <v>405.64</v>
      </c>
      <c r="JZ25" s="337" t="s">
        <v>2904</v>
      </c>
      <c r="KA25" s="61">
        <v>80</v>
      </c>
      <c r="KB25" s="833"/>
      <c r="KC25" s="61"/>
      <c r="KE25">
        <v>25.64</v>
      </c>
    </row>
    <row r="26" spans="1:291">
      <c r="A26" s="861"/>
      <c r="B26" s="861"/>
      <c r="E26" s="198" t="s">
        <v>362</v>
      </c>
      <c r="F26" s="170"/>
      <c r="G26" s="861"/>
      <c r="H26" s="861"/>
      <c r="K26" s="244" t="s">
        <v>1018</v>
      </c>
      <c r="L26" s="142">
        <f>910+40</f>
        <v>950</v>
      </c>
      <c r="M26" s="861"/>
      <c r="N26" s="861"/>
      <c r="Q26" s="244" t="s">
        <v>1026</v>
      </c>
      <c r="R26" s="142">
        <v>0</v>
      </c>
      <c r="S26" s="861"/>
      <c r="T26" s="861"/>
      <c r="W26" s="143" t="s">
        <v>1085</v>
      </c>
      <c r="X26" s="142">
        <v>110.58</v>
      </c>
      <c r="Y26" s="861"/>
      <c r="Z26" s="861"/>
      <c r="AE26" s="861"/>
      <c r="AF26" s="861"/>
      <c r="AK26" s="861"/>
      <c r="AL26" s="86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61"/>
      <c r="AX26" s="861"/>
      <c r="AY26" s="143"/>
      <c r="AZ26" s="205"/>
      <c r="BA26" s="861"/>
      <c r="BB26" s="861"/>
      <c r="BE26" s="143" t="s">
        <v>1195</v>
      </c>
      <c r="BF26" s="205">
        <f>6.5*2</f>
        <v>13</v>
      </c>
      <c r="BG26" s="861"/>
      <c r="BH26" s="861"/>
      <c r="BK26" s="266" t="s">
        <v>1195</v>
      </c>
      <c r="BL26" s="205">
        <f>6.5*2</f>
        <v>13</v>
      </c>
      <c r="BM26" s="861"/>
      <c r="BN26" s="861"/>
      <c r="BQ26" s="266" t="s">
        <v>1195</v>
      </c>
      <c r="BR26" s="205">
        <v>13</v>
      </c>
      <c r="BS26" s="861"/>
      <c r="BT26" s="861"/>
      <c r="BW26" s="266" t="s">
        <v>1195</v>
      </c>
      <c r="BX26" s="205">
        <v>13</v>
      </c>
      <c r="BY26" s="861"/>
      <c r="BZ26" s="861"/>
      <c r="CC26" s="266" t="s">
        <v>1195</v>
      </c>
      <c r="CD26" s="205">
        <v>13</v>
      </c>
      <c r="CE26" s="861"/>
      <c r="CF26" s="86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7" t="s">
        <v>1536</v>
      </c>
      <c r="DZ26" s="89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0" t="s">
        <v>1536</v>
      </c>
      <c r="ES26" s="880"/>
      <c r="ET26" s="1" t="s">
        <v>1703</v>
      </c>
      <c r="EU26" s="272">
        <v>20000</v>
      </c>
      <c r="EW26" s="88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0" t="s">
        <v>2478</v>
      </c>
      <c r="IW26" s="78">
        <f>2+59+11+23</f>
        <v>95</v>
      </c>
      <c r="IX26" s="504"/>
      <c r="IZ26" s="401"/>
      <c r="JA26" s="510"/>
      <c r="JB26" s="337" t="s">
        <v>2700</v>
      </c>
      <c r="JC26" s="61">
        <v>10</v>
      </c>
      <c r="JD26" s="645"/>
      <c r="JH26" s="337" t="s">
        <v>2742</v>
      </c>
      <c r="JI26" s="61">
        <v>30</v>
      </c>
      <c r="JJ26" s="664" t="s">
        <v>2423</v>
      </c>
      <c r="JL26" s="723" t="s">
        <v>2787</v>
      </c>
      <c r="JM26" s="723"/>
      <c r="JN26" s="337" t="s">
        <v>2809</v>
      </c>
      <c r="JO26" s="533">
        <v>42.9</v>
      </c>
      <c r="JP26" s="716" t="s">
        <v>2423</v>
      </c>
      <c r="JQ26" s="2"/>
      <c r="JR26" s="388" t="s">
        <v>2868</v>
      </c>
      <c r="JS26" s="273">
        <f>SUM(JU11:JU13)</f>
        <v>5390.235999999999</v>
      </c>
      <c r="JT26" s="337" t="s">
        <v>2871</v>
      </c>
      <c r="JU26" s="61">
        <v>41.5</v>
      </c>
      <c r="JV26" s="769"/>
      <c r="JW26" s="61"/>
      <c r="JX26" s="337" t="s">
        <v>2165</v>
      </c>
      <c r="JY26" s="2">
        <f>SUM(KA25:KA30)</f>
        <v>349.63</v>
      </c>
      <c r="JZ26" s="337" t="s">
        <v>2928</v>
      </c>
      <c r="KA26" s="61" t="s">
        <v>2931</v>
      </c>
      <c r="KB26" s="834"/>
      <c r="KC26" s="61"/>
      <c r="KE26">
        <v>20.71</v>
      </c>
    </row>
    <row r="27" spans="1:291">
      <c r="A27" s="861"/>
      <c r="B27" s="861"/>
      <c r="F27" s="194"/>
      <c r="G27" s="861"/>
      <c r="H27" s="861"/>
      <c r="K27"/>
      <c r="M27" s="887" t="s">
        <v>506</v>
      </c>
      <c r="N27" s="887"/>
      <c r="Q27" s="244" t="s">
        <v>1019</v>
      </c>
      <c r="R27" s="142">
        <v>0</v>
      </c>
      <c r="S27" s="887" t="s">
        <v>506</v>
      </c>
      <c r="T27" s="887"/>
      <c r="W27" s="143" t="s">
        <v>1051</v>
      </c>
      <c r="X27" s="142">
        <v>60.75</v>
      </c>
      <c r="Y27" s="861"/>
      <c r="Z27" s="861"/>
      <c r="AC27" s="219" t="s">
        <v>1092</v>
      </c>
      <c r="AD27" s="219"/>
      <c r="AE27" s="887" t="s">
        <v>506</v>
      </c>
      <c r="AF27" s="88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0" t="s">
        <v>1536</v>
      </c>
      <c r="EY27" s="88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8" t="s">
        <v>2171</v>
      </c>
      <c r="HQ27" s="838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3"/>
      <c r="IZ27" s="402"/>
      <c r="JB27" s="337" t="s">
        <v>2706</v>
      </c>
      <c r="JC27" s="61">
        <v>7</v>
      </c>
      <c r="JD27" s="653"/>
      <c r="JE27" s="652"/>
      <c r="JF27" s="671" t="s">
        <v>2716</v>
      </c>
      <c r="JG27" s="671"/>
      <c r="JH27" s="337" t="s">
        <v>2768</v>
      </c>
      <c r="JI27" s="61">
        <f>55.72+65.82</f>
        <v>121.53999999999999</v>
      </c>
      <c r="JJ27" s="681" t="s">
        <v>2747</v>
      </c>
      <c r="JK27" s="680">
        <v>59.4</v>
      </c>
      <c r="JL27" s="192" t="s">
        <v>1959</v>
      </c>
      <c r="JM27" s="273">
        <f>SUM(JO6:JO7)</f>
        <v>2900.12</v>
      </c>
      <c r="JN27" s="337" t="s">
        <v>2828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2885</v>
      </c>
      <c r="JU27" s="533">
        <v>11</v>
      </c>
      <c r="JV27" s="792"/>
      <c r="JW27" s="61"/>
      <c r="JX27" s="337" t="s">
        <v>2823</v>
      </c>
      <c r="JY27" s="2">
        <f>SUM(KA28:KA30)</f>
        <v>94.63</v>
      </c>
      <c r="JZ27" s="337" t="s">
        <v>2926</v>
      </c>
      <c r="KA27" s="61">
        <v>175</v>
      </c>
      <c r="KB27" s="833"/>
      <c r="KC27" s="61"/>
      <c r="KE27">
        <v>51.89</v>
      </c>
    </row>
    <row r="28" spans="1:291">
      <c r="A28" s="861"/>
      <c r="B28" s="861"/>
      <c r="E28" s="193" t="s">
        <v>360</v>
      </c>
      <c r="F28" s="194"/>
      <c r="G28" s="861"/>
      <c r="H28" s="861"/>
      <c r="K28" s="143" t="s">
        <v>1017</v>
      </c>
      <c r="L28" s="142">
        <f>60</f>
        <v>60</v>
      </c>
      <c r="M28" s="887" t="s">
        <v>992</v>
      </c>
      <c r="N28" s="887"/>
      <c r="Q28" s="244" t="s">
        <v>1073</v>
      </c>
      <c r="R28" s="205">
        <v>200</v>
      </c>
      <c r="S28" s="887" t="s">
        <v>992</v>
      </c>
      <c r="T28" s="887"/>
      <c r="W28" s="143" t="s">
        <v>1016</v>
      </c>
      <c r="X28" s="142">
        <v>61.35</v>
      </c>
      <c r="Y28" s="887" t="s">
        <v>506</v>
      </c>
      <c r="Z28" s="887"/>
      <c r="AC28" s="219" t="s">
        <v>1088</v>
      </c>
      <c r="AD28" s="219">
        <f>53+207+63</f>
        <v>323</v>
      </c>
      <c r="AE28" s="887" t="s">
        <v>992</v>
      </c>
      <c r="AF28" s="88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0" t="s">
        <v>1747</v>
      </c>
      <c r="FE28" s="88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5"/>
      <c r="IZ28" s="838" t="s">
        <v>2171</v>
      </c>
      <c r="JA28" s="838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2769</v>
      </c>
      <c r="JI28" s="61">
        <f>44.8+43.4</f>
        <v>88.199999999999989</v>
      </c>
      <c r="JJ28" s="699" t="s">
        <v>2748</v>
      </c>
      <c r="JK28" s="662">
        <v>75.599999999999994</v>
      </c>
      <c r="JL28" s="388" t="s">
        <v>2869</v>
      </c>
      <c r="JM28" s="273">
        <f>SUM(JO11:JO13)</f>
        <v>116477.65199999999</v>
      </c>
      <c r="JN28" s="711" t="s">
        <v>2717</v>
      </c>
      <c r="JO28" s="78">
        <v>20</v>
      </c>
      <c r="JP28" s="752"/>
      <c r="JQ28" s="2"/>
      <c r="JR28" s="346" t="s">
        <v>2166</v>
      </c>
      <c r="JS28" s="2">
        <f>SUM(JU9:JU10)</f>
        <v>15.379999999999999</v>
      </c>
      <c r="JT28" s="757" t="s">
        <v>2717</v>
      </c>
      <c r="JU28" s="78">
        <f>13</f>
        <v>13</v>
      </c>
      <c r="JV28" s="792"/>
      <c r="JW28" s="61"/>
      <c r="JZ28" s="337" t="s">
        <v>1533</v>
      </c>
      <c r="KA28" s="61">
        <v>45.73</v>
      </c>
      <c r="KB28" s="796" t="s">
        <v>506</v>
      </c>
      <c r="KE28">
        <v>22.45</v>
      </c>
    </row>
    <row r="29" spans="1:291">
      <c r="A29" s="887" t="s">
        <v>506</v>
      </c>
      <c r="B29" s="887"/>
      <c r="E29" s="193" t="s">
        <v>282</v>
      </c>
      <c r="F29" s="194"/>
      <c r="G29" s="887" t="s">
        <v>506</v>
      </c>
      <c r="H29" s="887"/>
      <c r="K29" s="143" t="s">
        <v>1016</v>
      </c>
      <c r="L29" s="142">
        <v>0</v>
      </c>
      <c r="M29" s="886" t="s">
        <v>93</v>
      </c>
      <c r="N29" s="886"/>
      <c r="Q29" s="244" t="s">
        <v>1050</v>
      </c>
      <c r="R29" s="142">
        <v>0</v>
      </c>
      <c r="S29" s="886" t="s">
        <v>93</v>
      </c>
      <c r="T29" s="886"/>
      <c r="W29" s="143" t="s">
        <v>1015</v>
      </c>
      <c r="X29" s="142">
        <v>64</v>
      </c>
      <c r="Y29" s="887" t="s">
        <v>992</v>
      </c>
      <c r="Z29" s="887"/>
      <c r="AC29" s="219" t="s">
        <v>1089</v>
      </c>
      <c r="AD29" s="219">
        <f>63+46</f>
        <v>109</v>
      </c>
      <c r="AE29" s="886" t="s">
        <v>93</v>
      </c>
      <c r="AF29" s="88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0" t="s">
        <v>1536</v>
      </c>
      <c r="EM29" s="88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6" t="s">
        <v>506</v>
      </c>
      <c r="JF29" s="388" t="s">
        <v>1960</v>
      </c>
      <c r="JG29" s="273">
        <f>SUM(JI12:JI15)</f>
        <v>156875.80412602739</v>
      </c>
      <c r="JH29" s="337" t="s">
        <v>2737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Z29" s="337" t="s">
        <v>2922</v>
      </c>
      <c r="KA29" s="61">
        <f>48.9</f>
        <v>48.9</v>
      </c>
      <c r="KB29" s="796" t="s">
        <v>93</v>
      </c>
      <c r="KE29">
        <v>109.67</v>
      </c>
    </row>
    <row r="30" spans="1:291">
      <c r="A30" s="887" t="s">
        <v>992</v>
      </c>
      <c r="B30" s="887"/>
      <c r="E30" s="193" t="s">
        <v>372</v>
      </c>
      <c r="F30" s="194"/>
      <c r="G30" s="887" t="s">
        <v>992</v>
      </c>
      <c r="H30" s="887"/>
      <c r="K30" s="143" t="s">
        <v>1015</v>
      </c>
      <c r="L30" s="142">
        <v>64</v>
      </c>
      <c r="M30" s="861" t="s">
        <v>385</v>
      </c>
      <c r="N30" s="861"/>
      <c r="Q30"/>
      <c r="S30" s="861" t="s">
        <v>385</v>
      </c>
      <c r="T30" s="861"/>
      <c r="W30" s="143" t="s">
        <v>1014</v>
      </c>
      <c r="X30" s="142">
        <v>100.01</v>
      </c>
      <c r="Y30" s="886" t="s">
        <v>93</v>
      </c>
      <c r="Z30" s="886"/>
      <c r="AC30" s="142" t="s">
        <v>1087</v>
      </c>
      <c r="AD30" s="142">
        <v>65</v>
      </c>
      <c r="AE30" s="861" t="s">
        <v>385</v>
      </c>
      <c r="AF30" s="86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0" t="s">
        <v>1747</v>
      </c>
      <c r="FK30" s="88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2764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2764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1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6" t="s">
        <v>2681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2741</v>
      </c>
      <c r="JI30" s="533">
        <f>8.65*2</f>
        <v>17.3</v>
      </c>
      <c r="JJ30" s="703"/>
      <c r="JL30" s="346" t="s">
        <v>2166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Z30" s="337" t="s">
        <v>1863</v>
      </c>
      <c r="KA30" s="533"/>
      <c r="KB30" s="796" t="s">
        <v>1034</v>
      </c>
    </row>
    <row r="31" spans="1:291" ht="12.75" customHeight="1">
      <c r="A31" s="886" t="s">
        <v>93</v>
      </c>
      <c r="B31" s="886"/>
      <c r="E31" s="193" t="s">
        <v>1007</v>
      </c>
      <c r="F31" s="170"/>
      <c r="G31" s="886" t="s">
        <v>93</v>
      </c>
      <c r="H31" s="886"/>
      <c r="K31" s="143" t="s">
        <v>1014</v>
      </c>
      <c r="L31" s="142">
        <v>50.01</v>
      </c>
      <c r="M31" s="885" t="s">
        <v>1001</v>
      </c>
      <c r="N31" s="885"/>
      <c r="Q31" s="143" t="s">
        <v>1052</v>
      </c>
      <c r="R31" s="142">
        <v>26</v>
      </c>
      <c r="S31" s="885" t="s">
        <v>1001</v>
      </c>
      <c r="T31" s="885"/>
      <c r="W31"/>
      <c r="Y31" s="861" t="s">
        <v>385</v>
      </c>
      <c r="Z31" s="861"/>
      <c r="AC31" s="142" t="s">
        <v>1090</v>
      </c>
      <c r="AD31" s="142">
        <v>10</v>
      </c>
      <c r="AE31" s="885" t="s">
        <v>1001</v>
      </c>
      <c r="AF31" s="88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2682</v>
      </c>
      <c r="JC31" s="533">
        <v>74.959999999999994</v>
      </c>
      <c r="JD31" s="616" t="s">
        <v>1034</v>
      </c>
      <c r="JF31" s="346" t="s">
        <v>2166</v>
      </c>
      <c r="JG31" s="363">
        <f>SUM(JI9:JI11)</f>
        <v>2683.17</v>
      </c>
      <c r="JH31" s="337" t="s">
        <v>2752</v>
      </c>
      <c r="JI31" s="533">
        <f>6.2+29.5</f>
        <v>35.700000000000003</v>
      </c>
      <c r="JL31" s="348" t="s">
        <v>2167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2823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796" t="s">
        <v>2717</v>
      </c>
      <c r="KA31" s="78">
        <v>8</v>
      </c>
    </row>
    <row r="32" spans="1:291">
      <c r="A32" s="861" t="s">
        <v>385</v>
      </c>
      <c r="B32" s="861"/>
      <c r="E32" s="170"/>
      <c r="F32" s="170"/>
      <c r="G32" s="861" t="s">
        <v>385</v>
      </c>
      <c r="H32" s="861"/>
      <c r="K32"/>
      <c r="M32" s="882" t="s">
        <v>243</v>
      </c>
      <c r="N32" s="882"/>
      <c r="Q32" s="143" t="s">
        <v>1051</v>
      </c>
      <c r="R32" s="142">
        <v>55</v>
      </c>
      <c r="S32" s="882" t="s">
        <v>243</v>
      </c>
      <c r="T32" s="882"/>
      <c r="W32" s="243" t="s">
        <v>1072</v>
      </c>
      <c r="X32" s="243">
        <v>0</v>
      </c>
      <c r="Y32" s="885" t="s">
        <v>1001</v>
      </c>
      <c r="Z32" s="885"/>
      <c r="AE32" s="882" t="s">
        <v>243</v>
      </c>
      <c r="AF32" s="88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90" t="s">
        <v>1438</v>
      </c>
      <c r="DP32" s="89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2764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8" t="s">
        <v>2171</v>
      </c>
      <c r="IO32" s="838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0" t="s">
        <v>2381</v>
      </c>
      <c r="IZ32" s="346" t="s">
        <v>2166</v>
      </c>
      <c r="JA32" s="2">
        <f>SUM(JC11:JC13)</f>
        <v>762.4899999999999</v>
      </c>
      <c r="JB32" s="656" t="s">
        <v>2705</v>
      </c>
      <c r="JC32" s="533">
        <v>74.13</v>
      </c>
      <c r="JF32" s="348" t="s">
        <v>2167</v>
      </c>
      <c r="JG32" s="2">
        <f>SUM(JI16:JI24)</f>
        <v>412.16</v>
      </c>
      <c r="JH32" s="662" t="s">
        <v>2717</v>
      </c>
      <c r="JI32" s="78">
        <v>78</v>
      </c>
      <c r="JJ32" s="662" t="s">
        <v>506</v>
      </c>
      <c r="JL32" s="337" t="s">
        <v>2165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2843</v>
      </c>
      <c r="JZ32" s="9" t="s">
        <v>2197</v>
      </c>
      <c r="KA32" s="534">
        <f>201+314</f>
        <v>515</v>
      </c>
    </row>
    <row r="33" spans="1:291">
      <c r="A33" s="885" t="s">
        <v>1001</v>
      </c>
      <c r="B33" s="885"/>
      <c r="C33" s="3"/>
      <c r="D33" s="3"/>
      <c r="E33" s="246"/>
      <c r="F33" s="246"/>
      <c r="G33" s="885" t="s">
        <v>1001</v>
      </c>
      <c r="H33" s="885"/>
      <c r="K33" s="243" t="s">
        <v>1021</v>
      </c>
      <c r="L33" s="243"/>
      <c r="M33" s="888" t="s">
        <v>1034</v>
      </c>
      <c r="N33" s="888"/>
      <c r="Q33" s="143" t="s">
        <v>1016</v>
      </c>
      <c r="R33" s="142">
        <v>77.239999999999995</v>
      </c>
      <c r="S33" s="888" t="s">
        <v>1034</v>
      </c>
      <c r="T33" s="888"/>
      <c r="Y33" s="882" t="s">
        <v>243</v>
      </c>
      <c r="Z33" s="882"/>
      <c r="AC33" s="197" t="s">
        <v>1012</v>
      </c>
      <c r="AD33" s="142">
        <v>350</v>
      </c>
      <c r="AE33" s="888" t="s">
        <v>1034</v>
      </c>
      <c r="AF33" s="88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3" t="s">
        <v>1411</v>
      </c>
      <c r="DB33" s="89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1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09" t="s">
        <v>2601</v>
      </c>
      <c r="IW33" s="532">
        <v>70</v>
      </c>
      <c r="IX33" s="570" t="s">
        <v>1674</v>
      </c>
      <c r="IZ33" s="348" t="s">
        <v>2167</v>
      </c>
      <c r="JA33" s="2">
        <f>SUM(JC17:JC25)</f>
        <v>1699.2099999999998</v>
      </c>
      <c r="JB33" s="656" t="s">
        <v>2708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2" t="s">
        <v>93</v>
      </c>
      <c r="JL33" s="337" t="s">
        <v>2823</v>
      </c>
      <c r="JM33" s="2">
        <f>SUM(JO23:JO27)</f>
        <v>251.23</v>
      </c>
      <c r="JN33" s="409">
        <v>40</v>
      </c>
      <c r="JO33" s="543" t="s">
        <v>2790</v>
      </c>
      <c r="JT33" s="409">
        <v>10</v>
      </c>
      <c r="JU33" s="543" t="s">
        <v>1828</v>
      </c>
      <c r="JZ33" s="412">
        <v>109.67</v>
      </c>
      <c r="KA33" s="534"/>
      <c r="KB33" s="796" t="s">
        <v>2766</v>
      </c>
    </row>
    <row r="34" spans="1:291">
      <c r="A34" s="882" t="s">
        <v>243</v>
      </c>
      <c r="B34" s="882"/>
      <c r="E34" s="170"/>
      <c r="F34" s="170"/>
      <c r="G34" s="882" t="s">
        <v>243</v>
      </c>
      <c r="H34" s="88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8" t="s">
        <v>1034</v>
      </c>
      <c r="Z34" s="88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0">
        <v>8.67</v>
      </c>
      <c r="IZ34" s="337" t="s">
        <v>2165</v>
      </c>
      <c r="JA34" s="2">
        <f>SUM(JC26:JC34)</f>
        <v>354.85099999999994</v>
      </c>
      <c r="JB34" s="337" t="s">
        <v>2703</v>
      </c>
      <c r="JC34" s="61">
        <v>55</v>
      </c>
      <c r="JF34" s="337" t="s">
        <v>2823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2781</v>
      </c>
      <c r="JP34" s="711" t="s">
        <v>506</v>
      </c>
      <c r="JR34" s="341" t="s">
        <v>2874</v>
      </c>
      <c r="JS34" s="353">
        <v>100</v>
      </c>
      <c r="JT34" s="409">
        <v>10</v>
      </c>
      <c r="JU34" s="543" t="s">
        <v>2845</v>
      </c>
      <c r="JY34" s="494"/>
      <c r="JZ34" s="386" t="s">
        <v>1411</v>
      </c>
      <c r="KA34" s="408">
        <f>JW19+JY39+JY7-KC18</f>
        <v>130</v>
      </c>
    </row>
    <row r="35" spans="1:291" ht="14.25" customHeight="1">
      <c r="A35" s="889" t="s">
        <v>342</v>
      </c>
      <c r="B35" s="889"/>
      <c r="E35" s="187" t="s">
        <v>368</v>
      </c>
      <c r="F35" s="170"/>
      <c r="G35" s="889" t="s">
        <v>342</v>
      </c>
      <c r="H35" s="88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2764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2823</v>
      </c>
      <c r="JA35" s="2">
        <f>SUM(JC28:JC34)</f>
        <v>337.85099999999994</v>
      </c>
      <c r="JB35" s="616" t="s">
        <v>2718</v>
      </c>
      <c r="JC35" s="78">
        <v>16.87</v>
      </c>
      <c r="JH35" s="386" t="s">
        <v>1411</v>
      </c>
      <c r="JI35" s="408">
        <f>JE21+JG37-JK22</f>
        <v>100</v>
      </c>
      <c r="JL35" s="714" t="s">
        <v>2822</v>
      </c>
      <c r="JM35" s="353">
        <f>50+400+200+100</f>
        <v>750</v>
      </c>
      <c r="JN35" s="409">
        <v>9</v>
      </c>
      <c r="JO35" s="543" t="s">
        <v>2780</v>
      </c>
      <c r="JP35" s="711" t="s">
        <v>93</v>
      </c>
      <c r="JT35" s="409">
        <v>10</v>
      </c>
      <c r="JU35" s="543" t="s">
        <v>2857</v>
      </c>
      <c r="JZ35" s="409">
        <v>34</v>
      </c>
      <c r="KA35" s="822" t="s">
        <v>2900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2715</v>
      </c>
      <c r="JN36" s="409">
        <v>10</v>
      </c>
      <c r="JO36" s="543" t="s">
        <v>2791</v>
      </c>
      <c r="JP36" s="711" t="s">
        <v>1034</v>
      </c>
      <c r="JS36" s="494"/>
      <c r="JT36" s="757" t="s">
        <v>2883</v>
      </c>
      <c r="JU36" s="533">
        <v>139</v>
      </c>
      <c r="JZ36" s="409">
        <v>15</v>
      </c>
      <c r="KA36" s="543" t="s">
        <v>2930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5" t="s">
        <v>1536</v>
      </c>
      <c r="DT37" s="89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0" t="s">
        <v>2743</v>
      </c>
      <c r="JG37" s="353">
        <v>200</v>
      </c>
      <c r="JH37" s="409">
        <v>8</v>
      </c>
      <c r="JI37" s="543" t="s">
        <v>2721</v>
      </c>
      <c r="JN37" s="409">
        <v>192.7</v>
      </c>
      <c r="JO37" s="543" t="s">
        <v>2821</v>
      </c>
      <c r="JS37" s="494"/>
      <c r="JT37" s="819" t="s">
        <v>2896</v>
      </c>
      <c r="JU37" s="820">
        <v>5.35</v>
      </c>
      <c r="JZ37" s="409">
        <v>7</v>
      </c>
      <c r="KA37" s="543" t="s">
        <v>1310</v>
      </c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39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2784</v>
      </c>
      <c r="JT38" s="783" t="s">
        <v>2846</v>
      </c>
      <c r="JU38" s="781">
        <v>2.2000000000000002</v>
      </c>
      <c r="JZ38" s="836">
        <v>20</v>
      </c>
      <c r="KA38" s="837" t="s">
        <v>2937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2764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3"/>
      <c r="JB39" s="409">
        <v>130</v>
      </c>
      <c r="JC39" s="543" t="s">
        <v>2628</v>
      </c>
      <c r="JH39" s="409">
        <v>10</v>
      </c>
      <c r="JI39" s="543" t="s">
        <v>2740</v>
      </c>
      <c r="JM39" s="494"/>
      <c r="JN39" s="409">
        <v>10</v>
      </c>
      <c r="JO39" s="63" t="s">
        <v>2785</v>
      </c>
      <c r="JS39" s="786" t="s">
        <v>2898</v>
      </c>
      <c r="JT39" s="783" t="s">
        <v>2872</v>
      </c>
      <c r="JU39" s="781">
        <v>89.39</v>
      </c>
      <c r="JX39" s="341" t="s">
        <v>2887</v>
      </c>
      <c r="JY39" s="353">
        <v>0</v>
      </c>
      <c r="JZ39" s="409">
        <v>20</v>
      </c>
      <c r="KA39" s="543" t="s">
        <v>2938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90" t="s">
        <v>1438</v>
      </c>
      <c r="DJ40" s="89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8" t="s">
        <v>2171</v>
      </c>
      <c r="II40" s="838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2744</v>
      </c>
      <c r="JL40" s="745"/>
      <c r="JM40" s="494"/>
      <c r="JN40" s="409">
        <f>86*3+96</f>
        <v>354</v>
      </c>
      <c r="JO40" s="63" t="s">
        <v>2786</v>
      </c>
      <c r="JP40" s="745"/>
      <c r="JQ40" s="745"/>
      <c r="JT40" s="780" t="s">
        <v>2847</v>
      </c>
      <c r="JU40" s="781">
        <f>69.93+136.83</f>
        <v>206.76000000000002</v>
      </c>
      <c r="JZ40" s="409">
        <v>20</v>
      </c>
      <c r="KA40" s="543" t="s">
        <v>2940</v>
      </c>
      <c r="KD40" s="813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2777</v>
      </c>
      <c r="JO41" s="533">
        <v>7.5</v>
      </c>
      <c r="JP41" s="724"/>
      <c r="JQ41" s="724"/>
      <c r="JR41" s="757"/>
      <c r="JS41" s="757"/>
      <c r="JT41" s="782" t="s">
        <v>2864</v>
      </c>
      <c r="JU41" s="781">
        <v>18.8</v>
      </c>
      <c r="JV41" s="757"/>
      <c r="JW41" s="757"/>
      <c r="JX41" s="796"/>
      <c r="JY41" s="796"/>
      <c r="JZ41" s="409"/>
      <c r="KA41" s="543"/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2720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2853</v>
      </c>
      <c r="JU42" s="781">
        <v>89.8</v>
      </c>
      <c r="JZ42" s="409"/>
      <c r="KA42" s="543"/>
      <c r="KB42" s="813"/>
      <c r="KC42" s="813"/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796"/>
      <c r="KA43" s="796"/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5"/>
      <c r="IY44" s="745"/>
      <c r="JB44" s="409">
        <v>13</v>
      </c>
      <c r="JC44" s="543" t="s">
        <v>2676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2826</v>
      </c>
      <c r="JO44" s="533">
        <v>13.3</v>
      </c>
      <c r="JT44" s="784" t="s">
        <v>2600</v>
      </c>
      <c r="JU44" s="785">
        <f>80.82+75.78</f>
        <v>156.6</v>
      </c>
      <c r="JX44" s="813"/>
      <c r="JY44" s="813"/>
      <c r="JZ44" s="796" t="s">
        <v>2902</v>
      </c>
      <c r="KA44" s="796">
        <v>31.001000000000001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0" t="s">
        <v>2317</v>
      </c>
      <c r="HY45" s="600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7"/>
      <c r="IW45" s="579"/>
      <c r="JB45" s="609" t="s">
        <v>2646</v>
      </c>
      <c r="JC45" s="532">
        <v>18</v>
      </c>
      <c r="JG45" s="495"/>
      <c r="JH45" s="400" t="s">
        <v>2772</v>
      </c>
      <c r="JI45" s="533">
        <v>65</v>
      </c>
      <c r="JN45" s="711" t="s">
        <v>2825</v>
      </c>
      <c r="JO45" s="533">
        <v>120.36</v>
      </c>
      <c r="JT45" s="805" t="s">
        <v>2901</v>
      </c>
      <c r="JU45" s="806">
        <v>27.83</v>
      </c>
      <c r="JZ45" s="796" t="s">
        <v>2921</v>
      </c>
      <c r="KA45" s="796">
        <v>21.81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6">
        <v>86.8</v>
      </c>
      <c r="JH46" s="504" t="s">
        <v>2709</v>
      </c>
      <c r="JI46" s="533">
        <v>13.3</v>
      </c>
      <c r="JN46" s="400" t="s">
        <v>2812</v>
      </c>
      <c r="JO46" s="533">
        <v>2.79</v>
      </c>
      <c r="JT46" s="805" t="s">
        <v>2877</v>
      </c>
      <c r="JU46" s="806">
        <v>8.61</v>
      </c>
      <c r="JZ46" s="796" t="s">
        <v>2927</v>
      </c>
      <c r="KA46" s="796">
        <v>11.25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2680</v>
      </c>
      <c r="JC47" s="533">
        <v>36.9</v>
      </c>
      <c r="JH47" s="202" t="s">
        <v>2770</v>
      </c>
      <c r="JI47" s="357">
        <v>3</v>
      </c>
      <c r="JN47" s="504" t="s">
        <v>2830</v>
      </c>
      <c r="JO47" s="533">
        <v>8.5500000000000007</v>
      </c>
      <c r="JT47" s="805" t="s">
        <v>2878</v>
      </c>
      <c r="JU47" s="806">
        <v>19.46</v>
      </c>
      <c r="JZ47" s="796" t="s">
        <v>2922</v>
      </c>
      <c r="KA47" s="796">
        <v>117.5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2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2709</v>
      </c>
      <c r="JC48" s="533">
        <v>13.3</v>
      </c>
      <c r="JH48" s="202"/>
      <c r="JI48" s="202"/>
      <c r="JN48" s="504" t="s">
        <v>2831</v>
      </c>
      <c r="JO48" s="533">
        <v>10.35</v>
      </c>
      <c r="JS48" s="65" t="s">
        <v>2892</v>
      </c>
      <c r="JT48" s="805" t="s">
        <v>2880</v>
      </c>
      <c r="JU48" s="807">
        <f>5.42+0.41+0.58+2.33+0.29+0.28+0.26+1.45+0.29+4.73+1.54</f>
        <v>17.579999999999998</v>
      </c>
      <c r="JZ48" s="796" t="s">
        <v>2941</v>
      </c>
      <c r="KA48" s="835">
        <v>36.200000000000003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99" t="s">
        <v>2093</v>
      </c>
      <c r="GZ49" s="360" t="s">
        <v>2111</v>
      </c>
      <c r="HA49" s="6">
        <v>6</v>
      </c>
      <c r="HX49" s="603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2764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2832</v>
      </c>
      <c r="JO49" s="533">
        <v>15.000999999999999</v>
      </c>
      <c r="JS49" s="212" t="s">
        <v>2893</v>
      </c>
      <c r="JT49" s="805" t="s">
        <v>2882</v>
      </c>
      <c r="JU49" s="808">
        <f>0.29*3</f>
        <v>0.86999999999999988</v>
      </c>
      <c r="JZ49" s="813" t="s">
        <v>2942</v>
      </c>
      <c r="KA49" s="813">
        <v>69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99"/>
      <c r="GZ50" t="s">
        <v>2087</v>
      </c>
      <c r="HA50" s="210">
        <v>670.00099999999998</v>
      </c>
      <c r="HX50" s="602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2833</v>
      </c>
      <c r="JO50" s="357">
        <v>7.67</v>
      </c>
      <c r="JS50" s="812"/>
      <c r="JT50" s="809" t="s">
        <v>2884</v>
      </c>
      <c r="JU50" s="807">
        <v>21.27</v>
      </c>
      <c r="JZ50" s="796" t="s">
        <v>2943</v>
      </c>
      <c r="KA50" s="796">
        <v>29.9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99"/>
      <c r="GZ51" s="210" t="s">
        <v>2118</v>
      </c>
      <c r="HX51" s="603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2834</v>
      </c>
      <c r="JO51" s="357">
        <v>3</v>
      </c>
      <c r="JT51" s="810" t="s">
        <v>2881</v>
      </c>
      <c r="JU51" s="811"/>
      <c r="JZ51" s="796" t="s">
        <v>2944</v>
      </c>
      <c r="KA51" s="939">
        <v>2.2000000000000002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99"/>
      <c r="GZ52" t="s">
        <v>2086</v>
      </c>
      <c r="HA52" s="6">
        <v>50.000999999999998</v>
      </c>
      <c r="HF52" s="1"/>
      <c r="HX52" s="603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3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3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2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2359</v>
      </c>
      <c r="IE58">
        <v>8.8000000000000007</v>
      </c>
      <c r="IJ58" s="400" t="s">
        <v>2377</v>
      </c>
      <c r="IK58">
        <v>150</v>
      </c>
      <c r="IP58" s="577" t="s">
        <v>2536</v>
      </c>
      <c r="IQ58" s="357">
        <v>22.6</v>
      </c>
      <c r="JB58" s="400"/>
      <c r="JC58" s="202"/>
      <c r="KC58" s="390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8" sqref="P8"/>
    </sheetView>
  </sheetViews>
  <sheetFormatPr defaultRowHeight="12.75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67" bestFit="1" customWidth="1"/>
    <col min="7" max="7" width="4" style="767" bestFit="1" customWidth="1"/>
    <col min="8" max="8" width="8.85546875" style="767"/>
    <col min="9" max="9" width="1.7109375" style="767" customWidth="1"/>
    <col min="10" max="10" width="9.7109375" style="767" bestFit="1" customWidth="1"/>
    <col min="11" max="11" width="4" style="767" bestFit="1" customWidth="1"/>
    <col min="12" max="12" width="8.85546875" style="767"/>
    <col min="13" max="13" width="1.7109375" style="767" customWidth="1"/>
    <col min="14" max="14" width="9.7109375" style="767" bestFit="1" customWidth="1"/>
    <col min="15" max="15" width="4" style="767" bestFit="1" customWidth="1"/>
    <col min="16" max="16" width="8.85546875" style="767"/>
  </cols>
  <sheetData>
    <row r="1" spans="2:16" s="767" customFormat="1" ht="5.45" customHeight="1"/>
    <row r="2" spans="2:16" s="767" customFormat="1">
      <c r="D2" t="s">
        <v>2838</v>
      </c>
      <c r="G2" s="767" t="s">
        <v>2839</v>
      </c>
      <c r="H2" s="767" t="s">
        <v>2838</v>
      </c>
      <c r="K2" s="767" t="s">
        <v>2839</v>
      </c>
      <c r="L2" s="767" t="s">
        <v>2838</v>
      </c>
      <c r="O2" s="767" t="s">
        <v>2839</v>
      </c>
      <c r="P2" s="767" t="s">
        <v>2838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2840</v>
      </c>
      <c r="H35" s="767">
        <f>SUM(H2:H33)</f>
        <v>1167.3630136986305</v>
      </c>
      <c r="J35" s="767" t="s">
        <v>2842</v>
      </c>
      <c r="L35" s="767">
        <f>SUM(L2:L33)</f>
        <v>1493.4931506849321</v>
      </c>
      <c r="N35" s="767" t="s">
        <v>2841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2023-07-09T08:18:02Z</dcterms:modified>
</cp:coreProperties>
</file>