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01" windowHeight="11520" activeTab="2"/>
  </bookViews>
  <sheets>
    <sheet name="monthly fees" sheetId="1" r:id="rId1"/>
    <sheet name="cashflow proj" sheetId="2" r:id="rId2"/>
    <sheet name="40-20-20" sheetId="4" r:id="rId3"/>
    <sheet name="Genn projection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<sst xmlns="http://schemas.openxmlformats.org/spreadsheetml/2006/main" count="199" uniqueCount="103">
  <si>
    <t>This tab includes all and only monthly recurring fees.</t>
  </si>
  <si>
    <t>first deposit, based on Year 1 discount</t>
  </si>
  <si>
    <t>without discount</t>
  </si>
  <si>
    <t>second deposit, based on Year 1 discount</t>
  </si>
  <si>
    <t xml:space="preserve">new </t>
  </si>
  <si>
    <t>基本房费</t>
  </si>
  <si>
    <t>-&gt; based on Year1 deposit</t>
  </si>
  <si>
    <t>after discount</t>
  </si>
  <si>
    <t>2nd person入住</t>
  </si>
  <si>
    <t>food x 2</t>
  </si>
  <si>
    <t>tiered护理GM</t>
  </si>
  <si>
    <t>tiered护理GP #est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</si>
  <si>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</si>
  <si>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</si>
  <si>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</si>
  <si>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</si>
  <si>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</si>
  <si>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</si>
  <si>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</si>
  <si>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</si>
  <si>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</si>
  <si>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</si>
  <si>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</si>
  <si>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</si>
  <si>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</si>
  <si>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</si>
  <si>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</si>
  <si>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</si>
  <si>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</si>
  <si>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</si>
  <si>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</si>
  <si>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</si>
  <si>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</si>
  <si>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</si>
  <si>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</si>
  <si>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</si>
  <si>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</si>
  <si>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</si>
  <si>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</si>
  <si>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</si>
  <si>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</si>
  <si>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</si>
  <si>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</si>
  <si>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</si>
  <si>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</si>
  <si>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</si>
  <si>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</si>
  <si>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</si>
  <si>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</si>
  <si>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AA+BB snapshot 21-Dec-24</t>
  </si>
  <si>
    <r>
      <rPr>
        <sz val="11"/>
        <color theme="1"/>
        <rFont val="等线"/>
        <charset val="134"/>
        <scheme val="minor"/>
      </rPr>
      <t xml:space="preserve">Grandma need </t>
    </r>
    <r>
      <rPr>
        <b/>
        <sz val="11"/>
        <color theme="1"/>
        <rFont val="等线"/>
        <charset val="134"/>
        <scheme val="minor"/>
      </rPr>
      <t>interest income</t>
    </r>
    <r>
      <rPr>
        <sz val="11"/>
        <color theme="1"/>
        <rFont val="等线"/>
        <charset val="134"/>
        <scheme val="minor"/>
      </rPr>
      <t>, so she deserves any  interest earned on the "principal amount beyond my own  1560k"</t>
    </r>
  </si>
  <si>
    <t>..grandpa ICBC TD</t>
  </si>
  <si>
    <t>..grandpa ICBC Rmb sav</t>
  </si>
  <si>
    <t>USD 2k</t>
  </si>
  <si>
    <t>..grandpa ICBC USD</t>
  </si>
  <si>
    <t>..grandpa ICBC total-per-mobank</t>
  </si>
  <si>
    <t>..grandpa PSBC</t>
  </si>
  <si>
    <t xml:space="preserve">AA: grandpa total/000  </t>
  </si>
  <si>
    <t>Mum</t>
  </si>
  <si>
    <t>Victor</t>
  </si>
  <si>
    <t>Gen</t>
  </si>
  <si>
    <t xml:space="preserve">BB: grandma total/000  </t>
  </si>
  <si>
    <t>..grandma ICBC total-per-mobank</t>
  </si>
  <si>
    <t>FD</t>
  </si>
  <si>
    <t>..grandma PSBC</t>
  </si>
  <si>
    <t>..lent to Genn HSBC</t>
  </si>
  <si>
    <t>ICBC</t>
  </si>
  <si>
    <t>sales</t>
  </si>
  <si>
    <t>exp</t>
  </si>
  <si>
    <t>net</t>
  </si>
  <si>
    <t>less TB</t>
  </si>
  <si>
    <t xml:space="preserve">net </t>
  </si>
  <si>
    <t>Option 1</t>
  </si>
  <si>
    <t>Split Dad's amount 1/3 each</t>
  </si>
  <si>
    <t>Balance</t>
  </si>
  <si>
    <t>no. of years DJDJ payment</t>
  </si>
  <si>
    <t>Option 2</t>
  </si>
  <si>
    <t>Split $6m 1/3 each</t>
  </si>
  <si>
    <t>Option 3</t>
  </si>
  <si>
    <t>Split total proceed to 50/25/25</t>
  </si>
  <si>
    <t>Dad's other asset</t>
  </si>
  <si>
    <t xml:space="preserve">Amount to transfer </t>
  </si>
  <si>
    <t>back in</t>
  </si>
  <si>
    <t>out</t>
  </si>
  <si>
    <t>less TB 20%</t>
  </si>
  <si>
    <t>^^ 80% of property ^^</t>
  </si>
  <si>
    <t>^^ 40% of prop</t>
  </si>
  <si>
    <t>^^ 20% of prop</t>
  </si>
  <si>
    <t>Dad's other asset before mid 2024</t>
  </si>
  <si>
    <t>Gramma</t>
  </si>
  <si>
    <t>Granpa</t>
  </si>
  <si>
    <t>Total</t>
  </si>
  <si>
    <t>running total</t>
  </si>
  <si>
    <t>Term Deposit</t>
  </si>
  <si>
    <t>Savings</t>
  </si>
  <si>
    <t>PSBC</t>
  </si>
  <si>
    <t>Sales - first payment</t>
  </si>
  <si>
    <t>Sales - second payment</t>
  </si>
  <si>
    <t>transfer to CiticTrust</t>
  </si>
  <si>
    <t>salary</t>
  </si>
  <si>
    <t>Sales - Final settlement</t>
  </si>
  <si>
    <t>Interest</t>
  </si>
  <si>
    <t>managemet fee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</si>
</sst>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\+0;\-0;0"/>
    <numFmt numFmtId="179" formatCode="_-* #,##0.00_-;\-* #,##0.00_-;_-* &quot;-&quot;??_-;_-@_-"/>
  </numFmts>
  <fonts count="25">
    <font>
      <sz val="11"/>
      <color theme="1"/>
      <name val="等线"/>
      <charset val="134"/>
      <scheme val="minor"/>
    </font>
    <font>
      <sz val="11"/>
      <color theme="0" tint="-0.14999847407452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24" applyNumberFormat="0" applyAlignment="0" applyProtection="0">
      <alignment vertical="center"/>
    </xf>
    <xf numFmtId="0" fontId="14" fillId="5" borderId="25" applyNumberFormat="0" applyAlignment="0" applyProtection="0">
      <alignment vertical="center"/>
    </xf>
    <xf numFmtId="0" fontId="15" fillId="5" borderId="24" applyNumberFormat="0" applyAlignment="0" applyProtection="0">
      <alignment vertical="center"/>
    </xf>
    <xf numFmtId="0" fontId="16" fillId="6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1">
    <xf numFmtId="0" fontId="0" fillId="0" borderId="0" xfId="0"/>
    <xf numFmtId="58" fontId="0" fillId="0" borderId="0" xfId="0" applyNumberFormat="1"/>
    <xf numFmtId="3" fontId="0" fillId="0" borderId="0" xfId="0" applyNumberFormat="1"/>
    <xf numFmtId="43" fontId="0" fillId="0" borderId="0" xfId="1" applyFont="1"/>
    <xf numFmtId="3" fontId="0" fillId="0" borderId="1" xfId="0" applyNumberFormat="1" applyBorder="1"/>
    <xf numFmtId="3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textRotation="90"/>
    </xf>
    <xf numFmtId="177" fontId="0" fillId="0" borderId="0" xfId="1" applyNumberFormat="1" applyFont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9" xfId="0" applyBorder="1"/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0" fillId="0" borderId="8" xfId="0" applyBorder="1"/>
    <xf numFmtId="0" fontId="0" fillId="0" borderId="10" xfId="0" applyBorder="1"/>
    <xf numFmtId="3" fontId="0" fillId="0" borderId="10" xfId="0" applyNumberFormat="1" applyBorder="1"/>
    <xf numFmtId="177" fontId="0" fillId="0" borderId="10" xfId="1" applyNumberFormat="1" applyFont="1" applyBorder="1"/>
    <xf numFmtId="178" fontId="0" fillId="0" borderId="10" xfId="0" applyNumberFormat="1" applyBorder="1"/>
    <xf numFmtId="0" fontId="0" fillId="0" borderId="10" xfId="0" applyBorder="1" applyAlignment="1">
      <alignment horizontal="left"/>
    </xf>
    <xf numFmtId="177" fontId="0" fillId="0" borderId="11" xfId="1" applyNumberFormat="1" applyFont="1" applyBorder="1"/>
    <xf numFmtId="0" fontId="0" fillId="0" borderId="12" xfId="0" applyBorder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right"/>
    </xf>
    <xf numFmtId="15" fontId="0" fillId="0" borderId="4" xfId="0" applyNumberFormat="1" applyBorder="1" applyAlignment="1">
      <alignment horizontal="center" vertical="center" textRotation="90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179" fontId="0" fillId="0" borderId="0" xfId="0" applyNumberFormat="1"/>
    <xf numFmtId="43" fontId="1" fillId="0" borderId="14" xfId="1" applyFont="1" applyBorder="1"/>
    <xf numFmtId="43" fontId="1" fillId="0" borderId="18" xfId="1" applyFont="1" applyBorder="1"/>
    <xf numFmtId="43" fontId="1" fillId="0" borderId="0" xfId="1" applyFont="1" applyBorder="1"/>
    <xf numFmtId="43" fontId="1" fillId="0" borderId="19" xfId="1" applyFont="1" applyBorder="1"/>
    <xf numFmtId="43" fontId="1" fillId="0" borderId="17" xfId="1" applyFont="1" applyBorder="1"/>
    <xf numFmtId="43" fontId="1" fillId="0" borderId="20" xfId="1" applyFont="1" applyBorder="1"/>
    <xf numFmtId="0" fontId="1" fillId="0" borderId="0" xfId="0" applyFont="1" applyAlignment="1">
      <alignment horizontal="right"/>
    </xf>
    <xf numFmtId="43" fontId="1" fillId="0" borderId="0" xfId="1" applyFont="1"/>
    <xf numFmtId="179" fontId="1" fillId="0" borderId="0" xfId="0" applyNumberFormat="1" applyFont="1"/>
    <xf numFmtId="43" fontId="0" fillId="0" borderId="14" xfId="1" applyFont="1" applyBorder="1"/>
    <xf numFmtId="43" fontId="0" fillId="0" borderId="18" xfId="1" applyFont="1" applyBorder="1"/>
    <xf numFmtId="43" fontId="0" fillId="0" borderId="0" xfId="1" applyFont="1" applyBorder="1"/>
    <xf numFmtId="43" fontId="0" fillId="0" borderId="19" xfId="1" applyFon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43" fontId="2" fillId="0" borderId="0" xfId="1" applyFont="1" applyBorder="1"/>
    <xf numFmtId="43" fontId="0" fillId="0" borderId="17" xfId="1" applyFont="1" applyBorder="1"/>
    <xf numFmtId="43" fontId="0" fillId="0" borderId="20" xfId="1" applyFont="1" applyBorder="1"/>
    <xf numFmtId="0" fontId="0" fillId="0" borderId="0" xfId="0" applyAlignment="1">
      <alignment horizontal="right"/>
    </xf>
    <xf numFmtId="43" fontId="3" fillId="2" borderId="0" xfId="1" applyFont="1" applyFill="1"/>
    <xf numFmtId="43" fontId="0" fillId="0" borderId="0" xfId="0" applyNumberFormat="1"/>
    <xf numFmtId="43" fontId="4" fillId="0" borderId="10" xfId="1" applyFont="1" applyBorder="1"/>
    <xf numFmtId="0" fontId="0" fillId="0" borderId="0" xfId="0" quotePrefix="1"/>
    <xf numFmtId="43" fontId="0" fillId="0" borderId="0" xfId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9"/>
  <sheetViews>
    <sheetView workbookViewId="0">
      <selection activeCell="F13" sqref="F13"/>
    </sheetView>
  </sheetViews>
  <sheetFormatPr defaultColWidth="9" defaultRowHeight="14.4" outlineLevelCol="7"/>
  <cols>
    <col min="1" max="1" width="2.28318584070796" customWidth="1"/>
    <col min="2" max="2" width="17.5663716814159" style="3" customWidth="1"/>
    <col min="3" max="3" width="10.141592920354" style="3" customWidth="1"/>
    <col min="4" max="4" width="22.5663716814159" customWidth="1"/>
    <col min="5" max="5" width="10.141592920354" style="3" customWidth="1"/>
    <col min="6" max="6" width="11.141592920354" customWidth="1"/>
    <col min="7" max="7" width="12.5663716814159" style="3" customWidth="1"/>
  </cols>
  <sheetData>
    <row r="1" spans="2:2">
      <c r="B1" s="3" t="s">
        <v>0</v>
      </c>
    </row>
    <row r="3" spans="2:8">
      <c r="B3" s="3">
        <v>248966.88</v>
      </c>
      <c r="C3" s="3" t="s">
        <v>1</v>
      </c>
      <c r="H3" t="s">
        <v>2</v>
      </c>
    </row>
    <row r="4" spans="2:8">
      <c r="B4" s="3">
        <v>12768</v>
      </c>
      <c r="C4" s="3" t="s">
        <v>3</v>
      </c>
      <c r="E4" s="3" t="s">
        <v>4</v>
      </c>
      <c r="H4">
        <f>C5/0.95/0.8</f>
        <v>28699</v>
      </c>
    </row>
    <row r="5" spans="2:6">
      <c r="B5" s="44" t="s">
        <v>5</v>
      </c>
      <c r="C5" s="44">
        <f>SUM(B3:B4)/12</f>
        <v>21811.24</v>
      </c>
      <c r="D5" s="71" t="s">
        <v>6</v>
      </c>
      <c r="E5" s="3">
        <v>12159.24</v>
      </c>
      <c r="F5" t="s">
        <v>7</v>
      </c>
    </row>
    <row r="6" spans="2:3">
      <c r="B6" s="44"/>
      <c r="C6" s="44"/>
    </row>
    <row r="7" spans="2:3">
      <c r="B7" s="44" t="s">
        <v>8</v>
      </c>
      <c r="C7" s="44">
        <v>2500</v>
      </c>
    </row>
    <row r="8" spans="2:5">
      <c r="B8" s="44" t="s">
        <v>9</v>
      </c>
      <c r="C8" s="44">
        <f>1800*2</f>
        <v>3600</v>
      </c>
      <c r="E8" s="3">
        <v>1800</v>
      </c>
    </row>
    <row r="9" spans="2:5">
      <c r="B9" s="44" t="s">
        <v>10</v>
      </c>
      <c r="C9" s="44">
        <v>1000</v>
      </c>
      <c r="E9" s="3">
        <v>4000</v>
      </c>
    </row>
    <row r="10" spans="2:3">
      <c r="B10" s="44" t="s">
        <v>11</v>
      </c>
      <c r="C10" s="70">
        <v>4000</v>
      </c>
    </row>
    <row r="11" spans="2:3">
      <c r="B11" s="44"/>
      <c r="C11" s="44"/>
    </row>
    <row r="12" spans="2:6">
      <c r="B12" s="44" t="s">
        <v>12</v>
      </c>
      <c r="C12" s="44">
        <f>SUM(C5:C10)</f>
        <v>32911.24</v>
      </c>
      <c r="E12" s="3">
        <f>SUM(E5:E10)</f>
        <v>17959.24</v>
      </c>
      <c r="F12" s="47">
        <f>E12*12</f>
        <v>215510.88</v>
      </c>
    </row>
    <row r="13" spans="6:7">
      <c r="F13">
        <f>7600000-1560000</f>
        <v>6040000</v>
      </c>
      <c r="G13" s="3">
        <f>F13/2</f>
        <v>3020000</v>
      </c>
    </row>
    <row r="14" spans="6:7">
      <c r="F14" s="47"/>
      <c r="G14" s="3">
        <f>G13/F12</f>
        <v>14.0132136252239</v>
      </c>
    </row>
    <row r="16" spans="3:3">
      <c r="C16" s="3">
        <v>15000</v>
      </c>
    </row>
    <row r="17" spans="3:5">
      <c r="C17" s="3">
        <v>9000</v>
      </c>
      <c r="E17" s="3">
        <v>9000</v>
      </c>
    </row>
    <row r="19" spans="3:5">
      <c r="C19" s="3">
        <f>C12-C16-C17</f>
        <v>8911.24000000001</v>
      </c>
      <c r="E19" s="3">
        <f>E12-E16-E17</f>
        <v>8959.24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77"/>
  <sheetViews>
    <sheetView topLeftCell="A17" workbookViewId="0">
      <selection activeCell="H71" sqref="H71"/>
    </sheetView>
  </sheetViews>
  <sheetFormatPr defaultColWidth="9" defaultRowHeight="14.4"/>
  <cols>
    <col min="1" max="1" width="3.28318584070796" customWidth="1"/>
    <col min="2" max="2" width="6.70796460176991" style="2" customWidth="1"/>
    <col min="3" max="3" width="7.56637168141593" style="2" customWidth="1"/>
    <col min="4" max="4" width="9.14159292035398" customWidth="1"/>
    <col min="5" max="5" width="33.283185840708" customWidth="1"/>
    <col min="6" max="6" width="4.56637168141593" customWidth="1"/>
    <col min="7" max="7" width="5" customWidth="1"/>
    <col min="8" max="8" width="8" customWidth="1"/>
    <col min="9" max="9" width="26" style="3" customWidth="1"/>
    <col min="10" max="10" width="12.5663716814159" customWidth="1"/>
    <col min="11" max="12" width="13.283185840708" style="3" customWidth="1"/>
    <col min="13" max="13" width="12.5663716814159" style="3" customWidth="1"/>
  </cols>
  <sheetData>
    <row r="1" ht="5.1" customHeight="1"/>
    <row r="2" spans="2:9">
      <c r="B2" s="4" t="s">
        <v>13</v>
      </c>
      <c r="C2" s="5"/>
      <c r="D2" s="6">
        <v>380</v>
      </c>
      <c r="E2" s="7" t="s">
        <v>14</v>
      </c>
      <c r="F2" s="8" t="s">
        <v>15</v>
      </c>
      <c r="H2" s="9">
        <v>23000</v>
      </c>
      <c r="I2" s="72" t="s">
        <v>16</v>
      </c>
    </row>
    <row r="3" spans="2:6">
      <c r="B3" s="10"/>
      <c r="D3">
        <v>80</v>
      </c>
      <c r="E3" s="11" t="s">
        <v>17</v>
      </c>
      <c r="F3" s="8"/>
    </row>
    <row r="4" spans="2:6">
      <c r="B4" s="12">
        <f>SUM(D2:D3)</f>
        <v>460</v>
      </c>
      <c r="C4" s="13"/>
      <c r="D4" s="13"/>
      <c r="E4" s="14" t="s">
        <v>18</v>
      </c>
      <c r="F4" s="8"/>
    </row>
    <row r="5" spans="2:6">
      <c r="B5" s="15">
        <f>SUM(D6:D7)</f>
        <v>1290</v>
      </c>
      <c r="C5" s="16"/>
      <c r="D5" s="16"/>
      <c r="E5" s="11" t="s">
        <v>19</v>
      </c>
      <c r="F5" s="8"/>
    </row>
    <row r="6" spans="2:6">
      <c r="B6" s="10" t="s">
        <v>20</v>
      </c>
      <c r="D6">
        <v>950</v>
      </c>
      <c r="E6" s="11" t="s">
        <v>21</v>
      </c>
      <c r="F6" s="8"/>
    </row>
    <row r="7" spans="2:6">
      <c r="B7" s="17" t="s">
        <v>20</v>
      </c>
      <c r="C7" s="18"/>
      <c r="D7" s="19">
        <v>340</v>
      </c>
      <c r="E7" s="14" t="s">
        <v>22</v>
      </c>
      <c r="F7" s="8"/>
    </row>
    <row r="8" ht="3" customHeight="1"/>
    <row r="9" spans="2:9">
      <c r="B9" s="20" t="s">
        <v>23</v>
      </c>
      <c r="C9" s="20" t="s">
        <v>24</v>
      </c>
      <c r="D9" s="21" t="s">
        <v>25</v>
      </c>
      <c r="E9" s="20" t="s">
        <v>26</v>
      </c>
      <c r="F9" s="20"/>
      <c r="H9" s="22">
        <f>1800*2</f>
        <v>3600</v>
      </c>
      <c r="I9" s="44" t="s">
        <v>27</v>
      </c>
    </row>
    <row r="10" spans="2:9">
      <c r="B10" s="23" t="s">
        <v>28</v>
      </c>
      <c r="C10" s="23"/>
      <c r="D10" s="21">
        <f>B4+B5</f>
        <v>1750</v>
      </c>
      <c r="E10" s="20" t="s">
        <v>29</v>
      </c>
      <c r="F10" s="20"/>
      <c r="H10" s="22">
        <v>1000</v>
      </c>
      <c r="I10" s="44" t="s">
        <v>30</v>
      </c>
    </row>
    <row r="11" spans="2:9">
      <c r="B11" s="23">
        <v>100</v>
      </c>
      <c r="C11" s="23"/>
      <c r="D11" s="21">
        <f>D10+B11</f>
        <v>1850</v>
      </c>
      <c r="E11" s="20" t="s">
        <v>31</v>
      </c>
      <c r="F11" s="20"/>
      <c r="H11" s="22">
        <v>4000</v>
      </c>
      <c r="I11" s="44" t="s">
        <v>32</v>
      </c>
    </row>
    <row r="12" spans="2:9">
      <c r="B12" s="23">
        <v>200</v>
      </c>
      <c r="C12" s="23"/>
      <c r="D12" s="21">
        <f>D11+B12</f>
        <v>2050</v>
      </c>
      <c r="E12" s="20" t="s">
        <v>33</v>
      </c>
      <c r="F12" s="20"/>
      <c r="H12" s="22">
        <f>2500*12</f>
        <v>30000</v>
      </c>
      <c r="I12" s="44" t="s">
        <v>34</v>
      </c>
    </row>
    <row r="13" spans="2:9">
      <c r="B13" s="23"/>
      <c r="C13" s="23"/>
      <c r="D13" s="21"/>
      <c r="E13" s="20" t="s">
        <v>35</v>
      </c>
      <c r="F13" s="20"/>
      <c r="H13" s="22"/>
      <c r="I13" s="44" t="s">
        <v>36</v>
      </c>
    </row>
    <row r="14" spans="2:9">
      <c r="B14" s="23"/>
      <c r="C14" s="23"/>
      <c r="D14" s="21"/>
      <c r="E14" s="20" t="s">
        <v>37</v>
      </c>
      <c r="F14" s="24">
        <f>320+320</f>
        <v>640</v>
      </c>
      <c r="H14" s="22">
        <f>2000*2</f>
        <v>4000</v>
      </c>
      <c r="I14" s="44" t="s">
        <v>38</v>
      </c>
    </row>
    <row r="15" spans="2:9">
      <c r="B15" s="23"/>
      <c r="C15" s="23"/>
      <c r="D15" s="21"/>
      <c r="E15" s="20" t="s">
        <v>39</v>
      </c>
      <c r="F15" s="24"/>
      <c r="H15" s="22">
        <f>30000*2</f>
        <v>60000</v>
      </c>
      <c r="I15" s="44" t="s">
        <v>40</v>
      </c>
    </row>
    <row r="16" ht="15.15" spans="2:9">
      <c r="B16" s="23">
        <v>7500</v>
      </c>
      <c r="C16" s="23"/>
      <c r="D16" s="21">
        <f>D12+B16</f>
        <v>9550</v>
      </c>
      <c r="E16" s="20" t="s">
        <v>41</v>
      </c>
      <c r="F16" s="20"/>
      <c r="H16" s="25">
        <v>1000</v>
      </c>
      <c r="I16" s="45" t="s">
        <v>42</v>
      </c>
    </row>
    <row r="17" ht="15.15" spans="2:9">
      <c r="B17" s="23">
        <v>100</v>
      </c>
      <c r="C17" s="23"/>
      <c r="D17" s="21">
        <f>D16+B17</f>
        <v>9650</v>
      </c>
      <c r="E17" s="20" t="s">
        <v>43</v>
      </c>
      <c r="F17" s="20"/>
      <c r="H17" s="26">
        <f>SUM(H9:H16)/1000</f>
        <v>103.6</v>
      </c>
      <c r="I17" s="46" t="s">
        <v>44</v>
      </c>
    </row>
    <row r="18" spans="2:6">
      <c r="B18" s="21"/>
      <c r="C18" s="20">
        <f>-H17</f>
        <v>-103.6</v>
      </c>
      <c r="D18" s="21">
        <f>D17+SUM(B18:C18)</f>
        <v>9546.4</v>
      </c>
      <c r="E18" s="20" t="s">
        <v>45</v>
      </c>
      <c r="F18" s="20"/>
    </row>
    <row r="19" spans="2:6">
      <c r="B19" s="23">
        <f>H2/1000*F20</f>
        <v>115</v>
      </c>
      <c r="C19" s="20"/>
      <c r="D19" s="21">
        <f>D18+SUM(B19:C19)</f>
        <v>9661.4</v>
      </c>
      <c r="E19" s="20" t="s">
        <v>46</v>
      </c>
      <c r="F19" s="20"/>
    </row>
    <row r="20" spans="2:6">
      <c r="B20" s="21"/>
      <c r="C20" s="20">
        <f>-9*$F$20</f>
        <v>-45</v>
      </c>
      <c r="D20" s="21">
        <f t="shared" ref="D20:D21" si="0">D19+SUM(B20:C20)</f>
        <v>9616.4</v>
      </c>
      <c r="E20" s="20" t="s">
        <v>47</v>
      </c>
      <c r="F20" s="24">
        <v>5</v>
      </c>
    </row>
    <row r="21" spans="2:6">
      <c r="B21" s="21"/>
      <c r="C21" s="20">
        <f>-5*$F$20</f>
        <v>-25</v>
      </c>
      <c r="D21" s="21">
        <f t="shared" si="0"/>
        <v>9591.4</v>
      </c>
      <c r="E21" s="20" t="s">
        <v>48</v>
      </c>
      <c r="F21" s="20"/>
    </row>
    <row r="22" spans="2:6">
      <c r="B22" s="21"/>
      <c r="C22" s="20"/>
      <c r="D22" s="21"/>
      <c r="E22" s="20"/>
      <c r="F22" s="20"/>
    </row>
    <row r="23" spans="2:9">
      <c r="B23" s="23" t="s">
        <v>28</v>
      </c>
      <c r="C23" s="20"/>
      <c r="D23" s="21">
        <f>SUM(C32:C33)</f>
        <v>9312.443</v>
      </c>
      <c r="E23" s="20" t="s">
        <v>49</v>
      </c>
      <c r="F23" s="20"/>
      <c r="I23" s="3">
        <f>SUM(I34:I36)</f>
        <v>0</v>
      </c>
    </row>
    <row r="24" spans="2:6">
      <c r="B24" s="23"/>
      <c r="C24" s="20"/>
      <c r="D24" s="20"/>
      <c r="E24" s="20"/>
      <c r="F24" s="20"/>
    </row>
    <row r="25" spans="2:2">
      <c r="B25" t="s">
        <v>50</v>
      </c>
    </row>
    <row r="27" spans="2:8">
      <c r="B27" s="27"/>
      <c r="C27" s="28"/>
      <c r="D27" s="29">
        <f>150000+100000</f>
        <v>250000</v>
      </c>
      <c r="E27" s="7" t="s">
        <v>51</v>
      </c>
      <c r="F27" s="30">
        <v>45647</v>
      </c>
      <c r="H27" s="9"/>
    </row>
    <row r="28" spans="2:8">
      <c r="B28" s="10"/>
      <c r="D28" s="2">
        <f>21650+2793</f>
        <v>24443</v>
      </c>
      <c r="E28" s="11" t="s">
        <v>52</v>
      </c>
      <c r="F28" s="30"/>
      <c r="H28" s="9"/>
    </row>
    <row r="29" spans="2:8">
      <c r="B29" s="10"/>
      <c r="D29" s="2" t="s">
        <v>53</v>
      </c>
      <c r="E29" s="11" t="s">
        <v>54</v>
      </c>
      <c r="F29" s="30"/>
      <c r="H29" s="9"/>
    </row>
    <row r="30" spans="2:8">
      <c r="B30" s="10"/>
      <c r="C30"/>
      <c r="D30" s="2">
        <v>291856</v>
      </c>
      <c r="E30" s="11" t="s">
        <v>55</v>
      </c>
      <c r="F30" s="30"/>
      <c r="H30" s="9"/>
    </row>
    <row r="31" spans="2:6">
      <c r="B31" s="10"/>
      <c r="D31" s="2">
        <v>13762</v>
      </c>
      <c r="E31" s="11" t="s">
        <v>56</v>
      </c>
      <c r="F31" s="8"/>
    </row>
    <row r="32" spans="2:13">
      <c r="B32" s="12"/>
      <c r="C32" s="31">
        <f>SUM(D30:D31)/1000</f>
        <v>305.618</v>
      </c>
      <c r="D32" s="13"/>
      <c r="E32" s="14" t="s">
        <v>57</v>
      </c>
      <c r="F32" s="8"/>
      <c r="K32" s="3" t="s">
        <v>58</v>
      </c>
      <c r="L32" s="3" t="s">
        <v>59</v>
      </c>
      <c r="M32" s="3" t="s">
        <v>60</v>
      </c>
    </row>
    <row r="33" spans="2:6">
      <c r="B33" s="15"/>
      <c r="C33" s="32">
        <f>SUM(D34:D36)/1000</f>
        <v>9006.825</v>
      </c>
      <c r="D33" s="16"/>
      <c r="E33" s="11" t="s">
        <v>61</v>
      </c>
      <c r="F33" s="8"/>
    </row>
    <row r="34" spans="2:11">
      <c r="B34" s="10"/>
      <c r="D34" s="32">
        <v>7236396</v>
      </c>
      <c r="E34" s="11" t="s">
        <v>62</v>
      </c>
      <c r="F34" s="8"/>
      <c r="J34" t="s">
        <v>63</v>
      </c>
      <c r="K34" s="3">
        <v>6975800</v>
      </c>
    </row>
    <row r="35" spans="2:11">
      <c r="B35" s="10"/>
      <c r="D35" s="2">
        <v>1270429</v>
      </c>
      <c r="E35" s="11" t="s">
        <v>64</v>
      </c>
      <c r="F35" s="8"/>
      <c r="K35" s="3">
        <v>800000</v>
      </c>
    </row>
    <row r="36" spans="2:10">
      <c r="B36" s="17"/>
      <c r="C36" s="18"/>
      <c r="D36" s="18">
        <v>500000</v>
      </c>
      <c r="E36" s="14" t="s">
        <v>65</v>
      </c>
      <c r="F36" s="8"/>
      <c r="J36" t="s">
        <v>66</v>
      </c>
    </row>
    <row r="38" spans="5:10">
      <c r="E38" t="s">
        <v>67</v>
      </c>
      <c r="I38" s="3">
        <v>7800000</v>
      </c>
      <c r="J38" s="47"/>
    </row>
    <row r="39" spans="5:9">
      <c r="E39" t="s">
        <v>68</v>
      </c>
      <c r="I39" s="3">
        <v>-50000</v>
      </c>
    </row>
    <row r="40" spans="5:9">
      <c r="E40" t="s">
        <v>69</v>
      </c>
      <c r="I40" s="3">
        <f>I38+I39</f>
        <v>7750000</v>
      </c>
    </row>
    <row r="42" spans="5:12">
      <c r="E42" t="s">
        <v>70</v>
      </c>
      <c r="I42" s="3">
        <v>-1560000</v>
      </c>
      <c r="K42" s="3">
        <f>I42+1300000</f>
        <v>-260000</v>
      </c>
      <c r="L42" s="3">
        <f>-K42</f>
        <v>260000</v>
      </c>
    </row>
    <row r="44" spans="5:12">
      <c r="E44" t="s">
        <v>71</v>
      </c>
      <c r="I44" s="3">
        <f>I40+I42</f>
        <v>6190000</v>
      </c>
      <c r="K44" s="3">
        <f>SUM(K34:K43)</f>
        <v>7515800</v>
      </c>
      <c r="L44" s="3">
        <f>SUM(L34:L43)</f>
        <v>260000</v>
      </c>
    </row>
    <row r="47" ht="15.15"/>
    <row r="48" spans="5:13">
      <c r="E48" s="40" t="s">
        <v>72</v>
      </c>
      <c r="F48" s="41"/>
      <c r="G48" s="41"/>
      <c r="H48" s="41"/>
      <c r="I48" s="57"/>
      <c r="J48" s="41"/>
      <c r="K48" s="57"/>
      <c r="L48" s="57"/>
      <c r="M48" s="58"/>
    </row>
    <row r="49" spans="5:13">
      <c r="E49" s="42" t="s">
        <v>73</v>
      </c>
      <c r="F49" s="43"/>
      <c r="G49" s="43"/>
      <c r="H49" s="43"/>
      <c r="I49" s="59">
        <f>-I44/2</f>
        <v>-3095000</v>
      </c>
      <c r="J49" s="43"/>
      <c r="K49" s="59">
        <f>I49</f>
        <v>-3095000</v>
      </c>
      <c r="L49" s="59"/>
      <c r="M49" s="60"/>
    </row>
    <row r="50" spans="5:13">
      <c r="E50" s="42"/>
      <c r="F50" s="43"/>
      <c r="G50" s="43"/>
      <c r="H50" s="43"/>
      <c r="I50" s="59"/>
      <c r="J50" s="43"/>
      <c r="K50" s="59"/>
      <c r="L50" s="59"/>
      <c r="M50" s="60"/>
    </row>
    <row r="51" spans="5:13">
      <c r="E51" s="42"/>
      <c r="F51" s="43"/>
      <c r="G51" s="43"/>
      <c r="H51" s="43"/>
      <c r="I51" s="59"/>
      <c r="J51" s="43"/>
      <c r="K51" s="59">
        <f>-K49/3</f>
        <v>1031666.66666667</v>
      </c>
      <c r="L51" s="59">
        <f>-K49/3</f>
        <v>1031666.66666667</v>
      </c>
      <c r="M51" s="60">
        <f>-K49/3</f>
        <v>1031666.66666667</v>
      </c>
    </row>
    <row r="52" spans="5:13">
      <c r="E52" s="42"/>
      <c r="F52" s="43"/>
      <c r="G52" s="43"/>
      <c r="H52" s="43"/>
      <c r="I52" s="59"/>
      <c r="J52" s="43"/>
      <c r="K52" s="59"/>
      <c r="L52" s="59"/>
      <c r="M52" s="60"/>
    </row>
    <row r="53" ht="15.15" spans="5:13">
      <c r="E53" s="61" t="s">
        <v>74</v>
      </c>
      <c r="F53" s="62"/>
      <c r="G53" s="62"/>
      <c r="H53" s="62"/>
      <c r="I53" s="65">
        <f>I44+I49</f>
        <v>3095000</v>
      </c>
      <c r="J53" s="62"/>
      <c r="K53" s="65">
        <f>K44+K49+K51</f>
        <v>5452466.66666667</v>
      </c>
      <c r="L53" s="65">
        <f>L44+L49+L51</f>
        <v>1291666.66666667</v>
      </c>
      <c r="M53" s="66">
        <f>M44+M49+M51</f>
        <v>1031666.66666667</v>
      </c>
    </row>
    <row r="54" spans="9:13">
      <c r="I54" s="67" t="s">
        <v>75</v>
      </c>
      <c r="K54" s="3">
        <f>K53/200000</f>
        <v>27.2623333333333</v>
      </c>
      <c r="M54" s="3">
        <f>M53/4.6</f>
        <v>224275.362318841</v>
      </c>
    </row>
    <row r="55" ht="15.15"/>
    <row r="56" spans="5:13">
      <c r="E56" s="40" t="s">
        <v>76</v>
      </c>
      <c r="F56" s="41"/>
      <c r="G56" s="41"/>
      <c r="H56" s="41"/>
      <c r="I56" s="57"/>
      <c r="J56" s="41"/>
      <c r="K56" s="57"/>
      <c r="L56" s="57"/>
      <c r="M56" s="58"/>
    </row>
    <row r="57" spans="5:13">
      <c r="E57" s="42" t="s">
        <v>77</v>
      </c>
      <c r="F57" s="43"/>
      <c r="G57" s="43"/>
      <c r="H57" s="43"/>
      <c r="I57" s="59">
        <f>-I44/3*2</f>
        <v>-4126666.66666667</v>
      </c>
      <c r="J57" s="43"/>
      <c r="K57" s="59">
        <f>I57</f>
        <v>-4126666.66666667</v>
      </c>
      <c r="L57" s="59"/>
      <c r="M57" s="60"/>
    </row>
    <row r="58" spans="5:13">
      <c r="E58" s="42"/>
      <c r="F58" s="43"/>
      <c r="G58" s="43"/>
      <c r="H58" s="43"/>
      <c r="I58" s="59"/>
      <c r="J58" s="43"/>
      <c r="K58" s="59">
        <f>-K57/3</f>
        <v>1375555.55555556</v>
      </c>
      <c r="L58" s="59">
        <f>-K57/3</f>
        <v>1375555.55555556</v>
      </c>
      <c r="M58" s="60">
        <f>-K57/3</f>
        <v>1375555.55555556</v>
      </c>
    </row>
    <row r="59" spans="5:13">
      <c r="E59" s="42"/>
      <c r="F59" s="43"/>
      <c r="G59" s="43"/>
      <c r="H59" s="43"/>
      <c r="I59" s="59"/>
      <c r="J59" s="43"/>
      <c r="K59" s="59"/>
      <c r="L59" s="59"/>
      <c r="M59" s="60"/>
    </row>
    <row r="60" ht="15.15" spans="5:13">
      <c r="E60" s="61" t="s">
        <v>74</v>
      </c>
      <c r="F60" s="62"/>
      <c r="G60" s="62"/>
      <c r="H60" s="62"/>
      <c r="I60" s="65">
        <f>I44+I57+I58</f>
        <v>2063333.33333333</v>
      </c>
      <c r="J60" s="62"/>
      <c r="K60" s="65">
        <f>K44+K57+K58</f>
        <v>4764688.88888889</v>
      </c>
      <c r="L60" s="65">
        <f>L44+L57+L58</f>
        <v>1635555.55555556</v>
      </c>
      <c r="M60" s="66">
        <f>M44+M57+M58</f>
        <v>1375555.55555556</v>
      </c>
    </row>
    <row r="61" spans="10:13">
      <c r="J61" s="47">
        <f>K53-K60</f>
        <v>687777.777777778</v>
      </c>
      <c r="K61" s="3">
        <f>K60/200000</f>
        <v>23.8234444444444</v>
      </c>
      <c r="M61" s="3">
        <f>M60/4.6</f>
        <v>299033.816425121</v>
      </c>
    </row>
    <row r="62" ht="15.15"/>
    <row r="63" spans="5:13">
      <c r="E63" s="40" t="s">
        <v>78</v>
      </c>
      <c r="F63" s="41"/>
      <c r="G63" s="41"/>
      <c r="H63" s="41"/>
      <c r="I63" s="57"/>
      <c r="J63" s="41"/>
      <c r="K63" s="57"/>
      <c r="L63" s="57"/>
      <c r="M63" s="58"/>
    </row>
    <row r="64" spans="5:13">
      <c r="E64" s="42" t="s">
        <v>79</v>
      </c>
      <c r="F64" s="43"/>
      <c r="G64" s="43"/>
      <c r="H64" s="43"/>
      <c r="I64" s="59">
        <f>-I44/2</f>
        <v>-3095000</v>
      </c>
      <c r="J64" s="43"/>
      <c r="K64" s="59">
        <f>I64</f>
        <v>-3095000</v>
      </c>
      <c r="L64" s="59">
        <f>-I64/2</f>
        <v>1547500</v>
      </c>
      <c r="M64" s="60">
        <f>-I64/2</f>
        <v>1547500</v>
      </c>
    </row>
    <row r="65" spans="5:13">
      <c r="E65" s="42"/>
      <c r="F65" s="43"/>
      <c r="G65" s="43"/>
      <c r="H65" s="43"/>
      <c r="I65" s="59"/>
      <c r="J65" s="43"/>
      <c r="K65" s="59"/>
      <c r="L65" s="59"/>
      <c r="M65" s="60"/>
    </row>
    <row r="66" ht="15.15" spans="5:13">
      <c r="E66" s="61" t="s">
        <v>74</v>
      </c>
      <c r="F66" s="62"/>
      <c r="G66" s="62"/>
      <c r="H66" s="62"/>
      <c r="I66" s="65">
        <f>I44+I64</f>
        <v>3095000</v>
      </c>
      <c r="J66" s="65"/>
      <c r="K66" s="65">
        <f>K44+K64</f>
        <v>4420800</v>
      </c>
      <c r="L66" s="65">
        <f>L44+L64</f>
        <v>1807500</v>
      </c>
      <c r="M66" s="66">
        <f>M44+M64</f>
        <v>1547500</v>
      </c>
    </row>
    <row r="67" spans="9:13">
      <c r="I67" s="67" t="s">
        <v>75</v>
      </c>
      <c r="J67" s="47">
        <f>K60-K66</f>
        <v>343888.888888889</v>
      </c>
      <c r="K67" s="3">
        <f>K66/200000</f>
        <v>22.104</v>
      </c>
      <c r="M67" s="3">
        <f>M66/4.6</f>
        <v>336413.043478261</v>
      </c>
    </row>
    <row r="69" spans="5:13">
      <c r="E69" t="s">
        <v>80</v>
      </c>
      <c r="I69" s="3">
        <v>460000</v>
      </c>
      <c r="K69" s="68">
        <f>-I69</f>
        <v>-460000</v>
      </c>
      <c r="L69" s="3">
        <f>I69/2</f>
        <v>230000</v>
      </c>
      <c r="M69" s="3">
        <f>I69/2</f>
        <v>230000</v>
      </c>
    </row>
    <row r="71" spans="12:13">
      <c r="L71" s="3">
        <f>L66+L69</f>
        <v>2037500</v>
      </c>
      <c r="M71" s="3">
        <f>M66+M69</f>
        <v>1777500</v>
      </c>
    </row>
    <row r="74" spans="5:12">
      <c r="E74" t="s">
        <v>81</v>
      </c>
      <c r="J74" t="s">
        <v>82</v>
      </c>
      <c r="K74" s="3" t="s">
        <v>83</v>
      </c>
      <c r="L74" s="3" t="s">
        <v>69</v>
      </c>
    </row>
    <row r="75" spans="5:12">
      <c r="E75" t="s">
        <v>72</v>
      </c>
      <c r="J75" s="69">
        <f>+K51</f>
        <v>1031666.66666667</v>
      </c>
      <c r="K75" s="3">
        <f>K49+K42</f>
        <v>-3355000</v>
      </c>
      <c r="L75" s="3">
        <f>SUM(J75:K75)</f>
        <v>-2323333.33333333</v>
      </c>
    </row>
    <row r="76" spans="5:12">
      <c r="E76" t="s">
        <v>76</v>
      </c>
      <c r="J76" s="69">
        <f>K58</f>
        <v>1375555.55555556</v>
      </c>
      <c r="K76" s="3">
        <f>K57+K42</f>
        <v>-4386666.66666667</v>
      </c>
      <c r="L76" s="3">
        <f t="shared" ref="L76:L77" si="1">SUM(J76:K76)</f>
        <v>-3011111.11111111</v>
      </c>
    </row>
    <row r="77" spans="5:12">
      <c r="E77" t="s">
        <v>78</v>
      </c>
      <c r="K77" s="3">
        <f>K64+K42</f>
        <v>-3355000</v>
      </c>
      <c r="L77" s="3">
        <f t="shared" si="1"/>
        <v>-3355000</v>
      </c>
    </row>
  </sheetData>
  <mergeCells count="4">
    <mergeCell ref="B4:D4"/>
    <mergeCell ref="B5:D5"/>
    <mergeCell ref="F2:F7"/>
    <mergeCell ref="F27:F36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77"/>
  <sheetViews>
    <sheetView tabSelected="1" topLeftCell="A44" workbookViewId="0">
      <selection activeCell="O64" sqref="O64"/>
    </sheetView>
  </sheetViews>
  <sheetFormatPr defaultColWidth="9" defaultRowHeight="14.4"/>
  <cols>
    <col min="1" max="1" width="3.28318584070796" customWidth="1"/>
    <col min="2" max="2" width="6.70796460176991" style="2" customWidth="1"/>
    <col min="3" max="3" width="7.56637168141593" style="2" customWidth="1"/>
    <col min="4" max="4" width="9.14159292035398" customWidth="1"/>
    <col min="5" max="5" width="33.283185840708" customWidth="1"/>
    <col min="6" max="6" width="4.56637168141593" customWidth="1"/>
    <col min="7" max="7" width="3.42477876106195" customWidth="1"/>
    <col min="8" max="8" width="3.53982300884956" customWidth="1"/>
    <col min="9" max="9" width="26" style="3" customWidth="1"/>
    <col min="10" max="10" width="13.283185840708" customWidth="1"/>
    <col min="11" max="12" width="14" style="3" customWidth="1"/>
    <col min="13" max="13" width="13.283185840708" style="3" customWidth="1"/>
  </cols>
  <sheetData>
    <row r="1" ht="5.1" customHeight="1"/>
    <row r="2" spans="2:9">
      <c r="B2" s="4" t="s">
        <v>13</v>
      </c>
      <c r="C2" s="5"/>
      <c r="D2" s="6">
        <v>380</v>
      </c>
      <c r="E2" s="7" t="s">
        <v>14</v>
      </c>
      <c r="F2" s="8" t="s">
        <v>15</v>
      </c>
      <c r="H2" s="9">
        <v>23000</v>
      </c>
      <c r="I2" s="72" t="s">
        <v>16</v>
      </c>
    </row>
    <row r="3" spans="2:6">
      <c r="B3" s="10"/>
      <c r="D3">
        <v>80</v>
      </c>
      <c r="E3" s="11" t="s">
        <v>17</v>
      </c>
      <c r="F3" s="8"/>
    </row>
    <row r="4" spans="2:6">
      <c r="B4" s="12">
        <f>SUM(D2:D3)</f>
        <v>460</v>
      </c>
      <c r="C4" s="13"/>
      <c r="D4" s="13"/>
      <c r="E4" s="14" t="s">
        <v>18</v>
      </c>
      <c r="F4" s="8"/>
    </row>
    <row r="5" spans="2:6">
      <c r="B5" s="15">
        <f>SUM(D6:D7)</f>
        <v>1290</v>
      </c>
      <c r="C5" s="16"/>
      <c r="D5" s="16"/>
      <c r="E5" s="11" t="s">
        <v>19</v>
      </c>
      <c r="F5" s="8"/>
    </row>
    <row r="6" spans="2:6">
      <c r="B6" s="10" t="s">
        <v>20</v>
      </c>
      <c r="D6">
        <v>950</v>
      </c>
      <c r="E6" s="11" t="s">
        <v>21</v>
      </c>
      <c r="F6" s="8"/>
    </row>
    <row r="7" spans="2:6">
      <c r="B7" s="17" t="s">
        <v>20</v>
      </c>
      <c r="C7" s="18"/>
      <c r="D7" s="19">
        <v>340</v>
      </c>
      <c r="E7" s="14" t="s">
        <v>22</v>
      </c>
      <c r="F7" s="8"/>
    </row>
    <row r="8" ht="3" customHeight="1"/>
    <row r="9" spans="2:9">
      <c r="B9" s="20" t="s">
        <v>23</v>
      </c>
      <c r="C9" s="20" t="s">
        <v>24</v>
      </c>
      <c r="D9" s="21" t="s">
        <v>25</v>
      </c>
      <c r="E9" s="20" t="s">
        <v>26</v>
      </c>
      <c r="F9" s="20"/>
      <c r="H9" s="22">
        <f>1800*2</f>
        <v>3600</v>
      </c>
      <c r="I9" s="44" t="s">
        <v>27</v>
      </c>
    </row>
    <row r="10" spans="2:9">
      <c r="B10" s="23" t="s">
        <v>28</v>
      </c>
      <c r="C10" s="23"/>
      <c r="D10" s="21">
        <f>B4+B5</f>
        <v>1750</v>
      </c>
      <c r="E10" s="20" t="s">
        <v>29</v>
      </c>
      <c r="F10" s="20"/>
      <c r="H10" s="22">
        <v>1000</v>
      </c>
      <c r="I10" s="44" t="s">
        <v>30</v>
      </c>
    </row>
    <row r="11" spans="2:9">
      <c r="B11" s="23">
        <v>100</v>
      </c>
      <c r="C11" s="23"/>
      <c r="D11" s="21">
        <f>D10+B11</f>
        <v>1850</v>
      </c>
      <c r="E11" s="20" t="s">
        <v>31</v>
      </c>
      <c r="F11" s="20"/>
      <c r="H11" s="22">
        <v>4000</v>
      </c>
      <c r="I11" s="44" t="s">
        <v>32</v>
      </c>
    </row>
    <row r="12" spans="2:9">
      <c r="B12" s="23">
        <v>200</v>
      </c>
      <c r="C12" s="23"/>
      <c r="D12" s="21">
        <f>D11+B12</f>
        <v>2050</v>
      </c>
      <c r="E12" s="20" t="s">
        <v>33</v>
      </c>
      <c r="F12" s="20"/>
      <c r="H12" s="22">
        <f>2500*12</f>
        <v>30000</v>
      </c>
      <c r="I12" s="44" t="s">
        <v>34</v>
      </c>
    </row>
    <row r="13" spans="2:9">
      <c r="B13" s="23"/>
      <c r="C13" s="23"/>
      <c r="D13" s="21"/>
      <c r="E13" s="20" t="s">
        <v>35</v>
      </c>
      <c r="F13" s="20"/>
      <c r="H13" s="22"/>
      <c r="I13" s="44" t="s">
        <v>36</v>
      </c>
    </row>
    <row r="14" spans="2:9">
      <c r="B14" s="23"/>
      <c r="C14" s="23"/>
      <c r="D14" s="21"/>
      <c r="E14" s="20" t="s">
        <v>37</v>
      </c>
      <c r="F14" s="24">
        <f>320+320</f>
        <v>640</v>
      </c>
      <c r="H14" s="22">
        <f>2000*2</f>
        <v>4000</v>
      </c>
      <c r="I14" s="44" t="s">
        <v>38</v>
      </c>
    </row>
    <row r="15" spans="2:9">
      <c r="B15" s="23"/>
      <c r="C15" s="23"/>
      <c r="D15" s="21"/>
      <c r="E15" s="20" t="s">
        <v>39</v>
      </c>
      <c r="F15" s="24"/>
      <c r="H15" s="22">
        <f>30000*2</f>
        <v>60000</v>
      </c>
      <c r="I15" s="44" t="s">
        <v>40</v>
      </c>
    </row>
    <row r="16" ht="15.15" spans="2:9">
      <c r="B16" s="23">
        <v>7500</v>
      </c>
      <c r="C16" s="23"/>
      <c r="D16" s="21">
        <f>D12+B16</f>
        <v>9550</v>
      </c>
      <c r="E16" s="20" t="s">
        <v>41</v>
      </c>
      <c r="F16" s="20"/>
      <c r="H16" s="25">
        <v>1000</v>
      </c>
      <c r="I16" s="45" t="s">
        <v>42</v>
      </c>
    </row>
    <row r="17" ht="15.15" spans="2:9">
      <c r="B17" s="23">
        <v>100</v>
      </c>
      <c r="C17" s="23"/>
      <c r="D17" s="21">
        <f>D16+B17</f>
        <v>9650</v>
      </c>
      <c r="E17" s="20" t="s">
        <v>43</v>
      </c>
      <c r="F17" s="20"/>
      <c r="H17" s="26">
        <f>SUM(H9:H16)/1000</f>
        <v>103.6</v>
      </c>
      <c r="I17" s="46" t="s">
        <v>44</v>
      </c>
    </row>
    <row r="18" spans="2:6">
      <c r="B18" s="21"/>
      <c r="C18" s="20">
        <f>-H17</f>
        <v>-103.6</v>
      </c>
      <c r="D18" s="21">
        <f>D17+SUM(B18:C18)</f>
        <v>9546.4</v>
      </c>
      <c r="E18" s="20" t="s">
        <v>45</v>
      </c>
      <c r="F18" s="20"/>
    </row>
    <row r="19" spans="2:6">
      <c r="B19" s="23">
        <f>H2/1000*F20</f>
        <v>115</v>
      </c>
      <c r="C19" s="20"/>
      <c r="D19" s="21">
        <f>D18+SUM(B19:C19)</f>
        <v>9661.4</v>
      </c>
      <c r="E19" s="20" t="s">
        <v>46</v>
      </c>
      <c r="F19" s="20"/>
    </row>
    <row r="20" spans="2:6">
      <c r="B20" s="21"/>
      <c r="C20" s="20">
        <f>-9*$F$20</f>
        <v>-45</v>
      </c>
      <c r="D20" s="21">
        <f t="shared" ref="D20:D21" si="0">D19+SUM(B20:C20)</f>
        <v>9616.4</v>
      </c>
      <c r="E20" s="20" t="s">
        <v>47</v>
      </c>
      <c r="F20" s="24">
        <v>5</v>
      </c>
    </row>
    <row r="21" spans="2:6">
      <c r="B21" s="21"/>
      <c r="C21" s="20">
        <f>-5*$F$20</f>
        <v>-25</v>
      </c>
      <c r="D21" s="21">
        <f t="shared" si="0"/>
        <v>9591.4</v>
      </c>
      <c r="E21" s="20" t="s">
        <v>48</v>
      </c>
      <c r="F21" s="20"/>
    </row>
    <row r="22" spans="2:6">
      <c r="B22" s="21"/>
      <c r="C22" s="20"/>
      <c r="D22" s="21"/>
      <c r="E22" s="20"/>
      <c r="F22" s="20"/>
    </row>
    <row r="23" spans="2:9">
      <c r="B23" s="23" t="s">
        <v>28</v>
      </c>
      <c r="C23" s="20"/>
      <c r="D23" s="21">
        <f>SUM(C32:C33)</f>
        <v>9312.443</v>
      </c>
      <c r="E23" s="20" t="s">
        <v>49</v>
      </c>
      <c r="F23" s="20"/>
      <c r="I23" s="3">
        <f>SUM(I34:I36)</f>
        <v>0</v>
      </c>
    </row>
    <row r="24" spans="2:6">
      <c r="B24" s="23"/>
      <c r="C24" s="20"/>
      <c r="D24" s="20"/>
      <c r="E24" s="20"/>
      <c r="F24" s="20"/>
    </row>
    <row r="25" spans="2:2">
      <c r="B25" t="s">
        <v>50</v>
      </c>
    </row>
    <row r="27" spans="2:8">
      <c r="B27" s="27"/>
      <c r="C27" s="28"/>
      <c r="D27" s="29">
        <f>150000+100000</f>
        <v>250000</v>
      </c>
      <c r="E27" s="7" t="s">
        <v>51</v>
      </c>
      <c r="F27" s="30">
        <v>45647</v>
      </c>
      <c r="H27" s="9"/>
    </row>
    <row r="28" spans="2:8">
      <c r="B28" s="10"/>
      <c r="D28" s="2">
        <f>21650+2793</f>
        <v>24443</v>
      </c>
      <c r="E28" s="11" t="s">
        <v>52</v>
      </c>
      <c r="F28" s="30"/>
      <c r="H28" s="9"/>
    </row>
    <row r="29" spans="2:8">
      <c r="B29" s="10"/>
      <c r="D29" s="2" t="s">
        <v>53</v>
      </c>
      <c r="E29" s="11" t="s">
        <v>54</v>
      </c>
      <c r="F29" s="30"/>
      <c r="H29" s="9"/>
    </row>
    <row r="30" spans="2:8">
      <c r="B30" s="10"/>
      <c r="C30"/>
      <c r="D30" s="2">
        <v>291856</v>
      </c>
      <c r="E30" s="11" t="s">
        <v>55</v>
      </c>
      <c r="F30" s="30"/>
      <c r="H30" s="9"/>
    </row>
    <row r="31" spans="2:6">
      <c r="B31" s="10"/>
      <c r="D31" s="2">
        <v>13762</v>
      </c>
      <c r="E31" s="11" t="s">
        <v>56</v>
      </c>
      <c r="F31" s="8"/>
    </row>
    <row r="32" spans="2:13">
      <c r="B32" s="12"/>
      <c r="C32" s="31">
        <f>SUM(D30:D31)/1000</f>
        <v>305.618</v>
      </c>
      <c r="D32" s="13"/>
      <c r="E32" s="14" t="s">
        <v>57</v>
      </c>
      <c r="F32" s="8"/>
      <c r="K32" s="3" t="s">
        <v>58</v>
      </c>
      <c r="L32" s="3" t="s">
        <v>59</v>
      </c>
      <c r="M32" s="3" t="s">
        <v>60</v>
      </c>
    </row>
    <row r="33" spans="2:6">
      <c r="B33" s="15"/>
      <c r="C33" s="32">
        <f>SUM(D34:D36)/1000</f>
        <v>9006.825</v>
      </c>
      <c r="D33" s="16"/>
      <c r="E33" s="11" t="s">
        <v>61</v>
      </c>
      <c r="F33" s="8"/>
    </row>
    <row r="34" spans="2:11">
      <c r="B34" s="10"/>
      <c r="D34" s="32">
        <v>7236396</v>
      </c>
      <c r="E34" s="11" t="s">
        <v>62</v>
      </c>
      <c r="F34" s="8"/>
      <c r="J34" t="s">
        <v>63</v>
      </c>
      <c r="K34" s="3">
        <v>6975800</v>
      </c>
    </row>
    <row r="35" spans="2:11">
      <c r="B35" s="10"/>
      <c r="D35" s="2">
        <v>1270429</v>
      </c>
      <c r="E35" s="11" t="s">
        <v>64</v>
      </c>
      <c r="F35" s="8"/>
      <c r="K35" s="3">
        <v>800000</v>
      </c>
    </row>
    <row r="36" spans="2:10">
      <c r="B36" s="17"/>
      <c r="C36" s="18"/>
      <c r="D36" s="18">
        <v>500000</v>
      </c>
      <c r="E36" s="14" t="s">
        <v>65</v>
      </c>
      <c r="F36" s="8"/>
      <c r="J36" t="s">
        <v>66</v>
      </c>
    </row>
    <row r="38" spans="5:10">
      <c r="E38" t="s">
        <v>67</v>
      </c>
      <c r="I38" s="3">
        <v>7800000</v>
      </c>
      <c r="J38" s="47"/>
    </row>
    <row r="39" spans="5:9">
      <c r="E39" t="s">
        <v>68</v>
      </c>
      <c r="I39" s="3">
        <v>-50000</v>
      </c>
    </row>
    <row r="40" spans="5:9">
      <c r="E40" t="s">
        <v>69</v>
      </c>
      <c r="I40" s="3">
        <f>I38+I39</f>
        <v>7750000</v>
      </c>
    </row>
    <row r="42" spans="5:12">
      <c r="E42" t="s">
        <v>84</v>
      </c>
      <c r="I42" s="3">
        <v>-1560000</v>
      </c>
      <c r="L42" s="3">
        <f>-K42</f>
        <v>0</v>
      </c>
    </row>
    <row r="44" spans="5:12">
      <c r="E44" t="s">
        <v>69</v>
      </c>
      <c r="I44" s="3">
        <f>I40+I42</f>
        <v>6190000</v>
      </c>
      <c r="K44" s="3">
        <f>SUM(K34:K43)</f>
        <v>7775800</v>
      </c>
      <c r="L44" s="3">
        <f>SUM(L34:L43)</f>
        <v>0</v>
      </c>
    </row>
    <row r="45" spans="9:9">
      <c r="I45" t="s">
        <v>85</v>
      </c>
    </row>
    <row r="47" ht="15.15"/>
    <row r="48" spans="5:13">
      <c r="E48" s="33" t="s">
        <v>72</v>
      </c>
      <c r="F48" s="34"/>
      <c r="G48" s="34"/>
      <c r="H48" s="34"/>
      <c r="I48" s="48"/>
      <c r="J48" s="34"/>
      <c r="K48" s="48"/>
      <c r="L48" s="48"/>
      <c r="M48" s="49"/>
    </row>
    <row r="49" spans="5:13">
      <c r="E49" s="35" t="s">
        <v>73</v>
      </c>
      <c r="F49" s="36"/>
      <c r="G49" s="36"/>
      <c r="H49" s="36"/>
      <c r="I49" s="50">
        <f>-I44/2</f>
        <v>-3095000</v>
      </c>
      <c r="J49" s="36"/>
      <c r="K49" s="50">
        <f>I49</f>
        <v>-3095000</v>
      </c>
      <c r="L49" s="50"/>
      <c r="M49" s="51"/>
    </row>
    <row r="50" spans="5:13">
      <c r="E50" s="35"/>
      <c r="F50" s="36"/>
      <c r="G50" s="36"/>
      <c r="H50" s="36"/>
      <c r="I50" s="50"/>
      <c r="J50" s="36"/>
      <c r="K50" s="50"/>
      <c r="L50" s="50"/>
      <c r="M50" s="51"/>
    </row>
    <row r="51" spans="5:13">
      <c r="E51" s="35"/>
      <c r="F51" s="36"/>
      <c r="G51" s="36"/>
      <c r="H51" s="36"/>
      <c r="I51" s="50"/>
      <c r="J51" s="36"/>
      <c r="K51" s="50">
        <f>-K49/3</f>
        <v>1031666.66666667</v>
      </c>
      <c r="L51" s="50">
        <f>-K49/3</f>
        <v>1031666.66666667</v>
      </c>
      <c r="M51" s="51">
        <f>-K49/3</f>
        <v>1031666.66666667</v>
      </c>
    </row>
    <row r="52" spans="5:13">
      <c r="E52" s="35"/>
      <c r="F52" s="36"/>
      <c r="G52" s="36"/>
      <c r="H52" s="36"/>
      <c r="I52" s="50"/>
      <c r="J52" s="36"/>
      <c r="K52" s="50"/>
      <c r="L52" s="50"/>
      <c r="M52" s="51"/>
    </row>
    <row r="53" ht="15.15" spans="5:13">
      <c r="E53" s="37" t="s">
        <v>74</v>
      </c>
      <c r="F53" s="38"/>
      <c r="G53" s="38"/>
      <c r="H53" s="38"/>
      <c r="I53" s="52">
        <f>I44+I49</f>
        <v>3095000</v>
      </c>
      <c r="J53" s="38"/>
      <c r="K53" s="52">
        <f>K44+K49+K51</f>
        <v>5712466.66666667</v>
      </c>
      <c r="L53" s="52">
        <f>L44+L49+L51</f>
        <v>1031666.66666667</v>
      </c>
      <c r="M53" s="53">
        <f>M44+M49+M51</f>
        <v>1031666.66666667</v>
      </c>
    </row>
    <row r="54" spans="5:13">
      <c r="E54" s="39"/>
      <c r="F54" s="39"/>
      <c r="G54" s="39"/>
      <c r="H54" s="39"/>
      <c r="I54" s="54" t="s">
        <v>75</v>
      </c>
      <c r="J54" s="39"/>
      <c r="K54" s="55">
        <f>K53/200000</f>
        <v>28.5623333333333</v>
      </c>
      <c r="L54" s="55"/>
      <c r="M54" s="55">
        <f>M53/4.6</f>
        <v>224275.362318841</v>
      </c>
    </row>
    <row r="55" ht="15.15" spans="5:13">
      <c r="E55" s="39"/>
      <c r="F55" s="39"/>
      <c r="G55" s="39"/>
      <c r="H55" s="39"/>
      <c r="I55" s="55"/>
      <c r="J55" s="39"/>
      <c r="K55" s="55"/>
      <c r="L55" s="55"/>
      <c r="M55" s="55"/>
    </row>
    <row r="56" spans="5:13">
      <c r="E56" s="33" t="s">
        <v>76</v>
      </c>
      <c r="F56" s="34"/>
      <c r="G56" s="34"/>
      <c r="H56" s="34"/>
      <c r="I56" s="48"/>
      <c r="J56" s="34"/>
      <c r="K56" s="48"/>
      <c r="L56" s="48"/>
      <c r="M56" s="49"/>
    </row>
    <row r="57" spans="5:13">
      <c r="E57" s="35" t="s">
        <v>77</v>
      </c>
      <c r="F57" s="36"/>
      <c r="G57" s="36"/>
      <c r="H57" s="36"/>
      <c r="I57" s="50">
        <f>-I44/3*2</f>
        <v>-4126666.66666667</v>
      </c>
      <c r="J57" s="36"/>
      <c r="K57" s="50">
        <f>I57</f>
        <v>-4126666.66666667</v>
      </c>
      <c r="L57" s="50"/>
      <c r="M57" s="51"/>
    </row>
    <row r="58" spans="5:13">
      <c r="E58" s="35"/>
      <c r="F58" s="36"/>
      <c r="G58" s="36"/>
      <c r="H58" s="36"/>
      <c r="I58" s="50"/>
      <c r="J58" s="36"/>
      <c r="K58" s="50">
        <f>-K57/3</f>
        <v>1375555.55555556</v>
      </c>
      <c r="L58" s="50">
        <f>-K57/3</f>
        <v>1375555.55555556</v>
      </c>
      <c r="M58" s="51">
        <f>-K57/3</f>
        <v>1375555.55555556</v>
      </c>
    </row>
    <row r="59" spans="5:13">
      <c r="E59" s="35"/>
      <c r="F59" s="36"/>
      <c r="G59" s="36"/>
      <c r="H59" s="36"/>
      <c r="I59" s="50"/>
      <c r="J59" s="36"/>
      <c r="K59" s="50"/>
      <c r="L59" s="50"/>
      <c r="M59" s="51"/>
    </row>
    <row r="60" ht="15.15" spans="5:13">
      <c r="E60" s="37" t="s">
        <v>74</v>
      </c>
      <c r="F60" s="38"/>
      <c r="G60" s="38"/>
      <c r="H60" s="38"/>
      <c r="I60" s="52">
        <f>I44+I57+I58</f>
        <v>2063333.33333333</v>
      </c>
      <c r="J60" s="38"/>
      <c r="K60" s="52">
        <f>K44+K57+K58</f>
        <v>5024688.88888889</v>
      </c>
      <c r="L60" s="52">
        <f>L44+L57+L58</f>
        <v>1375555.55555556</v>
      </c>
      <c r="M60" s="53">
        <f>M44+M57+M58</f>
        <v>1375555.55555556</v>
      </c>
    </row>
    <row r="61" spans="5:13">
      <c r="E61" s="39"/>
      <c r="F61" s="39"/>
      <c r="G61" s="39"/>
      <c r="H61" s="39"/>
      <c r="I61" s="55"/>
      <c r="J61" s="56">
        <f>K53-K60</f>
        <v>687777.777777778</v>
      </c>
      <c r="K61" s="55">
        <f>K60/200000</f>
        <v>25.1234444444444</v>
      </c>
      <c r="L61" s="55"/>
      <c r="M61" s="55">
        <f>M60/4.6</f>
        <v>299033.816425121</v>
      </c>
    </row>
    <row r="62" ht="15.15"/>
    <row r="63" spans="5:13">
      <c r="E63" s="40" t="s">
        <v>78</v>
      </c>
      <c r="F63" s="41"/>
      <c r="G63" s="41"/>
      <c r="H63" s="41"/>
      <c r="I63" s="57"/>
      <c r="J63" s="41"/>
      <c r="K63" s="57"/>
      <c r="L63" s="57"/>
      <c r="M63" s="58"/>
    </row>
    <row r="64" spans="5:13">
      <c r="E64" s="42" t="s">
        <v>79</v>
      </c>
      <c r="F64" s="43"/>
      <c r="G64" s="43"/>
      <c r="H64" s="43"/>
      <c r="I64" s="59">
        <f>-I44/2</f>
        <v>-3095000</v>
      </c>
      <c r="J64" s="43"/>
      <c r="K64" s="59">
        <f>I64</f>
        <v>-3095000</v>
      </c>
      <c r="L64" s="59">
        <f>I44/4</f>
        <v>1547500</v>
      </c>
      <c r="M64" s="60">
        <f>-I64/2</f>
        <v>1547500</v>
      </c>
    </row>
    <row r="65" spans="5:13">
      <c r="E65" s="42"/>
      <c r="F65" s="43"/>
      <c r="G65" s="43"/>
      <c r="H65" s="43"/>
      <c r="I65" s="59"/>
      <c r="J65" s="43"/>
      <c r="K65" s="64" t="s">
        <v>86</v>
      </c>
      <c r="L65" s="64" t="s">
        <v>87</v>
      </c>
      <c r="M65" s="64"/>
    </row>
    <row r="66" ht="15.15" spans="5:13">
      <c r="E66" s="61" t="s">
        <v>74</v>
      </c>
      <c r="F66" s="62"/>
      <c r="G66" s="62"/>
      <c r="H66" s="62"/>
      <c r="I66" s="65">
        <f>I44+I64</f>
        <v>3095000</v>
      </c>
      <c r="J66" s="65"/>
      <c r="K66" s="65">
        <f>K44+K64</f>
        <v>4680800</v>
      </c>
      <c r="L66" s="65">
        <f>L44+L64</f>
        <v>1547500</v>
      </c>
      <c r="M66" s="66">
        <f>M44+M64</f>
        <v>1547500</v>
      </c>
    </row>
    <row r="67" spans="9:13">
      <c r="I67" s="67" t="s">
        <v>75</v>
      </c>
      <c r="J67" s="47">
        <f>K60-K66</f>
        <v>343888.888888889</v>
      </c>
      <c r="K67" s="3">
        <f>K66/200000</f>
        <v>23.404</v>
      </c>
      <c r="M67" s="3">
        <f>M66/4.6</f>
        <v>336413.043478261</v>
      </c>
    </row>
    <row r="69" spans="5:13">
      <c r="E69" s="63" t="s">
        <v>88</v>
      </c>
      <c r="I69" s="3">
        <v>460000</v>
      </c>
      <c r="K69" s="68">
        <f>-I69</f>
        <v>-460000</v>
      </c>
      <c r="L69" s="3">
        <f>I69/2</f>
        <v>230000</v>
      </c>
      <c r="M69" s="3">
        <f>I69/2</f>
        <v>230000</v>
      </c>
    </row>
    <row r="71" spans="12:13">
      <c r="L71" s="3">
        <f>L66+L69</f>
        <v>1777500</v>
      </c>
      <c r="M71" s="3">
        <f>M66+M69</f>
        <v>1777500</v>
      </c>
    </row>
    <row r="74" spans="5:12">
      <c r="E74" t="s">
        <v>81</v>
      </c>
      <c r="J74" t="s">
        <v>82</v>
      </c>
      <c r="K74" s="3" t="s">
        <v>83</v>
      </c>
      <c r="L74" s="3" t="s">
        <v>69</v>
      </c>
    </row>
    <row r="75" spans="5:12">
      <c r="E75" t="s">
        <v>78</v>
      </c>
      <c r="K75" s="3">
        <f>K64+K42</f>
        <v>-3095000</v>
      </c>
      <c r="L75" s="3">
        <f>SUM(J75:K75)</f>
        <v>-3095000</v>
      </c>
    </row>
    <row r="76" spans="5:12">
      <c r="E76" t="s">
        <v>72</v>
      </c>
      <c r="J76" s="69">
        <f>+K51</f>
        <v>1031666.66666667</v>
      </c>
      <c r="K76" s="3">
        <f>K49+K42</f>
        <v>-3095000</v>
      </c>
      <c r="L76" s="3">
        <f>SUM(J76:K76)</f>
        <v>-2063333.33333333</v>
      </c>
    </row>
    <row r="77" spans="5:12">
      <c r="E77" t="s">
        <v>76</v>
      </c>
      <c r="J77" s="69">
        <f>K58</f>
        <v>1375555.55555556</v>
      </c>
      <c r="K77" s="3">
        <f>K57+K42</f>
        <v>-4126666.66666667</v>
      </c>
      <c r="L77" s="3">
        <f>SUM(J77:K77)</f>
        <v>-2751111.11111111</v>
      </c>
    </row>
  </sheetData>
  <mergeCells count="4">
    <mergeCell ref="B4:D4"/>
    <mergeCell ref="B5:D5"/>
    <mergeCell ref="F2:F7"/>
    <mergeCell ref="F27:F36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zoomScale="178" zoomScaleNormal="178" workbookViewId="0">
      <selection activeCell="N31" sqref="N31"/>
    </sheetView>
  </sheetViews>
  <sheetFormatPr defaultColWidth="9" defaultRowHeight="14.4" outlineLevelCol="6"/>
  <cols>
    <col min="1" max="1" width="7.70796460176991" customWidth="1"/>
    <col min="2" max="2" width="21.141592920354" customWidth="1"/>
    <col min="3" max="3" width="7.42477876106195" customWidth="1"/>
    <col min="4" max="4" width="12.283185840708" customWidth="1"/>
    <col min="5" max="5" width="7.28318584070797" customWidth="1"/>
    <col min="6" max="6" width="5.42477876106195" customWidth="1"/>
  </cols>
  <sheetData>
    <row r="1" spans="4:7">
      <c r="D1" t="s">
        <v>89</v>
      </c>
      <c r="E1" t="s">
        <v>90</v>
      </c>
      <c r="F1" t="s">
        <v>91</v>
      </c>
      <c r="G1" t="s">
        <v>92</v>
      </c>
    </row>
    <row r="2" spans="1:7">
      <c r="A2" s="1">
        <v>45413</v>
      </c>
      <c r="B2" t="s">
        <v>93</v>
      </c>
      <c r="C2" t="s">
        <v>66</v>
      </c>
      <c r="E2">
        <v>380</v>
      </c>
      <c r="F2">
        <f>SUM(D2:E2)</f>
        <v>380</v>
      </c>
      <c r="G2">
        <f>F2</f>
        <v>380</v>
      </c>
    </row>
    <row r="3" spans="1:7">
      <c r="A3" s="1">
        <v>45413</v>
      </c>
      <c r="B3" t="s">
        <v>94</v>
      </c>
      <c r="C3" t="s">
        <v>66</v>
      </c>
      <c r="E3">
        <v>80</v>
      </c>
      <c r="F3">
        <f t="shared" ref="F3:F14" si="0">SUM(D3:E3)</f>
        <v>80</v>
      </c>
      <c r="G3">
        <f>G2+F3</f>
        <v>460</v>
      </c>
    </row>
    <row r="4" spans="1:7">
      <c r="A4" s="1">
        <v>45413</v>
      </c>
      <c r="B4" t="s">
        <v>93</v>
      </c>
      <c r="C4" t="s">
        <v>95</v>
      </c>
      <c r="D4">
        <v>900</v>
      </c>
      <c r="F4">
        <f t="shared" si="0"/>
        <v>900</v>
      </c>
      <c r="G4">
        <f t="shared" ref="G4:G12" si="1">G3+F4</f>
        <v>1360</v>
      </c>
    </row>
    <row r="5" spans="1:7">
      <c r="A5" s="1">
        <v>45413</v>
      </c>
      <c r="B5" t="s">
        <v>94</v>
      </c>
      <c r="C5" t="s">
        <v>66</v>
      </c>
      <c r="D5">
        <v>300</v>
      </c>
      <c r="F5">
        <f t="shared" si="0"/>
        <v>300</v>
      </c>
      <c r="G5">
        <f t="shared" si="1"/>
        <v>1660</v>
      </c>
    </row>
    <row r="6" spans="1:7">
      <c r="A6" s="1">
        <v>45427</v>
      </c>
      <c r="B6" t="s">
        <v>96</v>
      </c>
      <c r="C6" t="s">
        <v>95</v>
      </c>
      <c r="D6">
        <v>100</v>
      </c>
      <c r="F6">
        <f t="shared" si="0"/>
        <v>100</v>
      </c>
      <c r="G6">
        <f t="shared" si="1"/>
        <v>1760</v>
      </c>
    </row>
    <row r="7" spans="1:7">
      <c r="A7" s="1">
        <v>45434</v>
      </c>
      <c r="B7" t="s">
        <v>97</v>
      </c>
      <c r="C7" t="s">
        <v>95</v>
      </c>
      <c r="D7">
        <v>200</v>
      </c>
      <c r="F7">
        <f t="shared" si="0"/>
        <v>200</v>
      </c>
      <c r="G7">
        <f t="shared" si="1"/>
        <v>1960</v>
      </c>
    </row>
    <row r="8" spans="1:7">
      <c r="A8" s="1">
        <v>45458</v>
      </c>
      <c r="B8" t="s">
        <v>98</v>
      </c>
      <c r="D8">
        <f>-33*12</f>
        <v>-396</v>
      </c>
      <c r="E8">
        <f>-33*12</f>
        <v>-396</v>
      </c>
      <c r="F8">
        <f t="shared" si="0"/>
        <v>-792</v>
      </c>
      <c r="G8">
        <f t="shared" si="1"/>
        <v>1168</v>
      </c>
    </row>
    <row r="9" spans="1:7">
      <c r="A9" s="1">
        <v>45473</v>
      </c>
      <c r="B9" t="s">
        <v>99</v>
      </c>
      <c r="D9">
        <v>9</v>
      </c>
      <c r="E9">
        <v>14</v>
      </c>
      <c r="F9">
        <f t="shared" si="0"/>
        <v>23</v>
      </c>
      <c r="G9">
        <f t="shared" si="1"/>
        <v>1191</v>
      </c>
    </row>
    <row r="10" spans="1:7">
      <c r="A10" s="1">
        <v>45473</v>
      </c>
      <c r="B10" t="s">
        <v>100</v>
      </c>
      <c r="D10">
        <f>7500/2-50-100</f>
        <v>3600</v>
      </c>
      <c r="E10">
        <f>7800/2</f>
        <v>3900</v>
      </c>
      <c r="F10">
        <f t="shared" si="0"/>
        <v>7500</v>
      </c>
      <c r="G10">
        <f t="shared" si="1"/>
        <v>8691</v>
      </c>
    </row>
    <row r="11" spans="1:7">
      <c r="A11" s="1">
        <v>45473</v>
      </c>
      <c r="B11" t="s">
        <v>43</v>
      </c>
      <c r="E11">
        <v>100</v>
      </c>
      <c r="F11">
        <f t="shared" si="0"/>
        <v>100</v>
      </c>
      <c r="G11">
        <f t="shared" si="1"/>
        <v>8791</v>
      </c>
    </row>
    <row r="12" spans="1:7">
      <c r="A12" s="1">
        <v>45504</v>
      </c>
      <c r="B12" t="s">
        <v>99</v>
      </c>
      <c r="D12">
        <v>9</v>
      </c>
      <c r="E12">
        <v>14</v>
      </c>
      <c r="F12">
        <f t="shared" si="0"/>
        <v>23</v>
      </c>
      <c r="G12">
        <f t="shared" si="1"/>
        <v>8814</v>
      </c>
    </row>
    <row r="13" spans="1:7">
      <c r="A13" s="1">
        <v>45504</v>
      </c>
      <c r="B13" t="s">
        <v>101</v>
      </c>
      <c r="D13">
        <f>D10*1.6%/12</f>
        <v>4.8</v>
      </c>
      <c r="E13">
        <f>E10*1.6%/12</f>
        <v>5.2</v>
      </c>
      <c r="F13">
        <f t="shared" si="0"/>
        <v>10</v>
      </c>
      <c r="G13">
        <f t="shared" ref="G13:G14" si="2">G12+F13</f>
        <v>8824</v>
      </c>
    </row>
    <row r="14" spans="2:7">
      <c r="B14" t="s">
        <v>102</v>
      </c>
      <c r="E14">
        <v>-11</v>
      </c>
      <c r="F14">
        <f t="shared" si="0"/>
        <v>-11</v>
      </c>
      <c r="G14">
        <f t="shared" si="2"/>
        <v>8813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monthly fees</vt:lpstr>
      <vt:lpstr>cashflow proj</vt:lpstr>
      <vt:lpstr>40-20-20</vt:lpstr>
      <vt:lpstr>Genn projection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Victor</dc:creator>
  <cp:lastModifiedBy>lenovo</cp:lastModifiedBy>
  <dcterms:created xsi:type="dcterms:W3CDTF">2015-06-05T18:17:00Z</dcterms:created>
  <dcterms:modified xsi:type="dcterms:W3CDTF">2025-03-12T08:06:42Z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2052-12.1.0.20305</vt:lpwstr>
  </property>
</Properties>
</file>