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10908" activeTab="3"/>
  </bookViews>
  <sheets>
    <sheet name="FWD300" sheetId="9" r:id="rId1"/>
    <sheet name="FLi250" sheetId="10" r:id="rId2"/>
    <sheet name="FLi150" sheetId="1" r:id="rId3"/>
    <sheet name="FLi226" sheetId="11" r:id="rId4"/>
    <sheet name="xirr test" sheetId="3" r:id="rId5"/>
  </sheets>
  <calcPr calcId="144525"/>
</workbook>
</file>

<file path=xl/sharedStrings.xml><?xml version="1.0" encoding="utf-8"?>
<sst xmlns="http://schemas.openxmlformats.org/spreadsheetml/2006/main" count="97" uniqueCount="65">
  <si>
    <t>cash in/out</t>
  </si>
  <si>
    <t>total prem</t>
  </si>
  <si>
    <t>down payment</t>
  </si>
  <si>
    <t>upfront rebate</t>
  </si>
  <si>
    <t>FWD upfront</t>
  </si>
  <si>
    <t>annual payout proj</t>
  </si>
  <si>
    <r>
      <rPr>
        <sz val="11"/>
        <color theme="1"/>
        <rFont val="Calibri"/>
        <charset val="134"/>
        <scheme val="minor"/>
      </rPr>
      <t xml:space="preserve">&lt; 3.38% for first 24 annual payouts, </t>
    </r>
    <r>
      <rPr>
        <sz val="11"/>
        <color theme="5" tint="0.399914548173467"/>
        <rFont val="Calibri"/>
        <charset val="134"/>
        <scheme val="minor"/>
      </rPr>
      <t>non-guaranteed</t>
    </r>
  </si>
  <si>
    <t>35M int cost</t>
  </si>
  <si>
    <t>net outlay 
assum`LIR=3%</t>
  </si>
  <si>
    <t>PnL if 
退保</t>
  </si>
  <si>
    <t xml:space="preserve">final 1Y+  LIR </t>
  </si>
  <si>
    <r>
      <rPr>
        <sz val="11"/>
        <color theme="1"/>
        <rFont val="Calibri"/>
        <charset val="134"/>
        <scheme val="minor"/>
      </rPr>
      <t>&lt; 1M COF + 45 bps, can hit</t>
    </r>
    <r>
      <rPr>
        <sz val="11"/>
        <color theme="5" tint="-0.249977111117893"/>
        <rFont val="Calibri"/>
        <charset val="134"/>
        <scheme val="minor"/>
      </rPr>
      <t xml:space="preserve"> </t>
    </r>
    <r>
      <rPr>
        <sz val="11"/>
        <color theme="5"/>
        <rFont val="Calibri"/>
        <charset val="134"/>
        <scheme val="minor"/>
      </rPr>
      <t>4 ppa</t>
    </r>
  </si>
  <si>
    <t>loan disbursed</t>
  </si>
  <si>
    <t>&lt;-</t>
  </si>
  <si>
    <t>surr val=100%</t>
  </si>
  <si>
    <t>long term avg LIR</t>
  </si>
  <si>
    <r>
      <rPr>
        <sz val="11"/>
        <color theme="1"/>
        <rFont val="Calibri"/>
        <charset val="134"/>
        <scheme val="minor"/>
      </rPr>
      <t xml:space="preserve">&lt; 1M COF + 45 bps, can stay above </t>
    </r>
    <r>
      <rPr>
        <b/>
        <sz val="11"/>
        <color rgb="FFFF0000"/>
        <rFont val="Calibri"/>
        <charset val="134"/>
        <scheme val="minor"/>
      </rPr>
      <t>3 ppa</t>
    </r>
    <r>
      <rPr>
        <sz val="11"/>
        <color theme="1"/>
        <rFont val="Calibri"/>
        <charset val="134"/>
        <scheme val="minor"/>
      </rPr>
      <t xml:space="preserve"> (#1 risk)</t>
    </r>
  </si>
  <si>
    <t>total</t>
  </si>
  <si>
    <t>monthly est</t>
  </si>
  <si>
    <t>first</t>
  </si>
  <si>
    <t>09M LIR =</t>
  </si>
  <si>
    <t>next</t>
  </si>
  <si>
    <t>12M LIR =</t>
  </si>
  <si>
    <t>last</t>
  </si>
  <si>
    <t>14M LIR =</t>
  </si>
  <si>
    <t>net outlay</t>
  </si>
  <si>
    <t>switch to annual mode and long-term LIR</t>
  </si>
  <si>
    <t>DYOC</t>
  </si>
  <si>
    <t>xirr</t>
  </si>
  <si>
    <t>Non-Guaranteed Surrender bonus=24k (including guaranteed 12k) after age70</t>
  </si>
  <si>
    <t>surrender FWD to wipe out loan, but $0 annual payout</t>
  </si>
  <si>
    <t>Surrender in Nov of Year8 before receiving the Year9 payouts in advance. Clawback 100% otherwise. (Year8 as eg)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</si>
  <si>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</si>
  <si>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</si>
  <si>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Let's not use this s/s to record any actual instalment… too messy.</t>
  </si>
  <si>
    <t>FLI upfront</t>
  </si>
  <si>
    <r>
      <rPr>
        <sz val="11"/>
        <color theme="1"/>
        <rFont val="Calibri"/>
        <charset val="134"/>
        <scheme val="minor"/>
      </rPr>
      <t xml:space="preserve">&lt; 3.2554 ppa payouts, </t>
    </r>
    <r>
      <rPr>
        <sz val="11"/>
        <color theme="5" tint="0.399914548173467"/>
        <rFont val="Calibri"/>
        <charset val="134"/>
        <scheme val="minor"/>
      </rPr>
      <t>non-guaranteed</t>
    </r>
  </si>
  <si>
    <t>30M int cost</t>
  </si>
  <si>
    <t xml:space="preserve">last window  LIR </t>
  </si>
  <si>
    <t>loan</t>
  </si>
  <si>
    <t>first payout</t>
  </si>
  <si>
    <t>08M LIR =</t>
  </si>
  <si>
    <t>10M LIR =</t>
  </si>
  <si>
    <t>Non-Guaranteed Surrender bonus=13k (including guaranteed 7.6k) after age70</t>
  </si>
  <si>
    <t>net income</t>
  </si>
  <si>
    <t>paid by scsc</t>
  </si>
  <si>
    <t>Both FLi250 and FLi150 are FLI2</t>
  </si>
  <si>
    <t>XIRR</t>
  </si>
  <si>
    <t>PnL</t>
  </si>
  <si>
    <t>1st installment via SCSC</t>
  </si>
  <si>
    <t>&lt;Singlife</t>
  </si>
  <si>
    <t>&lt;CIMB</t>
  </si>
  <si>
    <t>^^ total upfront rate=</t>
  </si>
  <si>
    <t>middle installment</t>
  </si>
  <si>
    <t>FLi150 annual payout#1</t>
  </si>
  <si>
    <t>final installment</t>
  </si>
  <si>
    <t>FLi250 annual payout#1</t>
  </si>
  <si>
    <t>FLi226 1st payout.. Rate=</t>
  </si>
  <si>
    <t>, higher than FLi150</t>
  </si>
  <si>
    <t>.. Payout_rate goes up after age 78</t>
  </si>
  <si>
    <t>projected cash val=226,664</t>
  </si>
  <si>
    <t>^^ exit ASAP</t>
  </si>
  <si>
    <t>sumAssured?? irrelevant</t>
  </si>
  <si>
    <t>FWD300k is better in concentration risk, more prudent, in terms of worst-case PnL, monthly loan int</t>
  </si>
  <si>
    <t>FWD41 can absorb more of my excess cash (welcome) but what if in X years I need more liquidity?</t>
  </si>
</sst>
</file>

<file path=xl/styles.xml><?xml version="1.0" encoding="utf-8"?>
<styleSheet xmlns="http://schemas.openxmlformats.org/spreadsheetml/2006/main" xmlns:xr9="http://schemas.microsoft.com/office/spreadsheetml/2016/revision9">
  <numFmts count="12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0.0000%"/>
    <numFmt numFmtId="178" formatCode="#,##0.00_ "/>
    <numFmt numFmtId="179" formatCode="0.000%"/>
    <numFmt numFmtId="180" formatCode="_(* #,##0_);_(* \(#,##0\);_(* &quot;-&quot;??_);_(@_)"/>
    <numFmt numFmtId="181" formatCode="_(* #,##0.0000000_);_(* \(#,##0.0000000\);_(* &quot;-&quot;??_);_(@_)"/>
    <numFmt numFmtId="182" formatCode="[$-409]mmm/yy;@"/>
    <numFmt numFmtId="183" formatCode="[$-409]d\-mmm;@"/>
    <numFmt numFmtId="184" formatCode="&quot;$&quot;#,##0"/>
  </numFmts>
  <fonts count="2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5" tint="0.399914548173467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6" applyNumberFormat="0" applyAlignment="0" applyProtection="0">
      <alignment vertical="center"/>
    </xf>
    <xf numFmtId="0" fontId="11" fillId="4" borderId="17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4">
    <xf numFmtId="0" fontId="0" fillId="0" borderId="0" xfId="0"/>
    <xf numFmtId="177" fontId="0" fillId="0" borderId="0" xfId="0" applyNumberFormat="1"/>
    <xf numFmtId="15" fontId="0" fillId="0" borderId="0" xfId="0" applyNumberFormat="1"/>
    <xf numFmtId="3" fontId="0" fillId="0" borderId="0" xfId="0" applyNumberFormat="1"/>
    <xf numFmtId="17" fontId="0" fillId="0" borderId="0" xfId="0" applyNumberFormat="1"/>
    <xf numFmtId="3" fontId="0" fillId="0" borderId="1" xfId="0" applyNumberFormat="1" applyBorder="1"/>
    <xf numFmtId="17" fontId="0" fillId="0" borderId="1" xfId="0" applyNumberFormat="1" applyBorder="1"/>
    <xf numFmtId="0" fontId="0" fillId="0" borderId="1" xfId="0" applyBorder="1"/>
    <xf numFmtId="15" fontId="0" fillId="0" borderId="1" xfId="0" applyNumberFormat="1" applyBorder="1"/>
    <xf numFmtId="178" fontId="0" fillId="0" borderId="1" xfId="1" applyNumberFormat="1" applyFont="1" applyBorder="1"/>
    <xf numFmtId="3" fontId="0" fillId="0" borderId="0" xfId="0" applyNumberFormat="1" applyBorder="1"/>
    <xf numFmtId="10" fontId="0" fillId="0" borderId="0" xfId="3" applyNumberFormat="1" applyFont="1"/>
    <xf numFmtId="179" fontId="0" fillId="0" borderId="0" xfId="0" applyNumberFormat="1"/>
    <xf numFmtId="43" fontId="0" fillId="0" borderId="1" xfId="1" applyFont="1" applyBorder="1"/>
    <xf numFmtId="17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180" fontId="0" fillId="0" borderId="1" xfId="1" applyNumberFormat="1" applyFont="1" applyBorder="1"/>
    <xf numFmtId="0" fontId="1" fillId="0" borderId="0" xfId="0" applyFont="1" applyFill="1"/>
    <xf numFmtId="181" fontId="0" fillId="0" borderId="0" xfId="0" applyNumberFormat="1"/>
    <xf numFmtId="0" fontId="0" fillId="0" borderId="0" xfId="0" applyFont="1"/>
    <xf numFmtId="1" fontId="0" fillId="0" borderId="0" xfId="0" applyNumberFormat="1"/>
    <xf numFmtId="10" fontId="0" fillId="0" borderId="0" xfId="0" applyNumberFormat="1"/>
    <xf numFmtId="0" fontId="0" fillId="0" borderId="0" xfId="0" applyFill="1"/>
    <xf numFmtId="182" fontId="0" fillId="0" borderId="0" xfId="0" applyNumberFormat="1" applyFill="1"/>
    <xf numFmtId="1" fontId="0" fillId="0" borderId="0" xfId="0" applyNumberFormat="1" applyFill="1"/>
    <xf numFmtId="17" fontId="0" fillId="0" borderId="1" xfId="0" applyNumberFormat="1" applyFill="1" applyBorder="1"/>
    <xf numFmtId="0" fontId="0" fillId="0" borderId="1" xfId="0" applyFill="1" applyBorder="1"/>
    <xf numFmtId="3" fontId="0" fillId="0" borderId="0" xfId="0" applyNumberFormat="1" applyFill="1"/>
    <xf numFmtId="10" fontId="0" fillId="0" borderId="0" xfId="0" applyNumberFormat="1" applyFill="1"/>
    <xf numFmtId="182" fontId="0" fillId="0" borderId="1" xfId="0" applyNumberFormat="1" applyFill="1" applyBorder="1"/>
    <xf numFmtId="3" fontId="0" fillId="0" borderId="1" xfId="0" applyNumberFormat="1" applyFill="1" applyBorder="1"/>
    <xf numFmtId="183" fontId="0" fillId="0" borderId="1" xfId="0" applyNumberFormat="1" applyFill="1" applyBorder="1"/>
    <xf numFmtId="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182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wrapText="1"/>
    </xf>
    <xf numFmtId="10" fontId="0" fillId="0" borderId="4" xfId="0" applyNumberFormat="1" applyFill="1" applyBorder="1" applyAlignment="1">
      <alignment horizontal="left" wrapText="1"/>
    </xf>
    <xf numFmtId="0" fontId="0" fillId="0" borderId="5" xfId="0" applyFill="1" applyBorder="1" applyAlignment="1">
      <alignment horizontal="left"/>
    </xf>
    <xf numFmtId="10" fontId="0" fillId="0" borderId="6" xfId="0" applyNumberFormat="1" applyFill="1" applyBorder="1" applyAlignment="1">
      <alignment horizontal="left" wrapText="1"/>
    </xf>
    <xf numFmtId="10" fontId="0" fillId="0" borderId="0" xfId="0" applyNumberFormat="1" applyFill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7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10" fontId="0" fillId="0" borderId="0" xfId="3" applyNumberFormat="1" applyFont="1" applyFill="1" applyBorder="1"/>
    <xf numFmtId="184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77" fontId="0" fillId="0" borderId="1" xfId="0" applyNumberFormat="1" applyFill="1" applyBorder="1" applyAlignment="1">
      <alignment horizontal="left"/>
    </xf>
    <xf numFmtId="0" fontId="0" fillId="0" borderId="5" xfId="0" applyBorder="1"/>
    <xf numFmtId="0" fontId="0" fillId="0" borderId="5" xfId="0" applyFill="1" applyBorder="1"/>
    <xf numFmtId="10" fontId="0" fillId="0" borderId="1" xfId="0" applyNumberFormat="1" applyFill="1" applyBorder="1"/>
    <xf numFmtId="184" fontId="0" fillId="0" borderId="0" xfId="0" applyNumberFormat="1"/>
    <xf numFmtId="184" fontId="0" fillId="0" borderId="8" xfId="0" applyNumberFormat="1" applyFill="1" applyBorder="1"/>
    <xf numFmtId="9" fontId="0" fillId="0" borderId="1" xfId="0" applyNumberFormat="1" applyFill="1" applyBorder="1"/>
    <xf numFmtId="184" fontId="0" fillId="0" borderId="9" xfId="0" applyNumberFormat="1" applyFill="1" applyBorder="1"/>
    <xf numFmtId="182" fontId="0" fillId="0" borderId="0" xfId="0" applyNumberFormat="1"/>
    <xf numFmtId="182" fontId="0" fillId="0" borderId="1" xfId="0" applyNumberFormat="1" applyBorder="1"/>
    <xf numFmtId="183" fontId="0" fillId="0" borderId="1" xfId="0" applyNumberFormat="1" applyBorder="1"/>
    <xf numFmtId="18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3" fontId="0" fillId="0" borderId="2" xfId="0" applyNumberFormat="1" applyBorder="1"/>
    <xf numFmtId="0" fontId="0" fillId="0" borderId="10" xfId="0" applyBorder="1"/>
    <xf numFmtId="0" fontId="0" fillId="0" borderId="0" xfId="0" applyBorder="1"/>
    <xf numFmtId="0" fontId="0" fillId="0" borderId="1" xfId="0" applyBorder="1" applyAlignment="1">
      <alignment horizontal="right"/>
    </xf>
    <xf numFmtId="3" fontId="0" fillId="0" borderId="11" xfId="0" applyNumberFormat="1" applyBorder="1"/>
    <xf numFmtId="3" fontId="0" fillId="0" borderId="12" xfId="0" applyNumberFormat="1" applyBorder="1"/>
    <xf numFmtId="0" fontId="0" fillId="0" borderId="0" xfId="0" applyAlignment="1">
      <alignment horizontal="left"/>
    </xf>
    <xf numFmtId="10" fontId="0" fillId="0" borderId="0" xfId="3" applyNumberFormat="1" applyFont="1" applyBorder="1"/>
    <xf numFmtId="184" fontId="0" fillId="0" borderId="1" xfId="0" applyNumberFormat="1" applyBorder="1"/>
    <xf numFmtId="10" fontId="0" fillId="0" borderId="1" xfId="0" applyNumberFormat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0" fillId="0" borderId="1" xfId="0" applyNumberFormat="1" applyBorder="1"/>
    <xf numFmtId="184" fontId="0" fillId="0" borderId="8" xfId="0" applyNumberFormat="1" applyBorder="1"/>
    <xf numFmtId="9" fontId="0" fillId="0" borderId="1" xfId="0" applyNumberFormat="1" applyBorder="1"/>
    <xf numFmtId="184" fontId="0" fillId="0" borderId="9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45"/>
  <sheetViews>
    <sheetView workbookViewId="0">
      <selection activeCell="L21" sqref="L21"/>
    </sheetView>
  </sheetViews>
  <sheetFormatPr defaultColWidth="9" defaultRowHeight="14.4"/>
  <cols>
    <col min="1" max="1" width="1" customWidth="1"/>
    <col min="2" max="2" width="13.4259259259259" customWidth="1"/>
    <col min="3" max="3" width="7.28703703703704" customWidth="1"/>
    <col min="4" max="4" width="2" customWidth="1"/>
    <col min="5" max="5" width="7.42592592592593" style="61" customWidth="1"/>
    <col min="6" max="6" width="10.8518518518519" customWidth="1"/>
    <col min="7" max="7" width="13.287037037037" customWidth="1"/>
    <col min="8" max="8" width="17.8518518518519" customWidth="1"/>
    <col min="10" max="10" width="6.13888888888889" customWidth="1"/>
    <col min="11" max="11" width="7.57407407407407" customWidth="1"/>
    <col min="12" max="12" width="11.5740740740741" style="21" customWidth="1"/>
    <col min="13" max="13" width="7.13888888888889" customWidth="1"/>
  </cols>
  <sheetData>
    <row r="2" spans="5:9">
      <c r="E2" s="6"/>
      <c r="F2" s="7" t="s">
        <v>0</v>
      </c>
      <c r="H2" s="7" t="s">
        <v>1</v>
      </c>
      <c r="I2" s="77">
        <v>300000</v>
      </c>
    </row>
    <row r="3" spans="2:9">
      <c r="B3" s="3"/>
      <c r="C3" s="22"/>
      <c r="D3" s="22"/>
      <c r="E3" s="62">
        <v>45597</v>
      </c>
      <c r="F3" s="5">
        <f>-24%*I2</f>
        <v>-72000</v>
      </c>
      <c r="G3" t="s">
        <v>2</v>
      </c>
      <c r="H3" s="7" t="s">
        <v>3</v>
      </c>
      <c r="I3" s="78">
        <v>0.0187</v>
      </c>
    </row>
    <row r="4" spans="2:14">
      <c r="B4" s="3"/>
      <c r="C4" s="22"/>
      <c r="D4" s="22"/>
      <c r="E4" s="63">
        <v>45674</v>
      </c>
      <c r="F4" s="5">
        <f>3000+2610</f>
        <v>5610</v>
      </c>
      <c r="G4" t="s">
        <v>4</v>
      </c>
      <c r="H4" s="34" t="s">
        <v>5</v>
      </c>
      <c r="I4" s="79">
        <v>0.0338</v>
      </c>
      <c r="J4" s="54" t="s">
        <v>6</v>
      </c>
      <c r="K4" s="71"/>
      <c r="L4" s="71"/>
      <c r="M4" s="71"/>
      <c r="N4" s="71"/>
    </row>
    <row r="5" spans="2:9">
      <c r="B5" s="3"/>
      <c r="C5" s="22"/>
      <c r="D5" s="22"/>
      <c r="E5" s="64"/>
      <c r="F5" s="5"/>
      <c r="G5" s="65" t="s">
        <v>7</v>
      </c>
      <c r="H5" s="66"/>
      <c r="I5" s="66"/>
    </row>
    <row r="6" spans="2:14">
      <c r="B6" s="37" t="s">
        <v>8</v>
      </c>
      <c r="C6" s="38" t="s">
        <v>9</v>
      </c>
      <c r="D6" s="22"/>
      <c r="E6" s="62">
        <v>46174</v>
      </c>
      <c r="F6" s="5">
        <f>-K17</f>
        <v>-17618.7</v>
      </c>
      <c r="G6" s="65"/>
      <c r="H6" s="7" t="s">
        <v>10</v>
      </c>
      <c r="I6" s="80">
        <v>0.03</v>
      </c>
      <c r="J6" s="55" t="s">
        <v>11</v>
      </c>
      <c r="K6" s="23"/>
      <c r="L6" s="23"/>
      <c r="M6" s="23"/>
      <c r="N6" s="23"/>
    </row>
    <row r="7" spans="2:14">
      <c r="B7" s="39"/>
      <c r="C7" s="40"/>
      <c r="D7" s="41"/>
      <c r="E7" s="64"/>
      <c r="F7" s="5"/>
      <c r="G7" s="65"/>
      <c r="H7" s="7" t="s">
        <v>12</v>
      </c>
      <c r="I7" s="77">
        <v>228000</v>
      </c>
      <c r="J7" s="55"/>
      <c r="K7" s="23"/>
      <c r="L7" s="23"/>
      <c r="M7" s="23"/>
      <c r="N7" s="23"/>
    </row>
    <row r="8" spans="2:14">
      <c r="B8" s="67">
        <f>SUM($F$3:F8)</f>
        <v>-83733.7</v>
      </c>
      <c r="C8" s="68">
        <f>B8-$F$3</f>
        <v>-11733.7</v>
      </c>
      <c r="D8" t="s">
        <v>13</v>
      </c>
      <c r="E8" s="62">
        <v>46692</v>
      </c>
      <c r="F8" s="5">
        <f>($I$4*$I$2-$I$6*$I$7)/12</f>
        <v>275</v>
      </c>
      <c r="G8" s="69" t="s">
        <v>14</v>
      </c>
      <c r="H8" s="70" t="s">
        <v>15</v>
      </c>
      <c r="I8" s="80">
        <v>0.025</v>
      </c>
      <c r="J8" s="55" t="s">
        <v>16</v>
      </c>
      <c r="K8" s="23"/>
      <c r="L8" s="23"/>
      <c r="M8" s="23"/>
      <c r="N8" s="23"/>
    </row>
    <row r="9" spans="2:6">
      <c r="B9" s="67">
        <f>SUM($F$3:F9)</f>
        <v>-83458.7</v>
      </c>
      <c r="C9" s="68">
        <f t="shared" ref="C9:C19" si="0">B9-$F$3</f>
        <v>-11458.7</v>
      </c>
      <c r="E9" s="62">
        <v>46722</v>
      </c>
      <c r="F9" s="5">
        <f t="shared" ref="F9:F19" si="1">($I$4*$I$2-$I$6*$I$7)/12</f>
        <v>275</v>
      </c>
    </row>
    <row r="10" spans="2:6">
      <c r="B10" s="67">
        <f>SUM($F$3:F10)</f>
        <v>-83183.7</v>
      </c>
      <c r="C10" s="68">
        <f t="shared" si="0"/>
        <v>-11183.7</v>
      </c>
      <c r="E10" s="62">
        <v>46753</v>
      </c>
      <c r="F10" s="5">
        <f t="shared" si="1"/>
        <v>275</v>
      </c>
    </row>
    <row r="11" spans="2:12">
      <c r="B11" s="67">
        <f>SUM($F$3:F11)</f>
        <v>-82908.7</v>
      </c>
      <c r="C11" s="68">
        <f t="shared" si="0"/>
        <v>-10908.7</v>
      </c>
      <c r="E11" s="62">
        <v>46784</v>
      </c>
      <c r="F11" s="5">
        <f t="shared" si="1"/>
        <v>275</v>
      </c>
      <c r="L11"/>
    </row>
    <row r="12" spans="2:12">
      <c r="B12" s="67">
        <f>SUM($F$3:F12)</f>
        <v>-82633.7</v>
      </c>
      <c r="C12" s="68">
        <f t="shared" si="0"/>
        <v>-10633.7</v>
      </c>
      <c r="E12" s="62">
        <v>46813</v>
      </c>
      <c r="F12" s="5">
        <f t="shared" si="1"/>
        <v>275</v>
      </c>
      <c r="L12"/>
    </row>
    <row r="13" spans="2:12">
      <c r="B13" s="67">
        <f>SUM($F$3:F13)</f>
        <v>-82358.7</v>
      </c>
      <c r="C13" s="68">
        <f t="shared" si="0"/>
        <v>-10358.7</v>
      </c>
      <c r="E13" s="62">
        <v>46844</v>
      </c>
      <c r="F13" s="5">
        <f t="shared" si="1"/>
        <v>275</v>
      </c>
      <c r="H13" s="71"/>
      <c r="I13" s="71"/>
      <c r="J13" s="71"/>
      <c r="K13" s="71" t="s">
        <v>17</v>
      </c>
      <c r="L13" s="21" t="s">
        <v>18</v>
      </c>
    </row>
    <row r="14" spans="2:12">
      <c r="B14" s="67">
        <f>SUM($F$3:F14)</f>
        <v>-82083.7</v>
      </c>
      <c r="C14" s="68">
        <f t="shared" si="0"/>
        <v>-10083.7</v>
      </c>
      <c r="E14" s="62">
        <v>46874</v>
      </c>
      <c r="F14" s="5">
        <f t="shared" si="1"/>
        <v>275</v>
      </c>
      <c r="H14" s="72" t="s">
        <v>19</v>
      </c>
      <c r="I14" s="7" t="s">
        <v>20</v>
      </c>
      <c r="J14" s="80">
        <v>0.0253</v>
      </c>
      <c r="K14" s="77">
        <f>$I$7*LEFT(I14,2)/12*J14</f>
        <v>4326.3</v>
      </c>
      <c r="L14">
        <v>490</v>
      </c>
    </row>
    <row r="15" spans="2:12">
      <c r="B15" s="67">
        <f>SUM($F$3:F15)</f>
        <v>-81808.7</v>
      </c>
      <c r="C15" s="68">
        <f t="shared" si="0"/>
        <v>-9808.7</v>
      </c>
      <c r="E15" s="62">
        <v>46905</v>
      </c>
      <c r="F15" s="5">
        <f t="shared" si="1"/>
        <v>275</v>
      </c>
      <c r="H15" s="72" t="s">
        <v>21</v>
      </c>
      <c r="I15" s="7" t="s">
        <v>22</v>
      </c>
      <c r="J15" s="80">
        <v>0.0233</v>
      </c>
      <c r="K15" s="77">
        <f>$I$7*LEFT(I15,2)/12*J15</f>
        <v>5312.4</v>
      </c>
      <c r="L15"/>
    </row>
    <row r="16" ht="15.15" spans="2:11">
      <c r="B16" s="67">
        <f>SUM($F$3:F16)</f>
        <v>-81533.7</v>
      </c>
      <c r="C16" s="68">
        <f t="shared" si="0"/>
        <v>-9533.7</v>
      </c>
      <c r="E16" s="62">
        <v>46935</v>
      </c>
      <c r="F16" s="5">
        <f t="shared" si="1"/>
        <v>275</v>
      </c>
      <c r="H16" s="72" t="s">
        <v>23</v>
      </c>
      <c r="I16" s="7" t="s">
        <v>24</v>
      </c>
      <c r="J16" s="80">
        <f>I6</f>
        <v>0.03</v>
      </c>
      <c r="K16" s="81">
        <f>$I$7*LEFT(I16,2)/12*J16</f>
        <v>7980</v>
      </c>
    </row>
    <row r="17" ht="15.15" spans="2:12">
      <c r="B17" s="67">
        <f>SUM($F$3:F17)</f>
        <v>-81258.7</v>
      </c>
      <c r="C17" s="68">
        <f t="shared" si="0"/>
        <v>-9258.7</v>
      </c>
      <c r="E17" s="62">
        <v>46966</v>
      </c>
      <c r="F17" s="5">
        <f t="shared" si="1"/>
        <v>275</v>
      </c>
      <c r="H17" s="7"/>
      <c r="I17" s="7"/>
      <c r="J17" s="82"/>
      <c r="K17" s="83">
        <f>SUM(K14:K16)</f>
        <v>17618.7</v>
      </c>
      <c r="L17"/>
    </row>
    <row r="18" spans="2:6">
      <c r="B18" s="67">
        <f>SUM($F$3:F18)</f>
        <v>-80983.7</v>
      </c>
      <c r="C18" s="68">
        <f t="shared" si="0"/>
        <v>-8983.7</v>
      </c>
      <c r="E18" s="62">
        <v>46997</v>
      </c>
      <c r="F18" s="5">
        <f t="shared" si="1"/>
        <v>275</v>
      </c>
    </row>
    <row r="19" spans="2:6">
      <c r="B19" s="73">
        <f>SUM($F$3:F19)</f>
        <v>-80708.7</v>
      </c>
      <c r="C19" s="74">
        <f t="shared" si="0"/>
        <v>-8708.7</v>
      </c>
      <c r="E19" s="62">
        <v>47027</v>
      </c>
      <c r="F19" s="5">
        <f t="shared" si="1"/>
        <v>275</v>
      </c>
    </row>
    <row r="20" spans="2:6">
      <c r="B20" s="10"/>
      <c r="C20" s="10"/>
      <c r="E20" s="62"/>
      <c r="F20" s="5"/>
    </row>
    <row r="21" spans="2:7">
      <c r="B21" s="23" t="s">
        <v>25</v>
      </c>
      <c r="E21" s="62"/>
      <c r="F21" s="5"/>
      <c r="G21" s="75"/>
    </row>
    <row r="22" spans="2:12">
      <c r="B22" s="3">
        <f>SUM($F$3:F22)</f>
        <v>-76268.7</v>
      </c>
      <c r="C22" s="22"/>
      <c r="D22" s="22"/>
      <c r="E22" s="62">
        <v>47058</v>
      </c>
      <c r="F22" s="5">
        <f t="shared" ref="F22:F37" si="2">$I$4*$I$2-$I$8*$I$7</f>
        <v>4440</v>
      </c>
      <c r="G22" t="s">
        <v>26</v>
      </c>
      <c r="L22"/>
    </row>
    <row r="23" spans="2:6">
      <c r="B23" s="3">
        <f>SUM($F$3:F23)</f>
        <v>-71828.7</v>
      </c>
      <c r="C23" s="22"/>
      <c r="D23" s="22"/>
      <c r="E23" s="62">
        <v>47423</v>
      </c>
      <c r="F23" s="5">
        <f t="shared" si="2"/>
        <v>4440</v>
      </c>
    </row>
    <row r="24" spans="2:6">
      <c r="B24" s="3">
        <f>SUM($F$3:F24)</f>
        <v>-67388.7</v>
      </c>
      <c r="C24" s="22"/>
      <c r="D24" s="22"/>
      <c r="E24" s="62">
        <v>47788</v>
      </c>
      <c r="F24" s="5">
        <f t="shared" si="2"/>
        <v>4440</v>
      </c>
    </row>
    <row r="25" spans="2:6">
      <c r="B25" s="3">
        <f>SUM($F$3:F25)</f>
        <v>-62948.7</v>
      </c>
      <c r="C25" s="71" t="s">
        <v>27</v>
      </c>
      <c r="D25" s="71"/>
      <c r="E25" s="62">
        <v>48153</v>
      </c>
      <c r="F25" s="5">
        <f t="shared" si="2"/>
        <v>4440</v>
      </c>
    </row>
    <row r="26" spans="2:6">
      <c r="B26" s="3">
        <f>SUM($F$3:F26)</f>
        <v>-58508.7</v>
      </c>
      <c r="C26" s="76">
        <f>-F26/F3</f>
        <v>0.0616666666666666</v>
      </c>
      <c r="D26" s="76"/>
      <c r="E26" s="62">
        <v>48519</v>
      </c>
      <c r="F26" s="5">
        <f t="shared" si="2"/>
        <v>4440</v>
      </c>
    </row>
    <row r="27" spans="2:6">
      <c r="B27" s="3">
        <f>SUM($F$3:F27)</f>
        <v>-54068.7</v>
      </c>
      <c r="C27" s="22"/>
      <c r="D27" s="22"/>
      <c r="E27" s="62">
        <v>48884</v>
      </c>
      <c r="F27" s="5">
        <f t="shared" si="2"/>
        <v>4440</v>
      </c>
    </row>
    <row r="28" spans="2:6">
      <c r="B28" s="3">
        <f>SUM($F$3:F28)</f>
        <v>-49628.7</v>
      </c>
      <c r="C28" s="22"/>
      <c r="D28" s="22"/>
      <c r="E28" s="62">
        <v>49249</v>
      </c>
      <c r="F28" s="5">
        <f t="shared" si="2"/>
        <v>4440</v>
      </c>
    </row>
    <row r="29" spans="2:6">
      <c r="B29" s="3">
        <f>SUM($F$3:F29)</f>
        <v>-45188.7</v>
      </c>
      <c r="C29" s="22"/>
      <c r="D29" s="22"/>
      <c r="E29" s="62">
        <v>49614</v>
      </c>
      <c r="F29" s="5">
        <f t="shared" si="2"/>
        <v>4440</v>
      </c>
    </row>
    <row r="30" spans="2:6">
      <c r="B30" s="3">
        <f>SUM($F$3:F30)</f>
        <v>-40748.7</v>
      </c>
      <c r="C30" s="22"/>
      <c r="D30" s="22"/>
      <c r="E30" s="62">
        <v>49980</v>
      </c>
      <c r="F30" s="5">
        <f t="shared" si="2"/>
        <v>4440</v>
      </c>
    </row>
    <row r="31" spans="2:6">
      <c r="B31" s="3">
        <f>SUM($F$3:F31)</f>
        <v>-36308.7</v>
      </c>
      <c r="C31" s="22"/>
      <c r="D31" s="22"/>
      <c r="E31" s="62">
        <v>50345</v>
      </c>
      <c r="F31" s="5">
        <f t="shared" si="2"/>
        <v>4440</v>
      </c>
    </row>
    <row r="32" spans="2:6">
      <c r="B32" s="3">
        <f>SUM($F$3:F32)</f>
        <v>-31868.7</v>
      </c>
      <c r="C32" s="22"/>
      <c r="D32" s="22"/>
      <c r="E32" s="62">
        <v>50710</v>
      </c>
      <c r="F32" s="5">
        <f t="shared" si="2"/>
        <v>4440</v>
      </c>
    </row>
    <row r="33" spans="2:6">
      <c r="B33" s="3">
        <f>SUM($F$3:F33)</f>
        <v>-27428.7</v>
      </c>
      <c r="C33" s="22"/>
      <c r="D33" s="22"/>
      <c r="E33" s="62">
        <v>51075</v>
      </c>
      <c r="F33" s="5">
        <f t="shared" si="2"/>
        <v>4440</v>
      </c>
    </row>
    <row r="34" spans="2:6">
      <c r="B34" s="3">
        <f>SUM($F$3:F34)</f>
        <v>-22988.7</v>
      </c>
      <c r="C34" s="22"/>
      <c r="D34" s="22"/>
      <c r="E34" s="62">
        <v>51441</v>
      </c>
      <c r="F34" s="5">
        <f t="shared" si="2"/>
        <v>4440</v>
      </c>
    </row>
    <row r="35" spans="2:6">
      <c r="B35" s="3">
        <f>SUM($F$3:F35)</f>
        <v>-18548.7</v>
      </c>
      <c r="C35" s="22"/>
      <c r="D35" s="22"/>
      <c r="E35" s="62">
        <v>51806</v>
      </c>
      <c r="F35" s="5">
        <f t="shared" si="2"/>
        <v>4440</v>
      </c>
    </row>
    <row r="36" spans="2:6">
      <c r="B36" s="3">
        <f>SUM($F$3:F36)</f>
        <v>-14108.7</v>
      </c>
      <c r="C36" s="22"/>
      <c r="D36" s="22"/>
      <c r="E36" s="62">
        <v>52171</v>
      </c>
      <c r="F36" s="5">
        <f t="shared" si="2"/>
        <v>4440</v>
      </c>
    </row>
    <row r="37" spans="2:6">
      <c r="B37" s="3">
        <f>SUM($F$3:F37)</f>
        <v>-9668.7</v>
      </c>
      <c r="C37" s="22" t="s">
        <v>28</v>
      </c>
      <c r="D37" s="22"/>
      <c r="E37" s="62">
        <v>52536</v>
      </c>
      <c r="F37" s="5">
        <f t="shared" si="2"/>
        <v>4440</v>
      </c>
    </row>
    <row r="38" spans="2:7">
      <c r="B38" s="3">
        <f>SUM($F$3:F38)</f>
        <v>86331.3</v>
      </c>
      <c r="C38" s="22">
        <f>XIRR(F3:F38,E3:E38)</f>
        <v>0.0479643672704697</v>
      </c>
      <c r="D38" s="22"/>
      <c r="E38" s="62">
        <v>52902</v>
      </c>
      <c r="F38" s="5">
        <f>-F3+24000</f>
        <v>96000</v>
      </c>
      <c r="G38" s="23" t="s">
        <v>29</v>
      </c>
    </row>
    <row r="39" spans="2:9">
      <c r="B39" s="3"/>
      <c r="C39" s="22"/>
      <c r="D39" s="22"/>
      <c r="G39" s="75" t="s">
        <v>30</v>
      </c>
      <c r="H39" s="75"/>
      <c r="I39" s="75"/>
    </row>
    <row r="41" spans="2:5">
      <c r="B41" t="s">
        <v>31</v>
      </c>
      <c r="E41"/>
    </row>
    <row r="42" spans="2:12">
      <c r="B42" s="3" t="s">
        <v>32</v>
      </c>
      <c r="C42" s="3"/>
      <c r="D42" s="3"/>
      <c r="E42" s="3"/>
      <c r="F42" s="3"/>
      <c r="G42" s="3"/>
      <c r="L42"/>
    </row>
    <row r="43" spans="2:14">
      <c r="B43" t="s">
        <v>33</v>
      </c>
      <c r="E43"/>
      <c r="H43" s="3"/>
      <c r="I43" s="3"/>
      <c r="J43" s="3"/>
      <c r="K43" s="3"/>
      <c r="L43" s="3"/>
      <c r="M43" s="3"/>
      <c r="N43" s="3"/>
    </row>
    <row r="44" spans="2:12">
      <c r="B44" t="s">
        <v>34</v>
      </c>
      <c r="E44"/>
      <c r="L44"/>
    </row>
    <row r="45" spans="12:12">
      <c r="L45"/>
    </row>
  </sheetData>
  <mergeCells count="7">
    <mergeCell ref="J4:N4"/>
    <mergeCell ref="J6:N6"/>
    <mergeCell ref="J7:N7"/>
    <mergeCell ref="J8:N8"/>
    <mergeCell ref="B6:B7"/>
    <mergeCell ref="C6:C7"/>
    <mergeCell ref="G5:G7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5"/>
  <sheetViews>
    <sheetView workbookViewId="0">
      <selection activeCell="J24" sqref="J24"/>
    </sheetView>
  </sheetViews>
  <sheetFormatPr defaultColWidth="9.13888888888889" defaultRowHeight="14.4"/>
  <cols>
    <col min="1" max="1" width="1" style="23" customWidth="1"/>
    <col min="2" max="2" width="13.4259259259259" style="23" customWidth="1"/>
    <col min="3" max="3" width="6.28703703703704" style="23" customWidth="1"/>
    <col min="4" max="4" width="2" style="23" customWidth="1"/>
    <col min="5" max="5" width="7.42592592592593" style="24" customWidth="1"/>
    <col min="6" max="6" width="10.8518518518519" style="23" customWidth="1"/>
    <col min="7" max="7" width="15.4259259259259" style="23" customWidth="1"/>
    <col min="8" max="8" width="17.8518518518519" style="23" customWidth="1"/>
    <col min="9" max="9" width="9.13888888888889" style="23"/>
    <col min="10" max="10" width="6.13888888888889" style="23" customWidth="1"/>
    <col min="11" max="11" width="7.57407407407407" style="23" customWidth="1"/>
    <col min="12" max="12" width="11.5740740740741" style="25" customWidth="1"/>
    <col min="13" max="13" width="7.13888888888889" style="23" customWidth="1"/>
    <col min="14" max="16384" width="9.13888888888889" style="23"/>
  </cols>
  <sheetData>
    <row r="2" spans="5:9">
      <c r="E2" s="26"/>
      <c r="F2" s="27" t="s">
        <v>0</v>
      </c>
      <c r="H2" s="27" t="s">
        <v>1</v>
      </c>
      <c r="I2" s="51">
        <v>250774</v>
      </c>
    </row>
    <row r="3" spans="2:9">
      <c r="B3" s="28"/>
      <c r="C3" s="29"/>
      <c r="D3" s="29"/>
      <c r="E3" s="30">
        <v>45658</v>
      </c>
      <c r="F3" s="31">
        <f>I7-I2</f>
        <v>-60774</v>
      </c>
      <c r="G3" s="23" t="s">
        <v>2</v>
      </c>
      <c r="H3" s="27" t="s">
        <v>3</v>
      </c>
      <c r="I3" s="52">
        <v>0.01</v>
      </c>
    </row>
    <row r="4" spans="2:14">
      <c r="B4" s="28"/>
      <c r="C4" s="29"/>
      <c r="D4" s="29"/>
      <c r="E4" s="32">
        <v>45699</v>
      </c>
      <c r="F4" s="33">
        <f>I3*I2/2</f>
        <v>1253.87</v>
      </c>
      <c r="G4" s="23" t="s">
        <v>35</v>
      </c>
      <c r="H4" s="34" t="s">
        <v>5</v>
      </c>
      <c r="I4" s="53">
        <v>0.032554</v>
      </c>
      <c r="J4" s="54" t="s">
        <v>36</v>
      </c>
      <c r="K4"/>
      <c r="L4"/>
      <c r="M4"/>
      <c r="N4"/>
    </row>
    <row r="5" spans="2:12">
      <c r="B5" s="28"/>
      <c r="C5" s="29"/>
      <c r="D5" s="29"/>
      <c r="E5" s="32">
        <v>45708</v>
      </c>
      <c r="F5" s="33">
        <v>1260</v>
      </c>
      <c r="G5" s="23" t="s">
        <v>35</v>
      </c>
      <c r="H5" s="34"/>
      <c r="I5" s="34"/>
      <c r="J5" s="55"/>
      <c r="L5" s="23"/>
    </row>
    <row r="6" spans="2:12">
      <c r="B6" s="28"/>
      <c r="C6" s="29"/>
      <c r="D6" s="29"/>
      <c r="E6" s="35"/>
      <c r="F6" s="31"/>
      <c r="G6" s="36" t="s">
        <v>37</v>
      </c>
      <c r="H6" s="27" t="s">
        <v>38</v>
      </c>
      <c r="I6" s="56">
        <v>0.03</v>
      </c>
      <c r="J6" s="55" t="s">
        <v>11</v>
      </c>
      <c r="L6" s="23"/>
    </row>
    <row r="7" spans="2:12">
      <c r="B7" s="37" t="s">
        <v>8</v>
      </c>
      <c r="C7" s="38" t="s">
        <v>9</v>
      </c>
      <c r="D7" s="29"/>
      <c r="E7" s="30">
        <v>46082</v>
      </c>
      <c r="F7" s="31">
        <f>-K16</f>
        <v>-12381.6666666667</v>
      </c>
      <c r="G7" s="36"/>
      <c r="H7" s="27" t="s">
        <v>39</v>
      </c>
      <c r="I7" s="51">
        <v>190000</v>
      </c>
      <c r="J7" s="55"/>
      <c r="L7" s="23"/>
    </row>
    <row r="8" spans="2:12">
      <c r="B8" s="39"/>
      <c r="C8" s="40"/>
      <c r="D8" s="41"/>
      <c r="E8" s="35"/>
      <c r="F8" s="31"/>
      <c r="G8" s="36"/>
      <c r="H8" s="27" t="s">
        <v>15</v>
      </c>
      <c r="I8" s="56">
        <v>0.025</v>
      </c>
      <c r="J8" s="55" t="s">
        <v>16</v>
      </c>
      <c r="L8" s="23"/>
    </row>
    <row r="9" spans="2:7">
      <c r="B9" s="42">
        <f>SUM($F$3:F9)</f>
        <v>-62478.0998706667</v>
      </c>
      <c r="C9" s="43">
        <f>B9-F3</f>
        <v>-1704.09987066666</v>
      </c>
      <c r="D9" s="28" t="s">
        <v>13</v>
      </c>
      <c r="E9" s="30">
        <v>46569</v>
      </c>
      <c r="F9" s="31">
        <f>I4*$I$2</f>
        <v>8163.696796</v>
      </c>
      <c r="G9" s="23" t="s">
        <v>40</v>
      </c>
    </row>
    <row r="10" spans="2:12">
      <c r="B10" s="44"/>
      <c r="C10" s="45"/>
      <c r="E10" s="30"/>
      <c r="F10" s="31"/>
      <c r="G10" s="46"/>
      <c r="L10" s="23"/>
    </row>
    <row r="11" spans="2:7">
      <c r="B11" s="47" t="s">
        <v>25</v>
      </c>
      <c r="E11" s="30"/>
      <c r="F11" s="31"/>
      <c r="G11" s="46"/>
    </row>
    <row r="12" spans="2:12">
      <c r="B12" s="28">
        <f>SUM($F$3:F12)</f>
        <v>-59064.4030746667</v>
      </c>
      <c r="C12" s="29"/>
      <c r="D12" s="29"/>
      <c r="E12" s="30">
        <v>46935</v>
      </c>
      <c r="F12" s="31">
        <f>$I$4*$I$2-$I$8*$I$7</f>
        <v>3413.696796</v>
      </c>
      <c r="H12" s="48"/>
      <c r="I12" s="48"/>
      <c r="J12" s="48"/>
      <c r="K12" s="48" t="s">
        <v>17</v>
      </c>
      <c r="L12" s="25" t="s">
        <v>18</v>
      </c>
    </row>
    <row r="13" spans="2:12">
      <c r="B13" s="28">
        <f>SUM($F$3:F13)</f>
        <v>-55650.7062786667</v>
      </c>
      <c r="C13" s="29"/>
      <c r="D13" s="29"/>
      <c r="E13" s="30">
        <v>47300</v>
      </c>
      <c r="F13" s="31">
        <f t="shared" ref="F13:F28" si="0">$I$4*$I$2-$I$8*$I$7</f>
        <v>3413.696796</v>
      </c>
      <c r="H13" s="49" t="s">
        <v>19</v>
      </c>
      <c r="I13" s="27" t="s">
        <v>41</v>
      </c>
      <c r="J13" s="56">
        <v>0.0253</v>
      </c>
      <c r="K13" s="51">
        <f>$I$7*LEFT(I13,2)/12*J13</f>
        <v>3204.66666666667</v>
      </c>
      <c r="L13" s="57">
        <f>J13*I7/12</f>
        <v>400.583333333333</v>
      </c>
    </row>
    <row r="14" spans="2:12">
      <c r="B14" s="28">
        <f>SUM($F$3:F14)</f>
        <v>-52237.0094826666</v>
      </c>
      <c r="C14" s="29"/>
      <c r="D14" s="29"/>
      <c r="E14" s="30">
        <v>47665</v>
      </c>
      <c r="F14" s="31">
        <f t="shared" si="0"/>
        <v>3413.696796</v>
      </c>
      <c r="H14" s="49" t="s">
        <v>21</v>
      </c>
      <c r="I14" s="27" t="s">
        <v>22</v>
      </c>
      <c r="J14" s="56">
        <v>0.0233</v>
      </c>
      <c r="K14" s="51">
        <f>$I$7*LEFT(I14,2)/12*J14</f>
        <v>4427</v>
      </c>
      <c r="L14" s="23"/>
    </row>
    <row r="15" ht="15.15" spans="2:11">
      <c r="B15" s="28">
        <f>SUM($F$3:F15)</f>
        <v>-48823.3126866666</v>
      </c>
      <c r="C15" s="48" t="s">
        <v>27</v>
      </c>
      <c r="D15" s="48"/>
      <c r="E15" s="30">
        <v>48030</v>
      </c>
      <c r="F15" s="31">
        <f t="shared" si="0"/>
        <v>3413.696796</v>
      </c>
      <c r="H15" s="49" t="s">
        <v>23</v>
      </c>
      <c r="I15" s="27" t="s">
        <v>42</v>
      </c>
      <c r="J15" s="56">
        <f>I6</f>
        <v>0.03</v>
      </c>
      <c r="K15" s="58">
        <f>$I$7*LEFT(I15,2)/12*J15</f>
        <v>4750</v>
      </c>
    </row>
    <row r="16" ht="15.15" spans="2:12">
      <c r="B16" s="28">
        <f>SUM($F$3:F16)</f>
        <v>-45409.6158906666</v>
      </c>
      <c r="C16" s="50">
        <f>-F16/F3</f>
        <v>0.0561703490966532</v>
      </c>
      <c r="D16" s="50"/>
      <c r="E16" s="30">
        <v>48396</v>
      </c>
      <c r="F16" s="31">
        <f t="shared" si="0"/>
        <v>3413.696796</v>
      </c>
      <c r="H16" s="27"/>
      <c r="I16" s="27"/>
      <c r="J16" s="59"/>
      <c r="K16" s="60">
        <f>SUM(K13:K15)</f>
        <v>12381.6666666667</v>
      </c>
      <c r="L16" s="23"/>
    </row>
    <row r="17" spans="2:6">
      <c r="B17" s="28">
        <f>SUM($F$3:F17)</f>
        <v>-41995.9190946666</v>
      </c>
      <c r="C17" s="29"/>
      <c r="D17" s="29"/>
      <c r="E17" s="30">
        <v>48761</v>
      </c>
      <c r="F17" s="31">
        <f t="shared" si="0"/>
        <v>3413.696796</v>
      </c>
    </row>
    <row r="18" spans="2:6">
      <c r="B18" s="28">
        <f>SUM($F$3:F18)</f>
        <v>-38582.2222986666</v>
      </c>
      <c r="C18" s="29"/>
      <c r="D18" s="29"/>
      <c r="E18" s="30">
        <v>49126</v>
      </c>
      <c r="F18" s="31">
        <f t="shared" si="0"/>
        <v>3413.696796</v>
      </c>
    </row>
    <row r="19" spans="2:6">
      <c r="B19" s="28">
        <f>SUM($F$3:F19)</f>
        <v>-35168.5255026666</v>
      </c>
      <c r="C19" s="29"/>
      <c r="D19" s="29"/>
      <c r="E19" s="30">
        <v>49491</v>
      </c>
      <c r="F19" s="31">
        <f t="shared" si="0"/>
        <v>3413.696796</v>
      </c>
    </row>
    <row r="20" spans="2:6">
      <c r="B20" s="28">
        <f>SUM($F$3:F20)</f>
        <v>-31754.8287066666</v>
      </c>
      <c r="C20" s="29"/>
      <c r="D20" s="29"/>
      <c r="E20" s="30">
        <v>49857</v>
      </c>
      <c r="F20" s="31">
        <f t="shared" si="0"/>
        <v>3413.696796</v>
      </c>
    </row>
    <row r="21" spans="2:6">
      <c r="B21" s="28">
        <f>SUM($F$3:F21)</f>
        <v>-28341.1319106666</v>
      </c>
      <c r="C21" s="29"/>
      <c r="D21" s="29"/>
      <c r="E21" s="30">
        <v>50222</v>
      </c>
      <c r="F21" s="31">
        <f t="shared" si="0"/>
        <v>3413.696796</v>
      </c>
    </row>
    <row r="22" spans="2:6">
      <c r="B22" s="28">
        <f>SUM($F$3:F22)</f>
        <v>-24927.4351146666</v>
      </c>
      <c r="C22" s="29"/>
      <c r="D22" s="29"/>
      <c r="E22" s="30">
        <v>50587</v>
      </c>
      <c r="F22" s="31">
        <f t="shared" si="0"/>
        <v>3413.696796</v>
      </c>
    </row>
    <row r="23" spans="2:6">
      <c r="B23" s="28">
        <f>SUM($F$3:F23)</f>
        <v>-21513.7383186666</v>
      </c>
      <c r="C23" s="29"/>
      <c r="D23" s="29"/>
      <c r="E23" s="30">
        <v>50952</v>
      </c>
      <c r="F23" s="31">
        <f t="shared" si="0"/>
        <v>3413.696796</v>
      </c>
    </row>
    <row r="24" spans="2:6">
      <c r="B24" s="28">
        <f>SUM($F$3:F24)</f>
        <v>-18100.0415226666</v>
      </c>
      <c r="C24" s="29"/>
      <c r="D24" s="29"/>
      <c r="E24" s="30">
        <v>51318</v>
      </c>
      <c r="F24" s="31">
        <f t="shared" si="0"/>
        <v>3413.696796</v>
      </c>
    </row>
    <row r="25" spans="2:6">
      <c r="B25" s="28">
        <f>SUM($F$3:F25)</f>
        <v>-14686.3447266666</v>
      </c>
      <c r="C25" s="29"/>
      <c r="D25" s="29"/>
      <c r="E25" s="30">
        <v>51683</v>
      </c>
      <c r="F25" s="31">
        <f t="shared" si="0"/>
        <v>3413.696796</v>
      </c>
    </row>
    <row r="26" spans="2:6">
      <c r="B26" s="28">
        <f>SUM($F$3:F26)</f>
        <v>-11272.6479306666</v>
      </c>
      <c r="C26" s="29"/>
      <c r="D26" s="29"/>
      <c r="E26" s="30">
        <v>52048</v>
      </c>
      <c r="F26" s="31">
        <f t="shared" si="0"/>
        <v>3413.696796</v>
      </c>
    </row>
    <row r="27" spans="2:6">
      <c r="B27" s="28">
        <f>SUM($F$3:F27)</f>
        <v>-7858.95113466663</v>
      </c>
      <c r="C27" s="29"/>
      <c r="D27" s="29"/>
      <c r="E27" s="30">
        <v>52413</v>
      </c>
      <c r="F27" s="31">
        <f t="shared" si="0"/>
        <v>3413.696796</v>
      </c>
    </row>
    <row r="28" spans="2:9">
      <c r="B28" s="28">
        <f>SUM($F$3:F28)</f>
        <v>-4445.25433866663</v>
      </c>
      <c r="C28" s="29" t="s">
        <v>28</v>
      </c>
      <c r="D28" s="29"/>
      <c r="E28" s="30">
        <v>52779</v>
      </c>
      <c r="F28" s="31">
        <f t="shared" si="0"/>
        <v>3413.696796</v>
      </c>
      <c r="H28" s="46"/>
      <c r="I28" s="46"/>
    </row>
    <row r="29" spans="2:7">
      <c r="B29" s="28">
        <f>SUM($F$3:F29)</f>
        <v>69328.7456613334</v>
      </c>
      <c r="C29" s="29">
        <f>XIRR(F3:F29,E3:E29)</f>
        <v>0.0497632533311844</v>
      </c>
      <c r="D29" s="29" t="s">
        <v>13</v>
      </c>
      <c r="E29" s="30">
        <v>52779</v>
      </c>
      <c r="F29" s="31">
        <f>ABS(F3)+13000</f>
        <v>73774</v>
      </c>
      <c r="G29" s="23" t="s">
        <v>43</v>
      </c>
    </row>
    <row r="30" spans="2:4">
      <c r="B30" s="28"/>
      <c r="C30" s="29"/>
      <c r="D30" s="29"/>
    </row>
    <row r="31" spans="12:12">
      <c r="L31" s="23"/>
    </row>
    <row r="32" spans="5:14">
      <c r="E32" s="23"/>
      <c r="H32" s="28"/>
      <c r="I32" s="28"/>
      <c r="J32" s="28"/>
      <c r="K32" s="28"/>
      <c r="L32" s="28"/>
      <c r="M32" s="28"/>
      <c r="N32" s="28"/>
    </row>
    <row r="33" spans="2:12">
      <c r="B33" s="28" t="s">
        <v>32</v>
      </c>
      <c r="C33" s="28"/>
      <c r="D33" s="28"/>
      <c r="E33" s="28"/>
      <c r="F33" s="28"/>
      <c r="G33" s="28"/>
      <c r="L33" s="23"/>
    </row>
    <row r="34" spans="2:12">
      <c r="B34" s="23" t="s">
        <v>33</v>
      </c>
      <c r="E34" s="23"/>
      <c r="L34" s="23"/>
    </row>
    <row r="35" spans="5:5">
      <c r="E35" s="23"/>
    </row>
  </sheetData>
  <mergeCells count="8">
    <mergeCell ref="J4:N4"/>
    <mergeCell ref="J5:N5"/>
    <mergeCell ref="J6:N6"/>
    <mergeCell ref="J7:N7"/>
    <mergeCell ref="J8:N8"/>
    <mergeCell ref="B7:B8"/>
    <mergeCell ref="C7:C8"/>
    <mergeCell ref="G6:G8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"/>
  <sheetViews>
    <sheetView workbookViewId="0">
      <selection activeCell="D12" sqref="D12"/>
    </sheetView>
  </sheetViews>
  <sheetFormatPr defaultColWidth="9" defaultRowHeight="14.4"/>
  <cols>
    <col min="1" max="1" width="9.13888888888889" style="3"/>
    <col min="2" max="2" width="9.71296296296296" style="4" customWidth="1"/>
    <col min="3" max="3" width="9.85185185185185" customWidth="1"/>
    <col min="4" max="4" width="5.71296296296296" customWidth="1"/>
    <col min="5" max="5" width="11.287037037037" customWidth="1"/>
  </cols>
  <sheetData>
    <row r="2" spans="1:3">
      <c r="A2" s="3" t="s">
        <v>44</v>
      </c>
      <c r="C2" t="s">
        <v>0</v>
      </c>
    </row>
    <row r="3" spans="2:5">
      <c r="B3" s="2">
        <v>45177</v>
      </c>
      <c r="C3">
        <f>-I4/3</f>
        <v>-50065.6666666667</v>
      </c>
      <c r="E3" s="20" t="s">
        <v>45</v>
      </c>
    </row>
    <row r="4" spans="2:9">
      <c r="B4" s="4">
        <v>45261</v>
      </c>
      <c r="C4">
        <v>6129</v>
      </c>
      <c r="H4" t="s">
        <v>1</v>
      </c>
      <c r="I4">
        <v>150197</v>
      </c>
    </row>
    <row r="5" spans="2:3">
      <c r="B5" s="4">
        <v>45352</v>
      </c>
      <c r="C5">
        <f>C3</f>
        <v>-50065.6666666667</v>
      </c>
    </row>
    <row r="6" spans="8:8">
      <c r="H6" s="18" t="s">
        <v>46</v>
      </c>
    </row>
    <row r="7" spans="2:3">
      <c r="B7" s="4">
        <v>45717</v>
      </c>
      <c r="C7">
        <f>C3</f>
        <v>-50065.6666666667</v>
      </c>
    </row>
    <row r="9" spans="2:4">
      <c r="B9" s="4">
        <v>46082</v>
      </c>
      <c r="C9" s="21">
        <f>2.978%*I4</f>
        <v>4472.86666</v>
      </c>
      <c r="D9" t="s">
        <v>40</v>
      </c>
    </row>
    <row r="10" spans="1:6">
      <c r="A10" s="3">
        <f>SUM(C3:C10)</f>
        <v>10601.86666</v>
      </c>
      <c r="B10" s="4">
        <v>46082</v>
      </c>
      <c r="C10">
        <f>I4</f>
        <v>150197</v>
      </c>
      <c r="E10" s="4" t="s">
        <v>47</v>
      </c>
      <c r="F10" s="22">
        <f>XIRR(C3:C10,B3:B10)</f>
        <v>0.039874193072319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1"/>
  <sheetViews>
    <sheetView tabSelected="1" workbookViewId="0">
      <selection activeCell="J29" sqref="J29"/>
    </sheetView>
  </sheetViews>
  <sheetFormatPr defaultColWidth="9" defaultRowHeight="14.4"/>
  <cols>
    <col min="1" max="1" width="2.42592592592593" customWidth="1"/>
    <col min="2" max="2" width="6.85185185185185" style="3" customWidth="1"/>
    <col min="3" max="3" width="10.4444444444444" style="4" customWidth="1"/>
    <col min="4" max="4" width="11.5740740740741" customWidth="1"/>
    <col min="5" max="5" width="3.13888888888889" customWidth="1"/>
    <col min="6" max="6" width="23.8888888888889" customWidth="1"/>
    <col min="7" max="7" width="9" customWidth="1"/>
    <col min="9" max="9" width="11.5740740740741" customWidth="1"/>
    <col min="14" max="14" width="11.1388888888889" customWidth="1"/>
  </cols>
  <sheetData>
    <row r="2" spans="2:4">
      <c r="B2" s="5" t="s">
        <v>48</v>
      </c>
      <c r="C2" s="6"/>
      <c r="D2" s="7" t="s">
        <v>0</v>
      </c>
    </row>
    <row r="3" spans="2:6">
      <c r="B3" s="5"/>
      <c r="C3" s="8">
        <v>45744</v>
      </c>
      <c r="D3" s="9">
        <v>-75449.45</v>
      </c>
      <c r="F3" t="s">
        <v>49</v>
      </c>
    </row>
    <row r="4" spans="2:4">
      <c r="B4" s="5"/>
      <c r="C4" s="6"/>
      <c r="D4" s="9"/>
    </row>
    <row r="5" spans="2:6">
      <c r="B5" s="5"/>
      <c r="C5" s="6">
        <v>45778</v>
      </c>
      <c r="D5" s="9">
        <f>2263.48</f>
        <v>2263.48</v>
      </c>
      <c r="F5" s="10" t="s">
        <v>50</v>
      </c>
    </row>
    <row r="6" spans="2:7">
      <c r="B6" s="5"/>
      <c r="C6" s="6">
        <v>45809</v>
      </c>
      <c r="D6" s="9">
        <v>5636.07</v>
      </c>
      <c r="F6" s="10" t="s">
        <v>51</v>
      </c>
      <c r="G6" s="11"/>
    </row>
    <row r="7" spans="2:7">
      <c r="B7" s="5"/>
      <c r="C7" s="6"/>
      <c r="D7" s="9"/>
      <c r="F7" t="s">
        <v>52</v>
      </c>
      <c r="G7" s="11">
        <f>SUM(D5:D6)/G18</f>
        <v>0.0348999672407597</v>
      </c>
    </row>
    <row r="8" spans="2:6">
      <c r="B8" s="5"/>
      <c r="C8" s="6">
        <v>45901</v>
      </c>
      <c r="D8" s="9">
        <f>D3</f>
        <v>-75449.45</v>
      </c>
      <c r="F8" t="s">
        <v>53</v>
      </c>
    </row>
    <row r="9" spans="2:9">
      <c r="B9" s="5"/>
      <c r="C9" s="6">
        <v>46082</v>
      </c>
      <c r="D9" s="9">
        <v>0</v>
      </c>
      <c r="F9" t="s">
        <v>54</v>
      </c>
      <c r="I9" s="18"/>
    </row>
    <row r="10" spans="2:6">
      <c r="B10" s="5"/>
      <c r="C10" s="6">
        <v>46266</v>
      </c>
      <c r="D10" s="9">
        <f>D3</f>
        <v>-75449.45</v>
      </c>
      <c r="F10" t="s">
        <v>55</v>
      </c>
    </row>
    <row r="11" spans="2:6">
      <c r="B11" s="5"/>
      <c r="C11" s="6">
        <v>46569</v>
      </c>
      <c r="D11" s="9">
        <v>0</v>
      </c>
      <c r="F11" t="s">
        <v>56</v>
      </c>
    </row>
    <row r="12" spans="2:8">
      <c r="B12" s="5"/>
      <c r="C12" s="6">
        <v>46631</v>
      </c>
      <c r="D12" s="9">
        <f>G12*G18</f>
        <v>6813.085335</v>
      </c>
      <c r="F12" t="s">
        <v>57</v>
      </c>
      <c r="G12" s="12">
        <v>0.0301</v>
      </c>
      <c r="H12" t="s">
        <v>58</v>
      </c>
    </row>
    <row r="13" spans="2:6">
      <c r="B13" s="5"/>
      <c r="C13" s="6"/>
      <c r="D13" s="13"/>
      <c r="F13" t="s">
        <v>59</v>
      </c>
    </row>
    <row r="14" customFormat="1" spans="2:4">
      <c r="B14" s="5"/>
      <c r="C14" s="6"/>
      <c r="D14" s="13"/>
    </row>
    <row r="15" spans="2:6">
      <c r="B15" s="5">
        <f>SUM(D3:D15)</f>
        <v>14712.635335</v>
      </c>
      <c r="C15" s="6">
        <v>46631</v>
      </c>
      <c r="D15" s="13">
        <f>G18</f>
        <v>226348.35</v>
      </c>
      <c r="F15" t="s">
        <v>60</v>
      </c>
    </row>
    <row r="16" spans="2:2">
      <c r="B16" s="4" t="s">
        <v>61</v>
      </c>
    </row>
    <row r="17" spans="6:7">
      <c r="F17" s="14" t="s">
        <v>47</v>
      </c>
      <c r="G17" s="15">
        <f>XIRR(D3:D15,C3:C15)</f>
        <v>0.036879619272173</v>
      </c>
    </row>
    <row r="18" spans="6:7">
      <c r="F18" s="16" t="s">
        <v>1</v>
      </c>
      <c r="G18" s="17">
        <f>-D3*3</f>
        <v>226348.35</v>
      </c>
    </row>
    <row r="19" spans="6:7">
      <c r="F19" s="16" t="s">
        <v>62</v>
      </c>
      <c r="G19" s="16"/>
    </row>
    <row r="21" spans="14:14">
      <c r="N21" s="19"/>
    </row>
  </sheetData>
  <mergeCells count="2">
    <mergeCell ref="F13:H13"/>
    <mergeCell ref="F15:G15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E4" sqref="E4:R4"/>
    </sheetView>
  </sheetViews>
  <sheetFormatPr defaultColWidth="9" defaultRowHeight="14.4"/>
  <cols>
    <col min="1" max="2" width="9.85185185185185" customWidth="1"/>
    <col min="3" max="3" width="1.57407407407407" customWidth="1"/>
    <col min="4" max="4" width="5" customWidth="1"/>
  </cols>
  <sheetData>
    <row r="1" spans="2:5">
      <c r="B1" t="s">
        <v>0</v>
      </c>
      <c r="D1" t="s">
        <v>47</v>
      </c>
      <c r="E1" s="1">
        <f>XIRR(B2:B27,A2:A27)</f>
        <v>0.0299782305955887</v>
      </c>
    </row>
    <row r="2" spans="1:2">
      <c r="A2" s="2">
        <v>36526</v>
      </c>
      <c r="B2">
        <v>-100</v>
      </c>
    </row>
    <row r="3" spans="1:5">
      <c r="A3" s="2">
        <v>36892</v>
      </c>
      <c r="B3">
        <v>3</v>
      </c>
      <c r="E3" t="s">
        <v>63</v>
      </c>
    </row>
    <row r="4" spans="1:5">
      <c r="A4" s="2">
        <v>37257</v>
      </c>
      <c r="B4">
        <v>3</v>
      </c>
      <c r="E4" t="s">
        <v>64</v>
      </c>
    </row>
    <row r="5" spans="1:2">
      <c r="A5" s="2">
        <v>37622</v>
      </c>
      <c r="B5">
        <v>3</v>
      </c>
    </row>
    <row r="6" spans="1:2">
      <c r="A6" s="2">
        <v>37987</v>
      </c>
      <c r="B6">
        <v>3</v>
      </c>
    </row>
    <row r="7" spans="1:2">
      <c r="A7" s="2">
        <v>38353</v>
      </c>
      <c r="B7">
        <v>3</v>
      </c>
    </row>
    <row r="8" spans="1:2">
      <c r="A8" s="2">
        <v>38718</v>
      </c>
      <c r="B8">
        <v>3</v>
      </c>
    </row>
    <row r="9" spans="1:2">
      <c r="A9" s="2">
        <v>39083</v>
      </c>
      <c r="B9">
        <v>3</v>
      </c>
    </row>
    <row r="10" spans="1:2">
      <c r="A10" s="2">
        <v>39448</v>
      </c>
      <c r="B10">
        <v>3</v>
      </c>
    </row>
    <row r="11" spans="1:2">
      <c r="A11" s="2">
        <v>39814</v>
      </c>
      <c r="B11">
        <v>3</v>
      </c>
    </row>
    <row r="12" spans="1:2">
      <c r="A12" s="2">
        <v>40179</v>
      </c>
      <c r="B12">
        <v>3</v>
      </c>
    </row>
    <row r="13" spans="1:2">
      <c r="A13" s="2">
        <v>40544</v>
      </c>
      <c r="B13">
        <v>3</v>
      </c>
    </row>
    <row r="14" spans="1:2">
      <c r="A14" s="2">
        <v>40909</v>
      </c>
      <c r="B14">
        <v>3</v>
      </c>
    </row>
    <row r="15" spans="1:2">
      <c r="A15" s="2">
        <v>41275</v>
      </c>
      <c r="B15">
        <v>3</v>
      </c>
    </row>
    <row r="16" spans="1:2">
      <c r="A16" s="2">
        <v>41640</v>
      </c>
      <c r="B16">
        <v>3</v>
      </c>
    </row>
    <row r="17" spans="1:2">
      <c r="A17" s="2">
        <v>42005</v>
      </c>
      <c r="B17">
        <v>3</v>
      </c>
    </row>
    <row r="18" spans="1:2">
      <c r="A18" s="2">
        <v>42370</v>
      </c>
      <c r="B18">
        <v>3</v>
      </c>
    </row>
    <row r="19" spans="1:2">
      <c r="A19" s="2">
        <v>42736</v>
      </c>
      <c r="B19">
        <v>3</v>
      </c>
    </row>
    <row r="20" spans="1:2">
      <c r="A20" s="2">
        <v>43101</v>
      </c>
      <c r="B20">
        <v>3</v>
      </c>
    </row>
    <row r="21" spans="1:2">
      <c r="A21" s="2">
        <v>43466</v>
      </c>
      <c r="B21">
        <v>3</v>
      </c>
    </row>
    <row r="22" spans="1:2">
      <c r="A22" s="2">
        <v>43831</v>
      </c>
      <c r="B22">
        <v>3</v>
      </c>
    </row>
    <row r="23" spans="1:2">
      <c r="A23" s="2">
        <v>44197</v>
      </c>
      <c r="B23">
        <v>3</v>
      </c>
    </row>
    <row r="24" spans="1:2">
      <c r="A24" s="2">
        <v>44562</v>
      </c>
      <c r="B24">
        <v>3</v>
      </c>
    </row>
    <row r="25" spans="1:2">
      <c r="A25" s="2">
        <v>44927</v>
      </c>
      <c r="B25">
        <v>3</v>
      </c>
    </row>
    <row r="26" spans="1:2">
      <c r="A26" s="2">
        <v>45292</v>
      </c>
      <c r="B26">
        <v>3</v>
      </c>
    </row>
    <row r="27" spans="1:2">
      <c r="A27" s="2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FWD300</vt:lpstr>
      <vt:lpstr>FLi250</vt:lpstr>
      <vt:lpstr>FLi150</vt:lpstr>
      <vt:lpstr>FLi226</vt:lpstr>
      <vt:lpstr>xirr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root1</cp:lastModifiedBy>
  <dcterms:created xsi:type="dcterms:W3CDTF">2023-08-09T09:59:00Z</dcterms:created>
  <dcterms:modified xsi:type="dcterms:W3CDTF">2025-03-28T14:59:29Z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6E266BE6ECB949D59D574BEFC4C4BE19_12</vt:lpwstr>
  </property>
  <property fmtid="{D5CDD505-2E9C-101B-9397-08002B2CF9AE}" pid="3" name="KSOProductBuildVer">
    <vt:lpwstr>1033-12.2.0.13359</vt:lpwstr>
  </property>
</Properties>
</file>