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901E0ED-9274-416D-AD53-34EEFE865BA2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O20" i="32" l="1"/>
  <c r="MO33" i="32"/>
  <c r="MO40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AE3" i="21" l="1"/>
  <c r="M40" i="34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<sst xmlns="http://schemas.openxmlformats.org/spreadsheetml/2006/main" count="8509" uniqueCount="3508">
  <si>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</si>
  <si>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</si>
  <si>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</si>
  <si>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</si>
  <si>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</si>
  <si>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</si>
  <si>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</si>
  <si>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</si>
  <si>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</si>
  <si>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</si>
  <si>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</si>
  <si>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</si>
  <si>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</si>
  <si>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</si>
  <si>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</si>
  <si>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</si>
  <si>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</si>
  <si>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</si>
  <si>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</si>
  <si>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</si>
  <si>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</si>
  <si>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</si>
  <si>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</si>
  <si>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</si>
  <si>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</si>
  <si>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</si>
  <si>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</si>
  <si>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</si>
  <si>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</si>
  <si>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</si>
  <si>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</si>
  <si>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</si>
  <si>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</si>
  <si>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</si>
  <si>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</si>
  <si>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</si>
  <si>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</si>
  <si>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</si>
  <si>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</si>
  <si>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</si>
  <si>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</si>
  <si>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</si>
  <si>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</si>
  <si>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</si>
  <si>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</si>
  <si>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</si>
  <si>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</si>
  <si>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</si>
  <si>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</si>
  <si>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</si>
  <si>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</si>
  <si>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</si>
  <si>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</si>
  <si>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</si>
  <si>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</si>
  <si>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</si>
  <si>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</si>
  <si>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</si>
  <si>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</si>
  <si>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</si>
  <si>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</si>
  <si>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</si>
  <si>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</si>
  <si>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</si>
  <si>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</si>
  <si>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</si>
  <si>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</si>
  <si>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</si>
  <si>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</si>
  <si>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</si>
  <si>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</si>
  <si>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</si>
  <si>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</si>
  <si>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</si>
  <si>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</si>
  <si>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</si>
  <si>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</si>
  <si>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</si>
  <si>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</si>
  <si>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</si>
  <si>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</si>
  <si>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</si>
  <si>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</si>
  <si>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</si>
  <si>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</si>
  <si>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</si>
  <si>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</si>
  <si>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</si>
  <si>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</si>
  <si>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</si>
  <si>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</si>
  <si>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</si>
  <si>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</si>
  <si>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</si>
  <si>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</si>
  <si>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</si>
  <si>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</si>
  <si>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</si>
  <si>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</si>
  <si>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</si>
  <si>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</si>
  <si>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</si>
  <si>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</si>
  <si>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</si>
  <si>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</si>
  <si>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</si>
  <si>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</si>
  <si>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</si>
  <si>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</si>
  <si>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</si>
  <si>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</si>
  <si>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</si>
  <si>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</si>
  <si>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</si>
  <si>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</si>
  <si>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</si>
  <si>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</si>
  <si>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</si>
  <si>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</si>
  <si>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</si>
  <si>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</si>
  <si>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</si>
  <si>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</si>
  <si>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</si>
  <si>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</si>
  <si>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</si>
  <si>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</si>
  <si>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</si>
  <si>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</si>
  <si>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</si>
  <si>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</si>
  <si>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</si>
  <si>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</si>
  <si>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</si>
  <si>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</si>
  <si>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</si>
  <si>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</si>
  <si>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</si>
  <si>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</si>
  <si>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</si>
  <si>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</si>
  <si>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</si>
  <si>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</si>
  <si>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</si>
  <si>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</si>
  <si>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</si>
  <si>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</si>
  <si>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</si>
  <si>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</si>
  <si>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</si>
  <si>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</si>
  <si>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</si>
  <si>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</si>
  <si>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</si>
  <si>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</si>
  <si>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</si>
  <si>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</si>
  <si>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</si>
  <si>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</si>
  <si>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</si>
  <si>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</si>
  <si>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</si>
  <si>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</si>
  <si>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</si>
  <si>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</si>
  <si>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</si>
  <si>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</si>
  <si>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</si>
  <si>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</si>
  <si>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</si>
  <si>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</si>
  <si>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</si>
  <si>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</si>
  <si>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</si>
  <si>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</si>
  <si>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</si>
  <si>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</si>
  <si>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</si>
  <si>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</si>
  <si>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</si>
  <si>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</si>
  <si>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</si>
  <si>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</si>
  <si>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</si>
  <si>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</si>
  <si>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</si>
  <si>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</si>
  <si>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</si>
  <si>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</si>
  <si>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</si>
  <si>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</si>
  <si>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</si>
  <si>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</si>
  <si>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</si>
  <si>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</si>
  <si>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</si>
  <si>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</si>
  <si>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</si>
  <si>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</si>
  <si>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</si>
  <si>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</si>
  <si>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</si>
  <si>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</si>
  <si>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</si>
  <si>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</si>
  <si>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</si>
  <si>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</si>
  <si>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</si>
  <si>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</si>
  <si>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</si>
  <si>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</si>
  <si>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</si>
  <si>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</si>
  <si>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</si>
  <si>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</si>
  <si>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</si>
  <si>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</si>
  <si>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</si>
  <si>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</si>
  <si>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</si>
  <si>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</si>
  <si>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</si>
  <si>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</si>
  <si>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</si>
  <si>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</si>
  <si>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</si>
  <si>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</si>
  <si>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</si>
  <si>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</si>
  <si>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</si>
  <si>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</si>
  <si>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</si>
  <si>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</si>
  <si>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</si>
  <si>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</si>
  <si>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</si>
  <si>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</si>
  <si>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</si>
  <si>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</si>
  <si>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</si>
  <si>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</si>
  <si>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</si>
  <si>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</si>
  <si>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</si>
  <si>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</si>
  <si>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</si>
  <si>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</si>
  <si>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</si>
  <si>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</si>
  <si>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</si>
  <si>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</si>
  <si>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</si>
  <si>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</si>
  <si>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</si>
  <si>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</si>
  <si>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</si>
  <si>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</si>
  <si>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</si>
  <si>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</si>
  <si>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</si>
  <si>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</si>
  <si>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</si>
  <si>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</si>
  <si>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</si>
  <si>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</si>
  <si>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</si>
  <si>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</si>
  <si>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</si>
  <si>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</si>
  <si>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</si>
  <si>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</si>
  <si>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</si>
  <si>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</si>
  <si>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</si>
  <si>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</si>
  <si>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</si>
  <si>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</si>
  <si>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</si>
  <si>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</si>
  <si>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</si>
  <si>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</si>
  <si>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</si>
  <si>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</si>
  <si>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</si>
  <si>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</si>
  <si>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</si>
  <si>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</si>
  <si>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</si>
  <si>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</si>
  <si>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</si>
  <si>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</si>
  <si>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</si>
  <si>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</si>
  <si>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</si>
  <si>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</si>
  <si>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</si>
  <si>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</si>
  <si>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</si>
  <si>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</si>
  <si>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</si>
  <si>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</si>
  <si>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</si>
  <si>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</si>
  <si>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</si>
  <si>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</si>
  <si>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</si>
  <si>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</si>
  <si>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</si>
  <si>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</si>
  <si>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</si>
  <si>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</si>
  <si>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</si>
  <si>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</si>
  <si>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</si>
  <si>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</si>
  <si>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</si>
  <si>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</si>
  <si>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</si>
  <si>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</si>
  <si>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</si>
  <si>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</si>
  <si>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</si>
  <si>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</si>
  <si>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</si>
  <si>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</si>
  <si>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</si>
  <si>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</si>
  <si>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</si>
  <si>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</si>
  <si>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</si>
  <si>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</si>
  <si>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</si>
  <si>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</si>
  <si>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</si>
  <si>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</si>
  <si>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</si>
  <si>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</si>
  <si>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</si>
  <si>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</si>
  <si>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</si>
  <si>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</si>
  <si>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</si>
  <si>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</si>
  <si>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</si>
  <si>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</si>
  <si>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</si>
  <si>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</si>
  <si>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</si>
  <si>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</si>
  <si>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</si>
  <si>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</si>
  <si>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</si>
  <si>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</si>
  <si>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</si>
  <si>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</si>
  <si>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</si>
  <si>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</si>
  <si>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</si>
  <si>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</si>
  <si>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</si>
  <si>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</si>
  <si>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</si>
  <si>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</si>
  <si>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</si>
  <si>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</si>
  <si>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</si>
  <si>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</si>
  <si>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</si>
  <si>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</si>
  <si>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</si>
  <si>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</si>
  <si>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</si>
  <si>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</si>
  <si>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</si>
  <si>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</si>
  <si>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</si>
  <si>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</si>
  <si>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</si>
  <si>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</si>
  <si>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</si>
  <si>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</si>
  <si>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</si>
  <si>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</si>
  <si>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</si>
  <si>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</si>
  <si>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</si>
  <si>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</si>
  <si>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</si>
  <si>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</si>
  <si>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</si>
  <si>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</si>
  <si>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</si>
  <si>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</si>
  <si>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</si>
  <si>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</si>
  <si>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</si>
  <si>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</si>
  <si>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</si>
  <si>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</si>
  <si>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</si>
  <si>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</si>
  <si>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</si>
  <si>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</si>
  <si>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</si>
  <si>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</si>
  <si>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</si>
  <si>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</si>
  <si>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</si>
  <si>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</si>
  <si>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</si>
  <si>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</si>
  <si>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</si>
  <si>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</si>
  <si>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</si>
  <si>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</si>
  <si>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</si>
  <si>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</si>
  <si>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</si>
  <si>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</si>
  <si>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</si>
  <si>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</si>
  <si>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</si>
  <si>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</si>
  <si>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</si>
  <si>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</si>
  <si>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</si>
  <si>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</si>
  <si>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</si>
  <si>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</si>
  <si>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</si>
  <si>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</si>
  <si>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</si>
  <si>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</si>
  <si>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</si>
  <si>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</si>
  <si>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</si>
  <si>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</si>
  <si>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</si>
  <si>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</si>
  <si>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</si>
  <si>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</si>
  <si>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</si>
  <si>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</si>
  <si>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</si>
  <si>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</si>
  <si>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</si>
  <si>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</si>
  <si>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</si>
  <si>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</si>
  <si>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</si>
  <si>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</si>
  <si>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</si>
  <si>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</si>
  <si>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</si>
  <si>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</si>
  <si>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</si>
  <si>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</si>
  <si>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</si>
  <si>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</si>
  <si>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</si>
  <si>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</si>
  <si>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</si>
  <si>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</si>
  <si>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</si>
  <si>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</si>
  <si>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</si>
  <si>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</si>
  <si>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</si>
  <si>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</si>
  <si>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</si>
  <si>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</si>
  <si>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</si>
  <si>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</si>
  <si>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</si>
  <si>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</si>
  <si>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</si>
  <si>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</si>
  <si>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</si>
  <si>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</si>
  <si>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</si>
  <si>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</si>
  <si>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</si>
  <si>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</si>
  <si>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</si>
  <si>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</si>
  <si>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</si>
  <si>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</si>
  <si>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</si>
  <si>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</si>
  <si>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</si>
  <si>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</si>
  <si>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</si>
  <si>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</si>
  <si>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</si>
  <si>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</si>
  <si>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</si>
  <si>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</si>
  <si>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</si>
  <si>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</si>
  <si>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</si>
  <si>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</si>
  <si>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</si>
  <si>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</si>
  <si>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</si>
  <si>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</si>
  <si>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</si>
  <si>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</si>
  <si>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</si>
  <si>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</si>
  <si>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</si>
  <si>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</si>
  <si>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</si>
  <si>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</si>
  <si>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</si>
  <si>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</si>
  <si>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</si>
  <si>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</si>
  <si>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</si>
  <si>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</si>
  <si>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</si>
  <si>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</si>
  <si>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</si>
  <si>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</si>
  <si>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</si>
  <si>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</si>
  <si>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</si>
  <si>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</si>
  <si>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</si>
  <si>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</si>
  <si>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</si>
  <si>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</si>
  <si>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</si>
  <si>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</si>
  <si>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</si>
  <si>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</si>
  <si>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</si>
  <si>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</si>
  <si>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</si>
  <si>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</si>
  <si>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</si>
  <si>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</si>
  <si>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</si>
  <si>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</si>
  <si>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</si>
  <si>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</si>
  <si>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</si>
  <si>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</si>
  <si>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</si>
  <si>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</si>
  <si>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</si>
  <si>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</si>
  <si>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</si>
  <si>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</si>
  <si>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</si>
  <si>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</si>
  <si>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</si>
  <si>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</si>
  <si>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</si>
  <si>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</si>
  <si>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</si>
  <si>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</si>
  <si>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</si>
  <si>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</si>
  <si>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</si>
  <si>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</si>
  <si>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</si>
  <si>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</si>
  <si>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</si>
  <si>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</si>
  <si>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</si>
  <si>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</si>
  <si>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</si>
  <si>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</si>
  <si>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</si>
  <si>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</si>
  <si>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</si>
  <si>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</si>
  <si>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</si>
  <si>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</si>
  <si>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</si>
  <si>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</si>
  <si>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</si>
  <si>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</si>
  <si>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</si>
  <si>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</si>
  <si>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</si>
  <si>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</si>
  <si>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</si>
  <si>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</si>
  <si>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</si>
  <si>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</si>
  <si>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</si>
  <si>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</si>
  <si>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</si>
  <si>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</si>
  <si>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</si>
  <si>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</si>
  <si>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</si>
  <si>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</si>
  <si>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</si>
  <si>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</si>
  <si>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</si>
  <si>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</si>
  <si>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</si>
  <si>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</si>
  <si>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</si>
  <si>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</si>
  <si>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</si>
  <si>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</si>
  <si>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</si>
  <si>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</si>
  <si>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</si>
  <si>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</si>
  <si>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</si>
  <si>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</si>
  <si>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</si>
  <si>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</si>
  <si>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</si>
  <si>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</si>
  <si>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</si>
  <si>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</si>
  <si>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</si>
  <si>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</si>
  <si>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</si>
  <si>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</si>
  <si>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</si>
  <si>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</si>
  <si>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</si>
  <si>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</si>
  <si>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</si>
  <si>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</si>
  <si>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</si>
  <si>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</si>
  <si>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</si>
  <si>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</si>
  <si>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</si>
  <si>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</si>
  <si>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</si>
  <si>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</si>
  <si>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</si>
  <si>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</si>
  <si>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</si>
  <si>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</si>
  <si>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</si>
  <si>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</si>
  <si>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</si>
  <si>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</si>
  <si>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</si>
  <si>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</si>
  <si>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</si>
  <si>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</si>
  <si>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</si>
  <si>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</si>
  <si>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</si>
  <si>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</si>
  <si>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</si>
  <si>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</si>
  <si>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</si>
  <si>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</si>
  <si>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</si>
  <si>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</si>
  <si>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</si>
  <si>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</si>
  <si>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</si>
  <si>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</si>
  <si>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</si>
  <si>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</si>
  <si>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</si>
  <si>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</si>
  <si>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</si>
  <si>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</si>
  <si>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</si>
  <si>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</si>
  <si>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</si>
  <si>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</si>
  <si>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</si>
  <si>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</si>
  <si>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</si>
  <si>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</si>
  <si>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</si>
  <si>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</si>
  <si>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</si>
  <si>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</si>
  <si>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</si>
  <si>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</si>
  <si>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</si>
  <si>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</si>
  <si>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</si>
  <si>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</si>
  <si>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</si>
  <si>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</si>
  <si>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</si>
  <si>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</si>
  <si>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</si>
  <si>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</si>
  <si>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</si>
  <si>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</si>
  <si>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</si>
  <si>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</si>
  <si>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</si>
  <si>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</si>
  <si>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</si>
  <si>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</si>
  <si>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</si>
  <si>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</si>
  <si>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</si>
  <si>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</si>
  <si>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</si>
  <si>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</si>
  <si>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</si>
  <si>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</si>
  <si>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</si>
  <si>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</si>
  <si>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</si>
  <si>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</si>
  <si>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</si>
  <si>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</si>
  <si>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</si>
  <si>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</si>
  <si>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</si>
  <si>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</si>
  <si>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</si>
  <si>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</si>
  <si>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</si>
  <si>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</si>
  <si>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</si>
  <si>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</si>
  <si>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</si>
  <si>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</si>
  <si>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</si>
  <si>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</si>
  <si>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</si>
  <si>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</si>
  <si>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</si>
  <si>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</si>
  <si>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</si>
  <si>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</si>
  <si>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</si>
  <si>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</si>
  <si>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</si>
  <si>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</si>
  <si>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</si>
  <si>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</si>
  <si>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</si>
  <si>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</si>
  <si>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</si>
  <si>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</si>
  <si>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</si>
  <si>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</si>
  <si>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</si>
  <si>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</si>
  <si>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</si>
  <si>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</si>
  <si>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</si>
  <si>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</si>
  <si>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</si>
  <si>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</si>
  <si>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</si>
  <si>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</si>
  <si>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</si>
  <si>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</si>
  <si>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</si>
  <si>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</si>
  <si>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</si>
  <si>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</si>
  <si>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</si>
  <si>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</si>
  <si>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</si>
  <si>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</si>
  <si>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</si>
  <si>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</si>
  <si>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</si>
  <si>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</si>
  <si>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</si>
  <si>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</si>
  <si>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</si>
  <si>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</si>
  <si>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</si>
  <si>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</si>
  <si>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</si>
  <si>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</si>
  <si>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</si>
  <si>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</si>
  <si>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</si>
  <si>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</si>
  <si>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</si>
  <si>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</si>
  <si>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</si>
  <si>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</si>
  <si>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</si>
  <si>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</si>
  <si>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</si>
  <si>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</si>
  <si>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</si>
  <si>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</si>
  <si>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</si>
  <si>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</si>
  <si>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</si>
  <si>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</si>
  <si>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</si>
  <si>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</si>
  <si>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</si>
  <si>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</si>
  <si>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</si>
  <si>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</si>
  <si>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</si>
  <si>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</si>
  <si>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</si>
  <si>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</si>
  <si>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</si>
  <si>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</si>
  <si>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</si>
  <si>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</si>
  <si>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</si>
  <si>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</si>
  <si>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</si>
  <si>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</si>
  <si>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</si>
  <si>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</si>
  <si>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</si>
  <si>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</si>
  <si>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</si>
  <si>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</si>
  <si>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</si>
  <si>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</si>
  <si>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</si>
  <si>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</si>
  <si>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</si>
  <si>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</si>
  <si>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</si>
  <si>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</si>
  <si>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</si>
  <si>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</si>
  <si>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</si>
  <si>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</si>
  <si>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</si>
  <si>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</si>
  <si>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</si>
  <si>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</si>
  <si>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</si>
  <si>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</si>
  <si>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</si>
  <si>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</si>
  <si>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</si>
  <si>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</si>
  <si>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</si>
  <si>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</si>
  <si>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</si>
  <si>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</si>
  <si>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</si>
  <si>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</si>
  <si>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</si>
  <si>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</si>
  <si>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</si>
  <si>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</si>
  <si>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</si>
  <si>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</si>
  <si>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</si>
  <si>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</si>
  <si>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</si>
  <si>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</si>
  <si>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</si>
  <si>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</si>
  <si>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</si>
  <si>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</si>
  <si>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</si>
  <si>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</si>
  <si>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</si>
  <si>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</si>
  <si>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</si>
  <si>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</si>
  <si>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</si>
  <si>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</si>
  <si>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</si>
  <si>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</si>
  <si>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</si>
  <si>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</si>
  <si>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</si>
  <si>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</si>
  <si>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</si>
  <si>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</si>
  <si>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</si>
  <si>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</si>
  <si>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</si>
  <si>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</si>
  <si>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</si>
  <si>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</si>
  <si>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</si>
  <si>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</si>
  <si>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</si>
  <si>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</si>
  <si>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</si>
  <si>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</si>
  <si>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</si>
  <si>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</si>
  <si>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</si>
  <si>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</si>
  <si>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</si>
  <si>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</si>
  <si>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</si>
  <si>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</si>
  <si>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</si>
  <si>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</si>
  <si>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</si>
  <si>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</si>
  <si>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</si>
  <si>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</si>
  <si>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</si>
  <si>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</si>
  <si>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</si>
  <si>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</si>
  <si>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</si>
  <si>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</si>
  <si>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</si>
  <si>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</si>
  <si>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</si>
  <si>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</si>
  <si>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</si>
  <si>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</si>
  <si>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</si>
  <si>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</si>
  <si>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</si>
  <si>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</si>
  <si>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</si>
  <si>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</si>
  <si>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</si>
  <si>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</si>
  <si>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</si>
  <si>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</si>
  <si>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</si>
  <si>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</si>
  <si>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</si>
  <si>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</si>
  <si>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</si>
  <si>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</si>
  <si>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</si>
  <si>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</si>
  <si>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</si>
  <si>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</si>
  <si>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</si>
  <si>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</si>
  <si>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</si>
  <si>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</si>
  <si>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</si>
  <si>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</si>
  <si>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</si>
  <si>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</si>
  <si>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</si>
  <si>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</si>
  <si>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</si>
  <si>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</si>
  <si>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</si>
  <si>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</si>
  <si>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</si>
  <si>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</si>
  <si>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</si>
  <si>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</si>
  <si>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</si>
  <si>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</si>
  <si>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</si>
  <si>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</si>
  <si>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</si>
  <si>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</si>
  <si>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</si>
  <si>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</si>
  <si>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</si>
  <si>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</si>
  <si>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</si>
  <si>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</si>
  <si>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</si>
  <si>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</si>
  <si>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</si>
  <si>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</si>
  <si>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</si>
  <si>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</si>
  <si>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</si>
  <si>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</si>
  <si>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</si>
  <si>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</si>
  <si>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</si>
  <si>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</si>
  <si>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</si>
  <si>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</si>
  <si>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</si>
  <si>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</si>
  <si>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</si>
  <si>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</si>
  <si>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</si>
  <si>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</si>
  <si>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</si>
  <si>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</si>
  <si>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</si>
  <si>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</si>
  <si>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</si>
  <si>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</si>
  <si>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</si>
  <si>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</si>
  <si>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</si>
  <si>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</si>
  <si>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</si>
  <si>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</si>
  <si>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</si>
  <si>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</si>
  <si>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</si>
  <si>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</si>
  <si>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</si>
  <si>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</si>
  <si>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</si>
  <si>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</si>
  <si>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</si>
  <si>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</si>
  <si>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</si>
  <si>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</si>
  <si>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</si>
  <si>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</si>
  <si>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</si>
  <si>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</si>
  <si>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</si>
  <si>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</si>
  <si>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</si>
  <si>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</si>
  <si>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</si>
  <si>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</si>
  <si>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</si>
  <si>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</si>
  <si>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</si>
  <si>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</si>
  <si>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</si>
  <si>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</si>
  <si>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</si>
  <si>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</si>
  <si>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</si>
  <si>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</si>
  <si>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</si>
  <si>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</si>
  <si>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</si>
  <si>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</si>
  <si>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</si>
  <si>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</si>
  <si>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</si>
  <si>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</si>
  <si>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</si>
  <si>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</si>
  <si>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</si>
  <si>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</si>
  <si>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</si>
  <si>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</si>
  <si>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</si>
  <si>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</si>
  <si>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</si>
  <si>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</si>
  <si>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</si>
  <si>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</si>
  <si>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</si>
  <si>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</si>
  <si>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</si>
  <si>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</si>
  <si>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</si>
  <si>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</si>
  <si>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</si>
  <si>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</si>
  <si>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</si>
  <si>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</si>
  <si>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</si>
  <si>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</si>
  <si>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</si>
  <si>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</si>
  <si>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</si>
  <si>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</si>
  <si>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</si>
  <si>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</si>
  <si>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</si>
  <si>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</si>
  <si>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</si>
  <si>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</si>
  <si>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</si>
  <si>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</si>
  <si>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</si>
  <si>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</si>
  <si>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</si>
  <si>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</si>
  <si>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</si>
  <si>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</si>
  <si>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</si>
  <si>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</si>
  <si>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</si>
  <si>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</si>
  <si>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</si>
  <si>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</si>
  <si>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</si>
  <si>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</si>
  <si>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</si>
  <si>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</si>
  <si>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</si>
  <si>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</si>
  <si>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</si>
  <si>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</si>
  <si>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</si>
  <si>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</si>
  <si>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</si>
  <si>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</si>
  <si>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</si>
  <si>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</si>
  <si>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</si>
  <si>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</si>
  <si>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</si>
  <si>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</si>
  <si>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</si>
  <si>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</si>
  <si>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</si>
  <si>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</si>
  <si>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</si>
  <si>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</si>
  <si>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</si>
  <si>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</si>
  <si>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</si>
  <si>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</si>
  <si>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</si>
  <si>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</si>
  <si>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</si>
  <si>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</si>
  <si>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</si>
  <si>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</si>
  <si>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</si>
  <si>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</si>
  <si>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</si>
  <si>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</si>
  <si>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</si>
  <si>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</si>
  <si>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</si>
  <si>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</si>
  <si>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</si>
  <si>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</si>
  <si>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</si>
  <si>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</si>
  <si>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</si>
  <si>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</si>
  <si>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</si>
  <si>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</si>
  <si>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</si>
  <si>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</si>
  <si>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</si>
  <si>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</si>
  <si>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</si>
  <si>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</si>
  <si>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</si>
  <si>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</si>
  <si>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</si>
  <si>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</si>
  <si>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</si>
  <si>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</si>
  <si>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</si>
  <si>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</si>
  <si>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</si>
  <si>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</si>
  <si>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</si>
  <si>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</si>
  <si>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</si>
  <si>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</si>
  <si>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</si>
  <si>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</si>
  <si>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</si>
  <si>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</si>
  <si>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</si>
  <si>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</si>
  <si>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</si>
  <si>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</si>
  <si>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</si>
  <si>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</si>
  <si>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</si>
  <si>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</si>
  <si>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</si>
  <si>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</si>
  <si>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</si>
  <si>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</si>
  <si>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</si>
  <si>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</si>
  <si>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</si>
  <si>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</si>
  <si>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</si>
  <si>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</si>
  <si>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</si>
  <si>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</si>
  <si>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</si>
  <si>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</si>
  <si>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</si>
  <si>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</si>
  <si>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</si>
  <si>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</si>
  <si>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</si>
  <si>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</si>
  <si>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</si>
  <si>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</si>
  <si>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</si>
  <si>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</si>
  <si>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</si>
  <si>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</si>
  <si>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</si>
  <si>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</si>
  <si>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</si>
  <si>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</si>
  <si>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</si>
  <si>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</si>
  <si>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</si>
  <si>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</si>
  <si>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</si>
  <si>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</si>
  <si>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</si>
  <si>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</si>
  <si>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</si>
  <si>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</si>
  <si>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</si>
  <si>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</si>
  <si>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</si>
  <si>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</si>
  <si>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</si>
  <si>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</si>
  <si>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</si>
  <si>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</si>
  <si>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</si>
  <si>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</si>
  <si>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</si>
  <si>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</si>
  <si>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</si>
  <si>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</si>
  <si>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</si>
  <si>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</si>
  <si>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</si>
  <si>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</si>
  <si>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</si>
  <si>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</si>
  <si>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</si>
  <si>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</si>
  <si>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</si>
  <si>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</si>
  <si>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</si>
  <si>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</si>
  <si>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</si>
  <si>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</si>
  <si>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</si>
  <si>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</si>
  <si>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</si>
  <si>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</si>
  <si>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</si>
  <si>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</si>
  <si>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</si>
  <si>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</si>
  <si>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</si>
  <si>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</si>
  <si>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</si>
  <si>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</si>
  <si>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</si>
  <si>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</si>
  <si>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</si>
  <si>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</si>
  <si>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</si>
  <si>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</si>
  <si>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</si>
  <si>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</si>
  <si>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</si>
  <si>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</si>
  <si>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</si>
  <si>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</si>
  <si>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</si>
  <si>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</si>
  <si>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</si>
  <si>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</si>
  <si>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</si>
  <si>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</si>
  <si>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</si>
  <si>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</si>
  <si>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</si>
  <si>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</si>
  <si>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</si>
  <si>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</si>
  <si>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</si>
  <si>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</si>
  <si>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</si>
  <si>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</si>
  <si>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</si>
  <si>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</si>
  <si>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</si>
  <si>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</si>
  <si>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</si>
  <si>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</si>
  <si>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</si>
  <si>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</si>
  <si>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</si>
  <si>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</si>
  <si>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</si>
  <si>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</si>
  <si>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</si>
  <si>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</si>
  <si>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</si>
  <si>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</si>
  <si>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</si>
  <si>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</si>
  <si>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</si>
  <si>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</si>
  <si>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</si>
  <si>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</si>
  <si>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</si>
  <si>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</si>
  <si>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</si>
  <si>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</si>
  <si>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</si>
  <si>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</si>
  <si>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</si>
  <si>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</si>
  <si>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</si>
  <si>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</si>
  <si>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</si>
  <si>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</si>
  <si>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</si>
  <si>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</si>
  <si>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</si>
  <si>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</si>
  <si>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</si>
  <si>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</si>
  <si>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</si>
  <si>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</si>
  <si>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</si>
  <si>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</si>
  <si>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</si>
  <si>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</si>
  <si>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</si>
  <si>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</si>
  <si>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</si>
  <si>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</si>
  <si>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</si>
  <si>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</si>
  <si>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</si>
  <si>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</si>
  <si>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</si>
  <si>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</si>
  <si>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</si>
  <si>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</si>
  <si>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</si>
  <si>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</si>
  <si>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</si>
  <si>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</si>
  <si>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</si>
  <si>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</si>
  <si>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</si>
  <si>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</si>
  <si>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</si>
  <si>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</si>
  <si>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</si>
  <si>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</si>
  <si>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</si>
  <si>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</si>
  <si>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</si>
  <si>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</si>
  <si>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</si>
  <si>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</si>
  <si>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</si>
  <si>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</si>
  <si>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</si>
  <si>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</si>
  <si>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</si>
  <si>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</si>
  <si>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</si>
  <si>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</si>
  <si>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</si>
  <si>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</si>
  <si>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</si>
  <si>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</si>
  <si>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</si>
  <si>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</si>
  <si>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</si>
  <si>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</si>
  <si>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</si>
  <si>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</si>
  <si>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</si>
  <si>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</si>
  <si>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</si>
  <si>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</si>
  <si>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</si>
  <si>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</si>
  <si>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</si>
  <si>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</si>
  <si>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</si>
  <si>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</si>
  <si>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</si>
  <si>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</si>
  <si>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</si>
  <si>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</si>
  <si>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</si>
  <si>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</si>
  <si>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</si>
  <si>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</si>
  <si>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</si>
  <si>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</si>
  <si>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</si>
  <si>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</si>
  <si>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</si>
  <si>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</si>
  <si>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</si>
  <si>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</si>
  <si>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</si>
  <si>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</si>
  <si>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</si>
  <si>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</si>
  <si>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</si>
  <si>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</si>
  <si>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</si>
  <si>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</si>
  <si>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</si>
  <si>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</si>
  <si>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</si>
  <si>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</si>
  <si>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</si>
  <si>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</si>
  <si>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</si>
  <si>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</si>
  <si>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</si>
  <si>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</si>
  <si>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</si>
  <si>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</si>
  <si>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</si>
  <si>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</si>
  <si>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</si>
  <si>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</si>
  <si>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</si>
  <si>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</si>
  <si>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</si>
  <si>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</si>
  <si>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</si>
  <si>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</si>
  <si>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</si>
  <si>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</si>
  <si>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</si>
  <si>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</si>
  <si>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</si>
  <si>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</si>
  <si>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</si>
  <si>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</si>
  <si>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</si>
  <si>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</si>
  <si>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</si>
  <si>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</si>
  <si>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</si>
  <si>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</si>
  <si>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</si>
  <si>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</si>
  <si>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</si>
  <si>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</si>
  <si>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</si>
  <si>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</si>
  <si>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</si>
  <si>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</si>
  <si>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</si>
  <si>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</si>
  <si>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</si>
  <si>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</si>
  <si>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</si>
  <si>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</si>
  <si>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</si>
  <si>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</si>
  <si>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</si>
  <si>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</si>
  <si>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</si>
  <si>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</si>
  <si>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</si>
  <si>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</si>
  <si>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</si>
  <si>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</si>
  <si>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</si>
  <si>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</si>
  <si>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</si>
  <si>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</si>
  <si>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</si>
  <si>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</si>
  <si>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</si>
  <si>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</si>
  <si>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</si>
  <si>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</si>
  <si>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</si>
  <si>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</si>
  <si>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</si>
  <si>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</si>
  <si>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</si>
  <si>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</si>
  <si>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</si>
  <si>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</si>
  <si>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</si>
  <si>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</si>
  <si>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</si>
  <si>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</si>
  <si>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</si>
  <si>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</si>
  <si>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</si>
  <si>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</si>
  <si>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</si>
  <si>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</si>
  <si>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</si>
  <si>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</si>
  <si>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</si>
  <si>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</si>
  <si>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</si>
  <si>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</si>
  <si>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</si>
  <si>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</si>
  <si>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</si>
  <si>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</si>
  <si>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</si>
  <si>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</si>
  <si>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</si>
  <si>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</si>
  <si>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</si>
  <si>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</si>
  <si>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</si>
  <si>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</si>
  <si>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</si>
  <si>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</si>
  <si>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</si>
  <si>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</si>
  <si>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</si>
  <si>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</si>
  <si>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</si>
  <si>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</si>
  <si>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</si>
  <si>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</si>
  <si>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</si>
  <si>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</si>
  <si>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</si>
  <si>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</si>
  <si>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</si>
  <si>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</si>
  <si>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</si>
  <si>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</si>
  <si>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</si>
  <si>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</si>
  <si>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</si>
  <si>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</si>
  <si>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</si>
  <si>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</si>
  <si>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</si>
  <si>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</si>
  <si>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</si>
  <si>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</si>
  <si>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</si>
  <si>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</si>
  <si>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</si>
  <si>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</si>
  <si>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</si>
  <si>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</si>
  <si>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</si>
  <si>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</si>
  <si>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</si>
  <si>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</si>
  <si>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</si>
  <si>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</si>
  <si>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</si>
  <si>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</si>
  <si>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</si>
  <si>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</si>
  <si>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</si>
  <si>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</si>
  <si>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</si>
  <si>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</si>
  <si>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</si>
  <si>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</si>
  <si>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</si>
  <si>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</si>
  <si>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</si>
  <si>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</si>
  <si>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</si>
  <si>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</si>
  <si>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</si>
  <si>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</si>
  <si>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</si>
  <si>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</si>
  <si>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</si>
  <si>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</si>
  <si>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</si>
  <si>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</si>
  <si>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</si>
  <si>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</si>
  <si>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</si>
  <si>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</si>
  <si>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</si>
  <si>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</si>
  <si>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</si>
  <si>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</si>
  <si>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</si>
  <si>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</si>
  <si>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</si>
  <si>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</si>
  <si>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</si>
  <si>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</si>
  <si>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</si>
  <si>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</si>
  <si>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</si>
  <si>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</si>
  <si>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</si>
  <si>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</si>
  <si>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</si>
  <si>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</si>
  <si>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</si>
  <si>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</si>
  <si>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</si>
  <si>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</si>
  <si>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</si>
  <si>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</si>
  <si>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</si>
  <si>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</si>
  <si>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</si>
  <si>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</si>
  <si>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</si>
  <si>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</si>
  <si>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</si>
  <si>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</si>
  <si>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</si>
  <si>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</si>
  <si>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</si>
  <si>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</si>
  <si>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</si>
  <si>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</si>
  <si>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</si>
  <si>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</si>
  <si>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</si>
  <si>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</si>
  <si>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</si>
  <si>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</si>
  <si>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</si>
  <si>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</si>
  <si>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</si>
  <si>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</si>
  <si>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</si>
  <si>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</si>
  <si>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</si>
  <si>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</si>
  <si>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</si>
  <si>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</si>
  <si>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</si>
  <si>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</si>
  <si>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</si>
  <si>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</si>
  <si>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</si>
  <si>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</si>
  <si>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</si>
  <si>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</si>
  <si>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</si>
  <si>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</si>
  <si>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</si>
  <si>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</si>
  <si>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</si>
  <si>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</si>
  <si>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</si>
  <si>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</si>
  <si>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</si>
  <si>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</si>
  <si>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</si>
  <si>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</si>
  <si>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</si>
  <si>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</si>
  <si>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</si>
  <si>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</si>
  <si>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</si>
  <si>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</si>
  <si>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</si>
  <si>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</si>
  <si>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</si>
  <si>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</si>
  <si>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</si>
  <si>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</si>
  <si>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</si>
  <si>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</si>
  <si>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</si>
  <si>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</si>
  <si>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</si>
  <si>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</si>
  <si>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</si>
  <si>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</si>
  <si>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</si>
  <si>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</si>
  <si>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</si>
  <si>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</si>
  <si>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</si>
  <si>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</si>
  <si>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</si>
  <si>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</si>
  <si>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</si>
  <si>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</si>
  <si>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</si>
  <si>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</si>
  <si>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</si>
  <si>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</si>
  <si>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</si>
  <si>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</si>
  <si>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</si>
  <si>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</si>
  <si>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</si>
  <si>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</si>
  <si>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</si>
  <si>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</si>
  <si>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</si>
  <si>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</si>
  <si>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</si>
  <si>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</si>
  <si>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</si>
  <si>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</si>
  <si>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</si>
  <si>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</si>
  <si>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</si>
  <si>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</si>
  <si>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</si>
  <si>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</si>
  <si>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</si>
  <si>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</si>
  <si>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</si>
  <si>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</si>
  <si>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</si>
  <si>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</si>
  <si>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</si>
  <si>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</si>
  <si>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</si>
  <si>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</si>
  <si>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</si>
  <si>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</si>
  <si>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</si>
  <si>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</si>
  <si>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</si>
  <si>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</si>
  <si>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</si>
  <si>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</si>
  <si>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</si>
  <si>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</si>
  <si>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</si>
  <si>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</si>
  <si>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</si>
  <si>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</si>
  <si>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</si>
  <si>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</si>
  <si>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</si>
  <si>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</si>
  <si>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</si>
  <si>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</si>
  <si>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</si>
  <si>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</si>
  <si>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</si>
  <si>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</si>
  <si>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</si>
  <si>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</si>
  <si>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</si>
  <si>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</si>
  <si>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</si>
  <si>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</si>
  <si>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</si>
  <si>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</si>
  <si>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</si>
  <si>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</si>
  <si>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</si>
  <si>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</si>
  <si>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</si>
  <si>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</si>
  <si>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</si>
  <si>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</si>
  <si>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</si>
  <si>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</si>
  <si>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</si>
  <si>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</si>
  <si>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</si>
  <si>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</si>
  <si>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</si>
  <si>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</si>
  <si>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</si>
  <si>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</si>
  <si>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</si>
  <si>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</si>
  <si>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</si>
  <si>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</si>
  <si>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</si>
  <si>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</si>
  <si>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</si>
  <si>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</si>
  <si>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</si>
  <si>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</si>
  <si>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</si>
  <si>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</si>
  <si>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</si>
  <si>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</si>
  <si>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</si>
  <si>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</si>
  <si>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</si>
  <si>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</si>
  <si>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</si>
  <si>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</si>
  <si>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</si>
  <si>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</si>
  <si>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</si>
  <si>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</si>
  <si>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</si>
  <si>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</si>
  <si>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</si>
  <si>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</si>
  <si>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</si>
  <si>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</si>
  <si>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</si>
  <si>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</si>
  <si>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</si>
  <si>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</si>
  <si>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</si>
  <si>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</si>
  <si>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</si>
  <si>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</si>
  <si>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</si>
  <si>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</si>
  <si>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</si>
  <si>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</si>
  <si>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</si>
  <si>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</si>
  <si>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</si>
  <si>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</si>
  <si>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</si>
  <si>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</si>
  <si>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</si>
  <si>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</si>
  <si>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</si>
  <si>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</si>
  <si>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</si>
  <si>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</si>
  <si>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</si>
  <si>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</si>
  <si>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</si>
  <si>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</si>
  <si>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</si>
  <si>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</si>
  <si>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</si>
  <si>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</si>
  <si>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</si>
  <si>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</si>
  <si>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</si>
  <si>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</si>
  <si>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</si>
  <si>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</si>
  <si>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</si>
  <si>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</si>
  <si>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</si>
  <si>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</si>
  <si>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</si>
  <si>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</si>
  <si>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</si>
  <si>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</si>
  <si>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</si>
  <si>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</si>
  <si>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</si>
  <si>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</si>
  <si>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</si>
  <si>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</si>
  <si>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</si>
  <si>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</si>
  <si>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</si>
  <si>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</si>
  <si>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</si>
  <si>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</si>
  <si>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</si>
  <si>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</si>
  <si>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</si>
  <si>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</si>
  <si>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</si>
  <si>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</si>
  <si>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</si>
  <si>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</si>
  <si>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</si>
  <si>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</si>
  <si>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</si>
  <si>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</si>
  <si>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</si>
  <si>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</si>
  <si>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</si>
  <si>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</si>
  <si>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</si>
  <si>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</si>
  <si>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</si>
  <si>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</si>
  <si>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</si>
  <si>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</si>
  <si>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</si>
  <si>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</si>
  <si>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</si>
  <si>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</si>
  <si>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</si>
  <si>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</si>
  <si>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</si>
  <si>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</si>
  <si>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</si>
  <si>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</si>
  <si>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</si>
  <si>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</si>
  <si>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</si>
  <si>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</si>
  <si>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</si>
  <si>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</si>
  <si>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</si>
  <si>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</si>
  <si>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</si>
  <si>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</si>
  <si>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</si>
  <si>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</si>
  <si>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</si>
  <si>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</si>
  <si>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</si>
  <si>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</si>
  <si>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</si>
  <si>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</si>
  <si>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</si>
  <si>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</si>
  <si>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</si>
  <si>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</si>
  <si>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</si>
  <si>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</si>
  <si>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</si>
  <si>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</si>
  <si>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</si>
  <si>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</si>
  <si>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</si>
  <si>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</si>
  <si>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</si>
  <si>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</si>
  <si>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</si>
  <si>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</si>
  <si>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</si>
  <si>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</si>
  <si>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</si>
  <si>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</si>
  <si>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</si>
  <si>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</si>
  <si>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</si>
  <si>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</si>
  <si>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</si>
  <si>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</si>
  <si>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</si>
  <si>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</si>
  <si>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</si>
  <si>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</si>
  <si>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</si>
  <si>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</si>
  <si>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</si>
  <si>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</si>
  <si>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</si>
  <si>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</si>
  <si>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</si>
  <si>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</si>
  <si>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</si>
  <si>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</si>
  <si>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</si>
  <si>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</si>
  <si>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</si>
  <si>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</si>
  <si>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</si>
  <si>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</si>
  <si>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</si>
  <si>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</si>
  <si>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</si>
  <si>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</si>
  <si>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</si>
  <si>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</si>
  <si>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</si>
  <si>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</si>
  <si>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</si>
  <si>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</si>
  <si>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</si>
  <si>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</si>
  <si>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</si>
  <si>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</si>
  <si>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</si>
  <si>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</si>
  <si>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</si>
  <si>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</si>
  <si>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</si>
  <si>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</si>
  <si>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</si>
  <si>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</si>
  <si>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</si>
  <si>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</si>
  <si>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</si>
  <si>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</si>
  <si>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</si>
  <si>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</si>
  <si>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</si>
  <si>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</si>
  <si>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</si>
  <si>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</si>
  <si>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</si>
  <si>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</si>
  <si>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</si>
  <si>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</si>
  <si>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</si>
  <si>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</si>
  <si>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</si>
  <si>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</si>
  <si>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</si>
  <si>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</si>
  <si>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</si>
  <si>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</si>
  <si>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</si>
  <si>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</si>
  <si>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</si>
  <si>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</si>
  <si>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</si>
  <si>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</si>
  <si>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</si>
  <si>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</si>
  <si>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</si>
  <si>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</si>
  <si>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</si>
  <si>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</si>
  <si>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</si>
  <si>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</si>
  <si>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</si>
  <si>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</si>
  <si>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</si>
  <si>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</si>
  <si>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</si>
  <si>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</si>
  <si>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</si>
  <si>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</si>
  <si>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</si>
  <si>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</si>
  <si>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</si>
  <si>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</si>
  <si>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</si>
  <si>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</si>
  <si>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</si>
  <si>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</si>
  <si>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</si>
  <si>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</si>
  <si>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</si>
  <si>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</si>
  <si>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</si>
  <si>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</si>
  <si>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</si>
  <si>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</si>
  <si>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</si>
  <si>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</si>
  <si>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</si>
  <si>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</si>
  <si>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</si>
  <si>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</si>
  <si>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</si>
  <si>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</si>
  <si>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</si>
  <si>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</si>
  <si>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</si>
  <si>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</si>
  <si>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</si>
  <si>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</si>
  <si>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</si>
  <si>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</si>
  <si>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</si>
  <si>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</si>
  <si>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</si>
  <si>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</si>
  <si>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</si>
  <si>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</si>
  <si>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</si>
  <si>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</si>
  <si>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</si>
  <si>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</si>
  <si>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</si>
  <si>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</si>
  <si>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</si>
  <si>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</si>
  <si>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</si>
  <si>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</si>
  <si>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</si>
  <si>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</si>
  <si>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</si>
  <si>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</si>
  <si>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</si>
  <si>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</si>
  <si>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</si>
  <si>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</si>
  <si>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</si>
  <si>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</si>
  <si>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</si>
  <si>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</si>
  <si>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</si>
  <si>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</si>
  <si>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</si>
  <si>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</si>
  <si>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</si>
  <si>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</si>
  <si>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</si>
  <si>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</si>
  <si>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</si>
  <si>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</si>
  <si>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</si>
  <si>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</si>
  <si>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</si>
  <si>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</si>
  <si>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</si>
  <si>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</si>
  <si>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</si>
  <si>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</si>
  <si>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</si>
  <si>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</si>
  <si>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</si>
  <si>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</si>
  <si>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</si>
  <si>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</si>
  <si>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</si>
  <si>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</si>
  <si>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</si>
  <si>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</si>
  <si>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</si>
  <si>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</si>
  <si>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</si>
  <si>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</si>
  <si>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</si>
  <si>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</si>
  <si>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</si>
  <si>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</si>
  <si>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</si>
  <si>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</si>
  <si>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</si>
  <si>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</si>
  <si>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</si>
  <si>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</si>
  <si>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</si>
  <si>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</si>
  <si>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</si>
  <si>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</si>
  <si>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</si>
  <si>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</si>
  <si>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</si>
  <si>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</si>
  <si>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</si>
  <si>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</si>
  <si>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</si>
  <si>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</si>
  <si>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</si>
  <si>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</si>
  <si>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</si>
  <si>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</si>
  <si>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</si>
  <si>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</si>
  <si>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</si>
  <si>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</si>
  <si>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</si>
  <si>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</si>
  <si>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</si>
  <si>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</si>
  <si>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</si>
  <si>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</si>
  <si>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</si>
  <si>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</si>
  <si>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</si>
  <si>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</si>
  <si>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</si>
  <si>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</si>
  <si>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</si>
  <si>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</si>
  <si>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</si>
  <si>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</si>
  <si>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</si>
  <si>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</si>
  <si>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</si>
  <si>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</si>
  <si>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</si>
  <si>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</si>
  <si>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</si>
  <si>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</si>
  <si>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</si>
  <si>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</si>
  <si>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</si>
  <si>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</si>
  <si>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</si>
  <si>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</si>
  <si>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</si>
  <si>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</si>
  <si>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</si>
  <si>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</si>
  <si>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</si>
  <si>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</si>
  <si>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</si>
  <si>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</si>
  <si>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</si>
  <si>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</si>
  <si>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</si>
  <si>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</si>
  <si>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</si>
  <si>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</si>
  <si>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</si>
  <si>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</si>
  <si>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</si>
  <si>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</si>
  <si>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</si>
  <si>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</si>
  <si>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</si>
  <si>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</si>
  <si>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</si>
  <si>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</si>
  <si>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</si>
  <si>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</si>
  <si>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</si>
  <si>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</si>
  <si>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</si>
  <si>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</si>
  <si>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</si>
  <si>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</si>
  <si>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</si>
  <si>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</si>
  <si>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</si>
  <si>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</si>
  <si>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</si>
  <si>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</si>
  <si>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</si>
  <si>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</si>
  <si>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</si>
  <si>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</si>
  <si>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</si>
  <si>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</si>
  <si>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</si>
  <si>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</si>
  <si>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</si>
  <si>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</si>
  <si>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</si>
  <si>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</si>
  <si>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</si>
  <si>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</si>
  <si>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</si>
  <si>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</si>
  <si>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</si>
  <si>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</si>
  <si>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</si>
  <si>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</si>
  <si>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</si>
  <si>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</si>
  <si>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</si>
  <si>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</si>
  <si>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</si>
  <si>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</si>
  <si>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</si>
  <si>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</si>
  <si>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</si>
  <si>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</si>
  <si>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</si>
  <si>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</si>
  <si>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</si>
  <si>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</si>
  <si>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</si>
  <si>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</si>
  <si>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</si>
  <si>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</si>
  <si>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</si>
  <si>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</si>
  <si>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</si>
  <si>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</si>
  <si>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</si>
  <si>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</si>
  <si>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</si>
  <si>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</si>
  <si>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</si>
  <si>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</si>
  <si>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</si>
  <si>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</si>
  <si>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</si>
  <si>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</si>
  <si>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</si>
  <si>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</si>
  <si>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</si>
  <si>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</si>
  <si>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</si>
  <si>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</si>
  <si>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</si>
  <si>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</si>
  <si>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</si>
  <si>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</si>
  <si>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</si>
  <si>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</si>
  <si>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</si>
  <si>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</si>
  <si>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</si>
  <si>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</si>
  <si>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</si>
  <si>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</si>
  <si>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</si>
  <si>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</si>
  <si>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</si>
  <si>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</si>
  <si>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</si>
  <si>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</si>
  <si>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</si>
  <si>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</si>
  <si>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</si>
  <si>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</si>
  <si>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</si>
  <si>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</si>
  <si>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</si>
  <si>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</si>
  <si>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</si>
  <si>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</si>
  <si>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</si>
  <si>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</si>
  <si>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</si>
  <si>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</si>
  <si>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</si>
  <si>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</si>
  <si>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</si>
  <si>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</si>
  <si>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</si>
  <si>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</si>
  <si>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</si>
  <si>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</si>
  <si>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</si>
  <si>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</si>
  <si>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</si>
  <si>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</si>
  <si>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</si>
  <si>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</si>
  <si>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</si>
  <si>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</si>
  <si>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</si>
  <si>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</si>
  <si>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</si>
  <si>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</si>
  <si>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</si>
  <si>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</si>
  <si>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</si>
  <si>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</si>
  <si>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</si>
  <si>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</si>
  <si>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</si>
  <si>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</si>
  <si>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</si>
  <si>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</si>
  <si>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</si>
  <si>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</si>
  <si>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</si>
  <si>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</si>
  <si>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</si>
  <si>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</si>
  <si>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</si>
  <si>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</si>
  <si>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</si>
  <si>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</si>
  <si>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</si>
  <si>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</si>
  <si>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</si>
  <si>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</si>
  <si>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</si>
  <si>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</si>
  <si>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</si>
  <si>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</si>
  <si>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</si>
  <si>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</si>
  <si>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</si>
  <si>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</si>
  <si>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</si>
  <si>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</si>
  <si>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</si>
  <si>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</si>
  <si>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</si>
  <si>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</si>
  <si>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</si>
  <si>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</si>
  <si>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</si>
  <si>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</si>
  <si>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</si>
  <si>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</si>
  <si>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</si>
  <si>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</si>
  <si>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</si>
  <si>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</si>
  <si>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</si>
  <si>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</si>
  <si>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</si>
  <si>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</si>
  <si>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</si>
  <si>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</si>
  <si>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</si>
  <si>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</si>
  <si>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</si>
  <si>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</si>
  <si>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</si>
  <si>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</si>
  <si>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</si>
  <si>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</si>
  <si>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</si>
  <si>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</si>
  <si>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</si>
  <si>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</si>
  <si>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</si>
  <si>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</si>
  <si>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</si>
  <si>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</si>
  <si>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</si>
  <si>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</si>
  <si>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</si>
  <si>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</si>
  <si>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</si>
  <si>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</si>
  <si>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</si>
  <si>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</si>
  <si>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</si>
  <si>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</si>
  <si>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</si>
  <si>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</si>
  <si>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</si>
  <si>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</si>
  <si>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</si>
  <si>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</si>
  <si>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</si>
  <si>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</si>
  <si>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</si>
  <si>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</si>
  <si>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</si>
  <si>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</si>
  <si>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</si>
  <si>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</si>
  <si>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</si>
  <si>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</si>
  <si>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</si>
  <si>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</si>
  <si>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</si>
  <si>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</si>
  <si>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</si>
  <si>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</si>
  <si>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</si>
  <si>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</si>
  <si>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</si>
  <si>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</si>
  <si>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</si>
  <si>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</si>
  <si>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</si>
  <si>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</si>
  <si>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</si>
  <si>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</si>
  <si>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</si>
  <si>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</si>
  <si>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</si>
  <si>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</si>
  <si>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</si>
  <si>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</si>
  <si>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</si>
  <si>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</si>
  <si>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</si>
  <si>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</si>
  <si>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</si>
  <si>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</si>
  <si>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</si>
  <si>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</si>
  <si>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</si>
  <si>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</si>
  <si>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</si>
  <si>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</si>
  <si>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</si>
  <si>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</si>
  <si>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</si>
  <si>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</si>
  <si>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</si>
  <si>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</si>
  <si>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</si>
  <si>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</si>
  <si>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</si>
  <si>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</si>
  <si>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</si>
  <si>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</si>
  <si>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</si>
  <si>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</si>
  <si>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</si>
  <si>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</si>
  <si>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</si>
  <si>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</si>
  <si>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</si>
  <si>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</si>
  <si>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</si>
  <si>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</si>
  <si>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</si>
  <si>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</si>
  <si>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</si>
  <si>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</si>
  <si>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</si>
  <si>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</si>
  <si>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</si>
  <si>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</si>
  <si>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</si>
  <si>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</si>
  <si>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</si>
  <si>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</si>
  <si>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</si>
  <si>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</si>
  <si>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</si>
  <si>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</si>
  <si>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</si>
  <si>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</si>
  <si>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</si>
  <si>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</si>
  <si>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</si>
  <si>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</si>
  <si>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</si>
  <si>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</si>
  <si>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</si>
  <si>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</si>
  <si>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</si>
  <si>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</si>
  <si>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</si>
  <si>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</si>
  <si>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</si>
  <si>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</si>
  <si>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</si>
  <si>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</si>
  <si>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</si>
  <si>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</si>
  <si>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</si>
  <si>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</si>
  <si>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</si>
  <si>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</si>
  <si>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</si>
  <si>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</si>
  <si>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</si>
  <si>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</si>
  <si>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</si>
  <si>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</si>
  <si>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</si>
  <si>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</si>
  <si>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</si>
  <si>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</si>
  <si>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</si>
  <si>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</si>
  <si>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</si>
  <si>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</si>
  <si>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</si>
  <si>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</si>
  <si>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</si>
  <si>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</si>
  <si>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</si>
  <si>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</si>
  <si>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</si>
  <si>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</si>
  <si>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</si>
  <si>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</si>
  <si>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</si>
  <si>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</si>
  <si>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</si>
  <si>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</si>
  <si>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</si>
  <si>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</si>
  <si>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</si>
  <si>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</si>
  <si>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</si>
  <si>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</si>
  <si>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</si>
  <si>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</si>
  <si>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</si>
  <si>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</si>
  <si>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</si>
  <si>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</si>
  <si>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</si>
  <si>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</si>
  <si>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</si>
  <si>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</si>
  <si>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</si>
  <si>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</si>
  <si>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</si>
  <si>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</si>
  <si>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</si>
  <si>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</si>
  <si>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</si>
  <si>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</si>
  <si>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</si>
  <si>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</si>
  <si>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</si>
  <si>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</si>
  <si>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</si>
  <si>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</si>
  <si>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</si>
  <si>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</si>
  <si>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</si>
  <si>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</si>
  <si>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</si>
  <si>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</si>
  <si>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</si>
  <si>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</si>
  <si>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</si>
  <si>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</si>
  <si>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</si>
  <si>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</si>
  <si>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</si>
  <si>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</si>
  <si>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</si>
  <si>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</si>
  <si>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</si>
  <si>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</si>
  <si>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</si>
  <si>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</si>
  <si>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</si>
  <si>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</si>
  <si>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</si>
  <si>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</si>
  <si>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</si>
  <si>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</si>
  <si>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</si>
  <si>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</si>
  <si>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</si>
  <si>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</si>
  <si>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</si>
  <si>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</si>
  <si>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</si>
  <si>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</si>
  <si>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</si>
  <si>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</si>
  <si>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</si>
  <si>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</si>
  <si>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</si>
  <si>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</si>
  <si>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</si>
  <si>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</si>
  <si>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</si>
  <si>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</si>
  <si>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</si>
  <si>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</si>
  <si>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</si>
  <si>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</si>
  <si>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</si>
  <si>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</si>
  <si>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</si>
  <si>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</si>
  <si>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</si>
  <si>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</si>
  <si>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</si>
  <si>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</si>
  <si>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</si>
  <si>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</si>
  <si>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</si>
  <si>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</si>
  <si>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</si>
  <si>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</si>
  <si>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</si>
  <si>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</si>
  <si>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</si>
  <si>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</si>
  <si>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</si>
  <si>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</si>
  <si>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</si>
  <si>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</si>
  <si>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</si>
  <si>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</si>
  <si>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</si>
  <si>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</si>
  <si>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</si>
  <si>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</si>
  <si>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</si>
  <si>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</si>
  <si>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</si>
  <si>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</si>
  <si>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</si>
  <si>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</si>
  <si>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</si>
  <si>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</si>
  <si>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</si>
  <si>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</si>
  <si>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</si>
  <si>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</si>
  <si>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</si>
  <si>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</si>
  <si>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</si>
  <si>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</si>
  <si>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</si>
  <si>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</si>
  <si>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</si>
  <si>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</si>
  <si>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</si>
  <si>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</si>
  <si>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</si>
  <si>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</si>
  <si>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</si>
  <si>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</si>
  <si>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</si>
  <si>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</si>
  <si>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</si>
  <si>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</si>
  <si>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</si>
  <si>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</si>
  <si>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</si>
  <si>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</si>
  <si>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</si>
  <si>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</si>
  <si>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</si>
  <si>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</si>
  <si>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</si>
  <si>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</si>
  <si>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</si>
  <si>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</si>
  <si>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</si>
  <si>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</si>
  <si>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</si>
  <si>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</si>
  <si>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</si>
  <si>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</si>
  <si>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</si>
  <si>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</si>
  <si>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</si>
  <si>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</si>
  <si>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</si>
  <si>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</si>
  <si>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</si>
  <si>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</si>
  <si>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</si>
  <si>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</si>
  <si>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</si>
  <si>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</si>
  <si>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</si>
  <si>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</si>
  <si>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</si>
  <si>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</si>
  <si>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</si>
  <si>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</si>
  <si>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</si>
  <si>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</si>
  <si>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</si>
  <si>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</si>
  <si>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</si>
  <si>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</si>
  <si>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</si>
  <si>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</si>
  <si>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</si>
  <si>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</si>
  <si>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</si>
  <si>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</si>
  <si>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</si>
  <si>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</si>
  <si>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</si>
  <si>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</si>
  <si>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</si>
  <si>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</si>
  <si>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</si>
  <si>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</si>
  <si>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</si>
  <si>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</si>
  <si>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</si>
  <si>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</si>
  <si>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</si>
  <si>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</si>
  <si>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</si>
  <si>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</si>
  <si>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</si>
  <si>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</si>
  <si>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</si>
  <si>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</si>
  <si>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</si>
  <si>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</si>
  <si>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</si>
  <si>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</si>
  <si>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</si>
  <si>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</si>
  <si>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</si>
  <si>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</si>
  <si>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</si>
  <si>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</si>
  <si>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</si>
  <si>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</si>
  <si>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</si>
  <si>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</si>
  <si>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</si>
  <si>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</si>
  <si>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</si>
  <si>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</si>
  <si>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</si>
  <si>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</si>
  <si>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</si>
  <si>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</si>
  <si>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</si>
  <si>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</si>
  <si>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</si>
  <si>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</si>
  <si>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</si>
  <si>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</si>
  <si>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</si>
  <si>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</si>
  <si>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</si>
  <si>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</si>
  <si>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</si>
  <si>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</si>
  <si>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</si>
  <si>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</si>
  <si>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</si>
  <si>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</si>
  <si>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</si>
  <si>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</si>
  <si>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</si>
  <si>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</si>
  <si>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</si>
  <si>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</si>
  <si>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</si>
  <si>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</si>
  <si>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</si>
  <si>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</si>
  <si>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</si>
  <si>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</si>
  <si>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</si>
  <si>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</si>
  <si>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</si>
  <si>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</si>
  <si>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</si>
  <si>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</si>
  <si>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</si>
  <si>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</si>
  <si>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</si>
  <si>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</si>
  <si>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</si>
  <si>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</si>
  <si>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</si>
  <si>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</si>
  <si>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</si>
  <si>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</si>
  <si>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</si>
  <si>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</si>
  <si>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</si>
  <si>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</si>
  <si>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</si>
  <si>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</si>
  <si>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</si>
  <si>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</si>
  <si>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</si>
  <si>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</si>
  <si>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</si>
  <si>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</si>
  <si>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</si>
  <si>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</si>
  <si>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</si>
  <si>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</si>
  <si>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</si>
  <si>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</si>
  <si>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</si>
  <si>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</si>
  <si>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</si>
  <si>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</si>
  <si>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</si>
  <si>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</si>
  <si>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</si>
  <si>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</si>
  <si>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</si>
  <si>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</si>
  <si>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</si>
  <si>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</si>
  <si>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</si>
  <si>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</si>
  <si>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</si>
  <si>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</si>
  <si>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</si>
  <si>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</si>
  <si>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</si>
  <si>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</si>
  <si>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</si>
  <si>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</si>
  <si>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</si>
  <si>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</si>
  <si>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</si>
  <si>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</si>
  <si>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</si>
  <si>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</si>
  <si>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</si>
  <si>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</si>
  <si>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</si>
  <si>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</si>
  <si>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</si>
  <si>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</si>
  <si>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</si>
  <si>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</si>
  <si>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</si>
  <si>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</si>
  <si>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</si>
  <si>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</si>
  <si>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</si>
  <si>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</si>
  <si>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</si>
  <si>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</si>
  <si>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</si>
  <si>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</si>
  <si>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</si>
  <si>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</si>
  <si>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</si>
  <si>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</si>
  <si>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</si>
  <si>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</si>
  <si>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</si>
  <si>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</si>
  <si>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</si>
  <si>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</si>
  <si>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</si>
  <si>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</si>
  <si>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</si>
  <si>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</si>
  <si>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</si>
  <si>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</si>
  <si>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</si>
  <si>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</si>
  <si>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</si>
  <si>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</si>
  <si>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</si>
  <si>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</si>
  <si>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</si>
  <si>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</si>
  <si>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</si>
  <si>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</si>
  <si>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</si>
  <si>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</si>
  <si>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</si>
  <si>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</si>
  <si>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</si>
  <si>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</si>
  <si>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</si>
  <si>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</si>
  <si>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</si>
  <si>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</si>
  <si>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</si>
  <si>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</si>
  <si>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</si>
  <si>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</si>
  <si>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</si>
  <si>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</si>
  <si>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</si>
  <si>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</si>
  <si>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</si>
  <si>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</si>
  <si>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</si>
  <si>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</si>
  <si>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</si>
  <si>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</si>
  <si>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</si>
  <si>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</si>
  <si>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</si>
  <si>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</si>
  <si>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</si>
  <si>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</si>
  <si>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</si>
  <si>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</si>
  <si>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</si>
  <si>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</si>
  <si>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</si>
  <si>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</si>
  <si>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</si>
  <si>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</si>
  <si>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</si>
  <si>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</si>
  <si>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</si>
  <si>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</si>
  <si>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</si>
  <si>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</si>
  <si>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</si>
  <si>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</si>
  <si>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</si>
  <si>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</si>
  <si>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</si>
  <si>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</si>
  <si>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</si>
  <si>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</si>
  <si>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</si>
  <si>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</si>
  <si>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</si>
  <si>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</si>
  <si>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</si>
  <si>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</si>
  <si>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</si>
  <si>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</si>
  <si>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</si>
  <si>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</si>
  <si>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</si>
  <si>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</si>
  <si>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</si>
  <si>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</si>
  <si>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</si>
  <si>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</si>
  <si>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</si>
  <si>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</si>
  <si>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</si>
  <si>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</si>
  <si>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</si>
  <si>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</si>
  <si>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</si>
  <si>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</si>
  <si>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</si>
  <si>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</si>
  <si>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</si>
  <si>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</si>
  <si>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</si>
  <si>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</si>
  <si>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</si>
  <si>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</si>
  <si>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</si>
  <si>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</si>
  <si>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</si>
  <si>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</si>
  <si>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</si>
  <si>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</si>
  <si>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</si>
  <si>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</si>
  <si>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</si>
  <si>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</si>
  <si>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</si>
  <si>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</si>
  <si>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</si>
  <si>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</si>
  <si>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</si>
  <si>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</si>
  <si>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</si>
  <si>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</si>
  <si>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</si>
  <si>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</si>
  <si>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</si>
  <si>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</si>
  <si>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</si>
  <si>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</si>
  <si>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</si>
  <si>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</si>
  <si>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</si>
  <si>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</si>
  <si>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</si>
  <si>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</si>
  <si>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</si>
  <si>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</si>
  <si>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</si>
  <si>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</si>
  <si>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</si>
  <si>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</si>
  <si>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</si>
  <si>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</si>
  <si>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</si>
  <si>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</si>
  <si>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</si>
  <si>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</si>
  <si>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</si>
  <si>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</si>
  <si>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</si>
  <si>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</si>
  <si>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</si>
  <si>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</si>
  <si>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</si>
  <si>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</si>
  <si>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</si>
  <si>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</si>
  <si>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</si>
  <si>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</si>
  <si>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</si>
  <si>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</si>
  <si>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</si>
  <si>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</si>
  <si>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</si>
  <si>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</si>
  <si>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</si>
  <si>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</si>
  <si>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</si>
  <si>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</si>
  <si>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</si>
  <si>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</si>
  <si>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</si>
  <si>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</si>
  <si>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</si>
  <si>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</si>
  <si>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</si>
  <si>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</si>
  <si>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</si>
  <si>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</si>
  <si>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</si>
  <si>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</si>
  <si>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</si>
  <si>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</si>
  <si>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</si>
  <si>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</si>
  <si>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</si>
  <si>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</si>
  <si>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</si>
  <si>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</si>
  <si>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</si>
  <si>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</si>
  <si>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</si>
  <si>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</si>
  <si>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</si>
  <si>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</si>
  <si>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</si>
  <si>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</si>
  <si>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</si>
  <si>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</si>
  <si>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</si>
  <si>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</si>
  <si>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</si>
  <si>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</si>
  <si>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</si>
  <si>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</si>
  <si>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</si>
  <si>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</si>
  <si>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</si>
  <si>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</si>
  <si>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</si>
  <si>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</si>
  <si>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</si>
  <si>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</si>
  <si>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</si>
  <si>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</si>
  <si>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</si>
  <si>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</si>
  <si>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</si>
  <si>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</si>
  <si>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</si>
  <si>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</si>
  <si>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</si>
  <si>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</si>
  <si>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</si>
  <si>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</si>
  <si>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</si>
  <si>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</si>
  <si>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</si>
  <si>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</si>
  <si>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</si>
  <si>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</si>
  <si>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</si>
  <si>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</si>
  <si>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</si>
  <si>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</si>
  <si>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</si>
  <si>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</si>
  <si>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</si>
  <si>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</si>
  <si>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</si>
  <si>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</si>
  <si>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</si>
  <si>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</si>
  <si>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</si>
  <si>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</si>
  <si>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</si>
  <si>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</si>
  <si>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</si>
  <si>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</si>
  <si>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</si>
  <si>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</si>
  <si>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</si>
  <si>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</si>
  <si>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</si>
  <si>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</si>
  <si>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</si>
  <si>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</si>
  <si>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</si>
  <si>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</si>
  <si>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</si>
  <si>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</si>
  <si>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</si>
  <si>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</si>
  <si>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</si>
  <si>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</si>
  <si>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</si>
  <si>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</si>
  <si>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</si>
  <si>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</si>
  <si>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</si>
  <si>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</si>
  <si>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</si>
  <si>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</si>
  <si>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</si>
  <si>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</si>
  <si>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</si>
  <si>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</si>
  <si>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</si>
  <si>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</si>
  <si>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</si>
  <si>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</si>
  <si>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</si>
  <si>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</si>
  <si>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</si>
  <si>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</si>
  <si>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</si>
  <si>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</si>
  <si>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</si>
  <si>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</si>
  <si>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</si>
  <si>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</si>
  <si>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</si>
  <si>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</si>
  <si>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</si>
  <si>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</si>
  <si>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</si>
  <si>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</si>
  <si>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</si>
  <si>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</si>
  <si>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</si>
  <si>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</si>
  <si>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</si>
  <si>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</si>
  <si>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</si>
  <si>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</si>
  <si>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</si>
  <si>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</si>
  <si>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</si>
  <si>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</si>
  <si>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</si>
  <si>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</si>
  <si>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</si>
  <si>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</si>
  <si>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</si>
  <si>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</si>
  <si>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</si>
  <si>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</si>
  <si>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</si>
  <si>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</si>
  <si>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</si>
  <si>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</si>
  <si>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</si>
  <si>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</si>
  <si>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</si>
  <si>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</si>
  <si>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</si>
  <si>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</si>
  <si>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</si>
  <si>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</si>
  <si>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</si>
  <si>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</si>
  <si>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</si>
  <si>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</si>
  <si>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</si>
  <si>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</si>
  <si>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</si>
  <si>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</si>
  <si>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</si>
  <si>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</si>
  <si>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</si>
  <si>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</si>
  <si>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</si>
  <si>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</si>
  <si>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</si>
  <si>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</si>
  <si>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</si>
  <si>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</si>
  <si>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</si>
  <si>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</si>
  <si>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</si>
  <si>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</si>
  <si>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</si>
  <si>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</si>
  <si>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</si>
  <si>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</si>
  <si>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</si>
  <si>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</si>
  <si>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</si>
  <si>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</si>
  <si>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</si>
  <si>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</si>
  <si>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</si>
  <si>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</si>
  <si>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</si>
  <si>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</si>
  <si>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</si>
  <si>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</si>
  <si>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</si>
  <si>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</si>
  <si>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</si>
  <si>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</si>
  <si>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</si>
  <si>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</si>
  <si>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</si>
  <si>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</si>
  <si>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</si>
  <si>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</si>
  <si>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</si>
  <si>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</si>
  <si>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</si>
  <si>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</si>
  <si>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</si>
  <si>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</si>
  <si>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</si>
  <si>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</si>
  <si>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</si>
  <si>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</si>
  <si>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</si>
  <si>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</si>
  <si>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</si>
  <si>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</si>
  <si>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</si>
  <si>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</si>
  <si>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</si>
  <si>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</si>
  <si>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</si>
  <si>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</si>
  <si>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</si>
  <si>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</si>
  <si>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</si>
  <si>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</si>
  <si>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</si>
  <si>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</si>
  <si>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</si>
  <si>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</si>
  <si>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</si>
  <si>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</si>
  <si>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</si>
  <si>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</si>
  <si>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</si>
  <si>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</si>
  <si>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</si>
  <si>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</si>
  <si>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</si>
  <si>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</si>
  <si>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</si>
  <si>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</si>
  <si>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</si>
  <si>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</si>
  <si>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</si>
  <si>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</si>
  <si>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</si>
  <si>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</si>
  <si>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</si>
  <si>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</si>
  <si>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</si>
  <si>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</si>
  <si>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</si>
  <si>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</si>
  <si>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</si>
  <si>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</si>
  <si>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</si>
  <si>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</si>
  <si>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</si>
  <si>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</si>
  <si>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</si>
  <si>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</si>
  <si>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</si>
  <si>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</si>
  <si>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</si>
  <si>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</si>
  <si>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</si>
  <si>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</si>
  <si>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</si>
  <si>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</si>
  <si>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</si>
  <si>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</si>
  <si>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</si>
  <si>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</si>
  <si>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</si>
  <si>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</si>
  <si>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</si>
  <si>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</si>
  <si>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</si>
  <si>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</si>
  <si>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</si>
  <si>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</si>
  <si>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</si>
  <si>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</si>
  <si>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</si>
  <si>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</si>
  <si>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</si>
  <si>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</si>
  <si>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</si>
  <si>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</si>
  <si>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</si>
  <si>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</si>
  <si>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</si>
  <si>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</si>
  <si>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</si>
  <si>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</si>
  <si>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</si>
  <si>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</si>
  <si>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</si>
  <si>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</si>
  <si>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</si>
  <si>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</si>
  <si>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</si>
  <si>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</si>
  <si>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</si>
  <si>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</si>
  <si>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</si>
  <si>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</si>
  <si>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</si>
  <si>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</si>
  <si>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</si>
  <si>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</si>
  <si>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</si>
  <si>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</si>
  <si>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</si>
  <si>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</si>
  <si>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</si>
  <si>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</si>
  <si>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</si>
  <si>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</si>
  <si>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</si>
  <si>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</si>
  <si>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</si>
  <si>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</si>
  <si>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</si>
  <si>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</si>
  <si>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</si>
  <si>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</si>
  <si>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</si>
  <si>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</si>
  <si>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</si>
  <si>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</si>
  <si>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</si>
  <si>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</si>
  <si>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</si>
  <si>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</si>
  <si>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</si>
  <si>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</si>
  <si>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</si>
  <si>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</si>
  <si>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</si>
  <si>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</si>
  <si>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</si>
  <si>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</si>
  <si>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</si>
  <si>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</si>
  <si>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</si>
  <si>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</si>
  <si>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</si>
  <si>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</si>
  <si>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</si>
  <si>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</si>
  <si>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</si>
  <si>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</si>
  <si>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</si>
  <si>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</si>
  <si>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</si>
  <si>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</si>
  <si>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</si>
  <si>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</si>
  <si>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</si>
  <si>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</si>
  <si>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</si>
  <si>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</si>
  <si>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</si>
  <si>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</si>
  <si>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</si>
  <si>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</si>
  <si>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</si>
  <si>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</si>
  <si>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</si>
  <si>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</si>
  <si>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</si>
  <si>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</si>
  <si>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</si>
  <si>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</si>
  <si>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</si>
  <si>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</si>
  <si>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</si>
  <si>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</si>
  <si>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</si>
  <si>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</si>
  <si>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</si>
  <si>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</si>
  <si>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</si>
  <si>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</si>
  <si>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</si>
  <si>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</si>
  <si>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</si>
  <si>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</si>
  <si>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</si>
  <si>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</si>
  <si>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</si>
  <si>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</si>
  <si>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</si>
  <si>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</si>
  <si>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</si>
  <si>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</si>
  <si>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</si>
  <si>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</si>
  <si>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</si>
  <si>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</si>
  <si>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</si>
  <si>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</si>
  <si>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</si>
  <si>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</si>
  <si>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</si>
  <si>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</si>
  <si>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</si>
  <si>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</si>
  <si>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</si>
  <si>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</si>
  <si>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</si>
  <si>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</si>
  <si>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</si>
  <si>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</si>
  <si>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</si>
  <si>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</si>
  <si>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</si>
  <si>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</si>
  <si>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</si>
  <si>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</si>
  <si>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</si>
  <si>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</si>
  <si>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</si>
  <si>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</si>
  <si>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</si>
  <si>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</si>
  <si>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</si>
  <si>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</si>
  <si>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</si>
  <si>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</si>
  <si>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</si>
  <si>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</si>
  <si>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</si>
  <si>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</si>
  <si>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</si>
  <si>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</si>
  <si>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</si>
  <si>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</si>
  <si>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</si>
  <si>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</si>
  <si>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</si>
  <si>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</si>
  <si>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</si>
  <si>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</si>
  <si>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</si>
  <si>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</si>
  <si>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</si>
  <si>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</si>
  <si>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</si>
  <si>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纸币 #A-B unaffected#24/5</t>
  </si>
  <si>
    <t>tBill</t>
  </si>
  <si>
    <t>too low</t>
  </si>
  <si>
    <t xml:space="preserve">scsc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</si>
</sst>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6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69" fillId="0" borderId="0" xfId="0" applyFon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5" sqref="B5:C7"/>
    </sheetView>
  </sheetViews>
  <sheetFormatPr defaultColWidth="9" defaultRowHeight="12.75"/>
  <cols>
    <col min="3" max="3" width="13.42578125" customWidth="1"/>
  </cols>
  <sheetData>
    <row r="1" spans="2:3">
      <c r="B1" s="36"/>
      <c r="C1" s="592" t="s">
        <v>3323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1" customFormat="1">
      <c r="B12" s="37">
        <v>14000</v>
      </c>
      <c r="C12" s="38">
        <v>45566</v>
      </c>
    </row>
    <row r="13" spans="2:3" s="641" customFormat="1">
      <c r="B13" s="37">
        <v>8000</v>
      </c>
      <c r="C13" s="38">
        <v>45580</v>
      </c>
    </row>
    <row r="14" spans="2:3" s="641" customFormat="1">
      <c r="B14" s="37">
        <v>5000</v>
      </c>
      <c r="C14" s="38">
        <v>45594</v>
      </c>
    </row>
    <row r="15" spans="2:3" s="648" customFormat="1">
      <c r="B15" s="37">
        <v>6000</v>
      </c>
      <c r="C15" s="38">
        <v>45608</v>
      </c>
    </row>
    <row r="16" spans="2:3" s="648" customFormat="1">
      <c r="B16" s="37"/>
      <c r="C16" s="38">
        <v>45622</v>
      </c>
    </row>
    <row r="17" spans="2:3" s="604" customFormat="1">
      <c r="B17" s="39"/>
      <c r="C17" s="40"/>
    </row>
    <row r="18" spans="2:3">
      <c r="B18" s="41">
        <f>SUM(B2:B17)</f>
        <v>75000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6" customWidth="1"/>
    <col min="27" max="27" width="5.7109375" style="636" customWidth="1"/>
    <col min="28" max="28" width="7.5703125" style="636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6" t="s">
        <v>3281</v>
      </c>
      <c r="AB2" s="636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6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6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6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6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6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6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6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6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6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6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6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6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6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6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6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39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2">
        <f t="shared" ref="I33:J33" si="2">I30*I31/365*31</f>
        <v>76.438356164383549</v>
      </c>
      <c r="J33" s="642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68">
        <f>SUMPRODUCT(D3:D33,E3:E33)/365</f>
        <v>34.006575342465737</v>
      </c>
      <c r="E35" s="768"/>
      <c r="F35" s="26"/>
    </row>
    <row r="36" spans="2:11">
      <c r="B36" s="16" t="s">
        <v>3298</v>
      </c>
      <c r="D36" s="768" t="s">
        <v>3299</v>
      </c>
      <c r="E36" s="76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91" t="s">
        <v>118</v>
      </c>
      <c r="C1" s="691"/>
      <c r="D1" s="692" t="s">
        <v>119</v>
      </c>
      <c r="E1" s="691"/>
      <c r="F1" s="692" t="s">
        <v>120</v>
      </c>
      <c r="G1" s="691"/>
      <c r="H1" s="693" t="s">
        <v>121</v>
      </c>
      <c r="I1" s="693"/>
      <c r="J1" s="694" t="s">
        <v>119</v>
      </c>
      <c r="K1" s="695"/>
      <c r="L1" s="696" t="s">
        <v>122</v>
      </c>
      <c r="M1" s="697"/>
      <c r="N1" s="693" t="s">
        <v>123</v>
      </c>
      <c r="O1" s="693"/>
      <c r="P1" s="694" t="s">
        <v>124</v>
      </c>
      <c r="Q1" s="695"/>
      <c r="R1" s="696" t="s">
        <v>125</v>
      </c>
      <c r="S1" s="697"/>
      <c r="T1" s="698" t="s">
        <v>126</v>
      </c>
      <c r="U1" s="698"/>
      <c r="V1" s="694" t="s">
        <v>119</v>
      </c>
      <c r="W1" s="695"/>
      <c r="X1" s="699" t="s">
        <v>127</v>
      </c>
      <c r="Y1" s="700"/>
      <c r="Z1" s="698" t="s">
        <v>128</v>
      </c>
      <c r="AA1" s="698"/>
      <c r="AB1" s="701" t="s">
        <v>119</v>
      </c>
      <c r="AC1" s="702"/>
      <c r="AD1" s="703" t="s">
        <v>127</v>
      </c>
      <c r="AE1" s="704"/>
      <c r="AF1" s="698" t="s">
        <v>129</v>
      </c>
      <c r="AG1" s="698"/>
      <c r="AH1" s="701" t="s">
        <v>119</v>
      </c>
      <c r="AI1" s="702"/>
      <c r="AJ1" s="699" t="s">
        <v>130</v>
      </c>
      <c r="AK1" s="700"/>
      <c r="AL1" s="698" t="s">
        <v>131</v>
      </c>
      <c r="AM1" s="698"/>
      <c r="AN1" s="705" t="s">
        <v>119</v>
      </c>
      <c r="AO1" s="706"/>
      <c r="AP1" s="707" t="s">
        <v>132</v>
      </c>
      <c r="AQ1" s="708"/>
      <c r="AR1" s="698" t="s">
        <v>133</v>
      </c>
      <c r="AS1" s="698"/>
      <c r="AV1" s="707" t="s">
        <v>134</v>
      </c>
      <c r="AW1" s="708"/>
      <c r="AX1" s="709" t="s">
        <v>135</v>
      </c>
      <c r="AY1" s="709"/>
      <c r="AZ1" s="709"/>
      <c r="BA1" s="327"/>
      <c r="BB1" s="710">
        <v>42942</v>
      </c>
      <c r="BC1" s="711"/>
      <c r="BD1" s="71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17" t="s">
        <v>151</v>
      </c>
      <c r="U4" s="717"/>
      <c r="X4" s="439" t="s">
        <v>150</v>
      </c>
      <c r="Y4" s="465">
        <f>Y3-Y6</f>
        <v>4.9669099999591708</v>
      </c>
      <c r="Z4" s="717" t="s">
        <v>152</v>
      </c>
      <c r="AA4" s="717"/>
      <c r="AD4" s="408" t="s">
        <v>150</v>
      </c>
      <c r="AE4" s="408">
        <f>AE3-AE5</f>
        <v>-52.526899999851594</v>
      </c>
      <c r="AF4" s="717" t="s">
        <v>152</v>
      </c>
      <c r="AG4" s="717"/>
      <c r="AH4" s="67"/>
      <c r="AI4" s="67"/>
      <c r="AJ4" s="408" t="s">
        <v>150</v>
      </c>
      <c r="AK4" s="408">
        <f>AK3-AK5</f>
        <v>94.988909999992757</v>
      </c>
      <c r="AL4" s="717" t="s">
        <v>152</v>
      </c>
      <c r="AM4" s="717"/>
      <c r="AP4" s="53" t="s">
        <v>150</v>
      </c>
      <c r="AQ4" s="52">
        <f>AQ3-AQ5</f>
        <v>33.841989999942598</v>
      </c>
      <c r="AR4" s="717" t="s">
        <v>152</v>
      </c>
      <c r="AS4" s="717"/>
      <c r="AX4" s="717" t="s">
        <v>153</v>
      </c>
      <c r="AY4" s="717"/>
      <c r="BB4" s="717" t="s">
        <v>154</v>
      </c>
      <c r="BC4" s="717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17"/>
      <c r="U5" s="717"/>
      <c r="V5" s="321" t="s">
        <v>159</v>
      </c>
      <c r="W5">
        <v>2050</v>
      </c>
      <c r="X5" s="413"/>
      <c r="Z5" s="717"/>
      <c r="AA5" s="717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17"/>
      <c r="AG5" s="717"/>
      <c r="AH5" s="67"/>
      <c r="AI5" s="67"/>
      <c r="AJ5" s="408" t="s">
        <v>161</v>
      </c>
      <c r="AK5" s="466">
        <f>SUM(AK11:AK59)</f>
        <v>30858.011000000002</v>
      </c>
      <c r="AL5" s="717"/>
      <c r="AM5" s="717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17"/>
      <c r="AS5" s="717"/>
      <c r="AX5" s="717"/>
      <c r="AY5" s="717"/>
      <c r="BB5" s="717"/>
      <c r="BC5" s="717"/>
      <c r="BD5" s="716" t="s">
        <v>163</v>
      </c>
      <c r="BE5" s="716"/>
      <c r="BF5" s="716"/>
      <c r="BG5" s="716"/>
      <c r="BH5" s="716"/>
      <c r="BI5" s="716"/>
      <c r="BJ5" s="716"/>
      <c r="BK5" s="716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712" t="s">
        <v>362</v>
      </c>
      <c r="W23" s="713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714"/>
      <c r="W24" s="715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8" t="s">
        <v>541</v>
      </c>
      <c r="H2" s="719"/>
      <c r="I2" s="368"/>
      <c r="J2" s="718" t="s">
        <v>542</v>
      </c>
      <c r="K2" s="719"/>
      <c r="L2" s="368"/>
      <c r="M2" s="718" t="s">
        <v>3327</v>
      </c>
      <c r="N2" s="719"/>
      <c r="O2" s="368"/>
      <c r="P2" s="718" t="s">
        <v>543</v>
      </c>
      <c r="Q2" s="719"/>
      <c r="R2" s="718">
        <v>42401</v>
      </c>
      <c r="S2" s="719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23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21" t="s">
        <v>3321</v>
      </c>
      <c r="C17" s="322" t="s">
        <v>570</v>
      </c>
      <c r="D17" s="724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22"/>
      <c r="C18" s="322" t="s">
        <v>570</v>
      </c>
      <c r="D18" s="724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24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24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24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24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24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24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25" t="s">
        <v>596</v>
      </c>
      <c r="D31" s="726"/>
      <c r="E31" s="727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28">
        <f>G40/$F$38</f>
        <v>2147628.7910447759</v>
      </c>
      <c r="H39" s="728"/>
      <c r="I39" s="400"/>
      <c r="J39" s="728">
        <f>J40/$F$38</f>
        <v>1922776.1194029849</v>
      </c>
      <c r="K39" s="728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20">
        <f>H36*$F$38+G36</f>
        <v>2877822.58</v>
      </c>
      <c r="H40" s="720"/>
      <c r="J40" s="720">
        <f>K36*$F$38+J36</f>
        <v>2576520</v>
      </c>
      <c r="K40" s="720"/>
      <c r="M40" s="720">
        <f>N36*1.37+M36</f>
        <v>1877697.6600000001</v>
      </c>
      <c r="N40" s="720"/>
      <c r="P40" s="720">
        <f>Q36*1.37+P36</f>
        <v>1789659</v>
      </c>
      <c r="Q40" s="720"/>
      <c r="R40" s="720">
        <f>S36*1.36+R36</f>
        <v>1320187.2</v>
      </c>
      <c r="S40" s="720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29" t="s">
        <v>648</v>
      </c>
      <c r="F38" s="730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31" t="s">
        <v>651</v>
      </c>
      <c r="C41" s="731"/>
      <c r="D41" s="731"/>
      <c r="E41" s="731"/>
      <c r="F41" s="731"/>
      <c r="G41" s="731"/>
      <c r="H41" s="731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1" t="s">
        <v>662</v>
      </c>
      <c r="C1" s="691"/>
      <c r="D1" s="703" t="s">
        <v>663</v>
      </c>
      <c r="E1" s="704"/>
      <c r="F1" s="691" t="s">
        <v>664</v>
      </c>
      <c r="G1" s="691"/>
      <c r="H1" s="732" t="s">
        <v>665</v>
      </c>
      <c r="I1" s="733"/>
      <c r="J1" s="703" t="s">
        <v>663</v>
      </c>
      <c r="K1" s="704"/>
      <c r="L1" s="691" t="s">
        <v>666</v>
      </c>
      <c r="M1" s="691"/>
      <c r="N1" s="732" t="s">
        <v>665</v>
      </c>
      <c r="O1" s="733"/>
      <c r="P1" s="703" t="s">
        <v>663</v>
      </c>
      <c r="Q1" s="704"/>
      <c r="R1" s="691" t="s">
        <v>667</v>
      </c>
      <c r="S1" s="691"/>
      <c r="T1" s="732" t="s">
        <v>665</v>
      </c>
      <c r="U1" s="733"/>
      <c r="V1" s="703" t="s">
        <v>663</v>
      </c>
      <c r="W1" s="704"/>
      <c r="X1" s="691" t="s">
        <v>668</v>
      </c>
      <c r="Y1" s="691"/>
      <c r="Z1" s="732" t="s">
        <v>665</v>
      </c>
      <c r="AA1" s="733"/>
      <c r="AB1" s="703" t="s">
        <v>663</v>
      </c>
      <c r="AC1" s="704"/>
      <c r="AD1" s="691" t="s">
        <v>669</v>
      </c>
      <c r="AE1" s="691"/>
      <c r="AF1" s="732" t="s">
        <v>665</v>
      </c>
      <c r="AG1" s="733"/>
      <c r="AH1" s="703" t="s">
        <v>663</v>
      </c>
      <c r="AI1" s="704"/>
      <c r="AJ1" s="691" t="s">
        <v>670</v>
      </c>
      <c r="AK1" s="691"/>
      <c r="AL1" s="732" t="s">
        <v>671</v>
      </c>
      <c r="AM1" s="733"/>
      <c r="AN1" s="703" t="s">
        <v>672</v>
      </c>
      <c r="AO1" s="704"/>
      <c r="AP1" s="691" t="s">
        <v>673</v>
      </c>
      <c r="AQ1" s="691"/>
      <c r="AR1" s="732" t="s">
        <v>665</v>
      </c>
      <c r="AS1" s="733"/>
      <c r="AT1" s="703" t="s">
        <v>663</v>
      </c>
      <c r="AU1" s="704"/>
      <c r="AV1" s="691" t="s">
        <v>674</v>
      </c>
      <c r="AW1" s="691"/>
      <c r="AX1" s="732" t="s">
        <v>665</v>
      </c>
      <c r="AY1" s="733"/>
      <c r="AZ1" s="703" t="s">
        <v>663</v>
      </c>
      <c r="BA1" s="704"/>
      <c r="BB1" s="691" t="s">
        <v>675</v>
      </c>
      <c r="BC1" s="691"/>
      <c r="BD1" s="732" t="s">
        <v>665</v>
      </c>
      <c r="BE1" s="733"/>
      <c r="BF1" s="703" t="s">
        <v>663</v>
      </c>
      <c r="BG1" s="704"/>
      <c r="BH1" s="691" t="s">
        <v>676</v>
      </c>
      <c r="BI1" s="691"/>
      <c r="BJ1" s="732" t="s">
        <v>665</v>
      </c>
      <c r="BK1" s="733"/>
      <c r="BL1" s="703" t="s">
        <v>663</v>
      </c>
      <c r="BM1" s="704"/>
      <c r="BN1" s="691" t="s">
        <v>677</v>
      </c>
      <c r="BO1" s="691"/>
      <c r="BP1" s="732" t="s">
        <v>665</v>
      </c>
      <c r="BQ1" s="733"/>
      <c r="BR1" s="703" t="s">
        <v>663</v>
      </c>
      <c r="BS1" s="704"/>
      <c r="BT1" s="691" t="s">
        <v>678</v>
      </c>
      <c r="BU1" s="691"/>
      <c r="BV1" s="732" t="s">
        <v>679</v>
      </c>
      <c r="BW1" s="733"/>
      <c r="BX1" s="703" t="s">
        <v>680</v>
      </c>
      <c r="BY1" s="704"/>
      <c r="BZ1" s="691" t="s">
        <v>681</v>
      </c>
      <c r="CA1" s="691"/>
      <c r="CB1" s="732" t="s">
        <v>682</v>
      </c>
      <c r="CC1" s="733"/>
      <c r="CD1" s="703" t="s">
        <v>683</v>
      </c>
      <c r="CE1" s="704"/>
      <c r="CF1" s="691" t="s">
        <v>684</v>
      </c>
      <c r="CG1" s="691"/>
      <c r="CH1" s="732" t="s">
        <v>682</v>
      </c>
      <c r="CI1" s="733"/>
      <c r="CJ1" s="703" t="s">
        <v>683</v>
      </c>
      <c r="CK1" s="704"/>
      <c r="CL1" s="691" t="s">
        <v>685</v>
      </c>
      <c r="CM1" s="691"/>
      <c r="CN1" s="732" t="s">
        <v>682</v>
      </c>
      <c r="CO1" s="733"/>
      <c r="CP1" s="703" t="s">
        <v>683</v>
      </c>
      <c r="CQ1" s="704"/>
      <c r="CR1" s="691" t="s">
        <v>686</v>
      </c>
      <c r="CS1" s="691"/>
      <c r="CT1" s="732" t="s">
        <v>682</v>
      </c>
      <c r="CU1" s="733"/>
      <c r="CV1" s="734" t="s">
        <v>683</v>
      </c>
      <c r="CW1" s="735"/>
      <c r="CX1" s="691" t="s">
        <v>687</v>
      </c>
      <c r="CY1" s="691"/>
      <c r="CZ1" s="732" t="s">
        <v>682</v>
      </c>
      <c r="DA1" s="733"/>
      <c r="DB1" s="734" t="s">
        <v>683</v>
      </c>
      <c r="DC1" s="735"/>
      <c r="DD1" s="691" t="s">
        <v>688</v>
      </c>
      <c r="DE1" s="691"/>
      <c r="DF1" s="732" t="s">
        <v>689</v>
      </c>
      <c r="DG1" s="733"/>
      <c r="DH1" s="734" t="s">
        <v>690</v>
      </c>
      <c r="DI1" s="735"/>
      <c r="DJ1" s="691" t="s">
        <v>691</v>
      </c>
      <c r="DK1" s="691"/>
      <c r="DL1" s="732" t="s">
        <v>689</v>
      </c>
      <c r="DM1" s="733"/>
      <c r="DN1" s="734" t="s">
        <v>683</v>
      </c>
      <c r="DO1" s="735"/>
      <c r="DP1" s="691" t="s">
        <v>692</v>
      </c>
      <c r="DQ1" s="691"/>
      <c r="DR1" s="732" t="s">
        <v>689</v>
      </c>
      <c r="DS1" s="733"/>
      <c r="DT1" s="734" t="s">
        <v>683</v>
      </c>
      <c r="DU1" s="735"/>
      <c r="DV1" s="691" t="s">
        <v>693</v>
      </c>
      <c r="DW1" s="691"/>
      <c r="DX1" s="732" t="s">
        <v>689</v>
      </c>
      <c r="DY1" s="733"/>
      <c r="DZ1" s="734" t="s">
        <v>683</v>
      </c>
      <c r="EA1" s="735"/>
      <c r="EB1" s="691" t="s">
        <v>694</v>
      </c>
      <c r="EC1" s="691"/>
      <c r="ED1" s="732" t="s">
        <v>689</v>
      </c>
      <c r="EE1" s="733"/>
      <c r="EF1" s="734" t="s">
        <v>683</v>
      </c>
      <c r="EG1" s="735"/>
      <c r="EH1" s="691" t="s">
        <v>695</v>
      </c>
      <c r="EI1" s="691"/>
      <c r="EJ1" s="732" t="s">
        <v>689</v>
      </c>
      <c r="EK1" s="733"/>
      <c r="EL1" s="734" t="s">
        <v>696</v>
      </c>
      <c r="EM1" s="735"/>
      <c r="EN1" s="691" t="s">
        <v>697</v>
      </c>
      <c r="EO1" s="691"/>
      <c r="EP1" s="732" t="s">
        <v>689</v>
      </c>
      <c r="EQ1" s="733"/>
      <c r="ER1" s="734" t="s">
        <v>698</v>
      </c>
      <c r="ES1" s="735"/>
      <c r="ET1" s="691" t="s">
        <v>699</v>
      </c>
      <c r="EU1" s="691"/>
      <c r="EV1" s="732" t="s">
        <v>689</v>
      </c>
      <c r="EW1" s="733"/>
      <c r="EX1" s="734" t="s">
        <v>130</v>
      </c>
      <c r="EY1" s="735"/>
      <c r="EZ1" s="691" t="s">
        <v>700</v>
      </c>
      <c r="FA1" s="691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36" t="s">
        <v>765</v>
      </c>
      <c r="CU7" s="69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36" t="s">
        <v>795</v>
      </c>
      <c r="DA8" s="69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36" t="s">
        <v>795</v>
      </c>
      <c r="DG8" s="69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36" t="s">
        <v>795</v>
      </c>
      <c r="DM8" s="69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36" t="s">
        <v>795</v>
      </c>
      <c r="DS8" s="691"/>
      <c r="DT8" s="14" t="s">
        <v>793</v>
      </c>
      <c r="DU8" s="14">
        <f>SUM(DU13:DU17)</f>
        <v>32</v>
      </c>
      <c r="DV8" s="9"/>
      <c r="DW8" s="9"/>
      <c r="DX8" s="736" t="s">
        <v>795</v>
      </c>
      <c r="DY8" s="69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36" t="s">
        <v>796</v>
      </c>
      <c r="EK8" s="69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36" t="s">
        <v>796</v>
      </c>
      <c r="EQ9" s="69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36" t="s">
        <v>796</v>
      </c>
      <c r="EW9" s="69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36" t="s">
        <v>796</v>
      </c>
      <c r="EE11" s="69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36" t="s">
        <v>795</v>
      </c>
      <c r="CU12" s="69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98" t="s">
        <v>1005</v>
      </c>
      <c r="CU19" s="698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39" t="s">
        <v>1036</v>
      </c>
      <c r="FA21" s="739"/>
      <c r="FC21" s="339">
        <f>FC20-FC22</f>
        <v>113457.16899999997</v>
      </c>
      <c r="FD21" s="317"/>
      <c r="FE21" s="740" t="s">
        <v>1038</v>
      </c>
      <c r="FF21" s="740"/>
      <c r="FG21" s="74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39" t="s">
        <v>574</v>
      </c>
      <c r="FA22" s="739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39" t="s">
        <v>1061</v>
      </c>
      <c r="FA23" s="739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39" t="s">
        <v>1071</v>
      </c>
      <c r="FA24" s="739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37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38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37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38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L1" workbookViewId="0">
      <selection activeCell="MT31" sqref="MT3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5" customWidth="1"/>
    <col min="339" max="339" width="9.5703125" style="42" customWidth="1"/>
    <col min="340" max="340" width="21.7109375" style="615" customWidth="1"/>
    <col min="341" max="341" width="9.85546875" style="615" customWidth="1"/>
    <col min="342" max="342" width="18.85546875" style="615" customWidth="1"/>
    <col min="343" max="343" width="10" style="615" customWidth="1"/>
    <col min="344" max="344" width="19.140625" style="660" customWidth="1"/>
    <col min="345" max="345" width="9.5703125" style="42" customWidth="1"/>
    <col min="346" max="346" width="23.85546875" style="660" customWidth="1"/>
    <col min="347" max="347" width="9.85546875" style="660" customWidth="1"/>
    <col min="348" max="348" width="23.7109375" style="660" customWidth="1"/>
    <col min="349" max="349" width="10" style="660" customWidth="1"/>
    <col min="350" max="350" width="19.140625" style="684" customWidth="1"/>
    <col min="351" max="351" width="9.5703125" style="42" customWidth="1"/>
    <col min="352" max="352" width="23.85546875" style="684" customWidth="1"/>
    <col min="353" max="353" width="8.5703125" style="684" customWidth="1"/>
    <col min="354" max="354" width="18.85546875" style="684" customWidth="1"/>
    <col min="355" max="355" width="10" style="684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43" t="s">
        <v>1109</v>
      </c>
      <c r="B1" s="743"/>
      <c r="C1" s="705" t="s">
        <v>119</v>
      </c>
      <c r="D1" s="706"/>
      <c r="E1" s="707" t="s">
        <v>1110</v>
      </c>
      <c r="F1" s="708"/>
      <c r="G1" s="743" t="s">
        <v>1111</v>
      </c>
      <c r="H1" s="743"/>
      <c r="I1" s="705" t="s">
        <v>119</v>
      </c>
      <c r="J1" s="706"/>
      <c r="K1" s="707" t="s">
        <v>1112</v>
      </c>
      <c r="L1" s="708"/>
      <c r="M1" s="743" t="s">
        <v>1113</v>
      </c>
      <c r="N1" s="743"/>
      <c r="O1" s="705" t="s">
        <v>119</v>
      </c>
      <c r="P1" s="706"/>
      <c r="Q1" s="707" t="s">
        <v>1114</v>
      </c>
      <c r="R1" s="708"/>
      <c r="S1" s="743" t="s">
        <v>1115</v>
      </c>
      <c r="T1" s="743"/>
      <c r="U1" s="705" t="s">
        <v>119</v>
      </c>
      <c r="V1" s="706"/>
      <c r="W1" s="707" t="s">
        <v>672</v>
      </c>
      <c r="X1" s="708"/>
      <c r="Y1" s="743" t="s">
        <v>1116</v>
      </c>
      <c r="Z1" s="743"/>
      <c r="AA1" s="705" t="s">
        <v>119</v>
      </c>
      <c r="AB1" s="706"/>
      <c r="AC1" s="707" t="s">
        <v>1117</v>
      </c>
      <c r="AD1" s="708"/>
      <c r="AE1" s="743" t="s">
        <v>1118</v>
      </c>
      <c r="AF1" s="743"/>
      <c r="AG1" s="705" t="s">
        <v>119</v>
      </c>
      <c r="AH1" s="706"/>
      <c r="AI1" s="707" t="s">
        <v>1119</v>
      </c>
      <c r="AJ1" s="708"/>
      <c r="AK1" s="743" t="s">
        <v>1120</v>
      </c>
      <c r="AL1" s="743"/>
      <c r="AM1" s="705" t="s">
        <v>1121</v>
      </c>
      <c r="AN1" s="706"/>
      <c r="AO1" s="707" t="s">
        <v>1122</v>
      </c>
      <c r="AP1" s="708"/>
      <c r="AQ1" s="743" t="s">
        <v>1123</v>
      </c>
      <c r="AR1" s="743"/>
      <c r="AS1" s="705" t="s">
        <v>1121</v>
      </c>
      <c r="AT1" s="706"/>
      <c r="AU1" s="707" t="s">
        <v>1124</v>
      </c>
      <c r="AV1" s="708"/>
      <c r="AW1" s="743" t="s">
        <v>1125</v>
      </c>
      <c r="AX1" s="743"/>
      <c r="AY1" s="707" t="s">
        <v>1126</v>
      </c>
      <c r="AZ1" s="708"/>
      <c r="BA1" s="743" t="s">
        <v>1125</v>
      </c>
      <c r="BB1" s="743"/>
      <c r="BC1" s="705" t="s">
        <v>689</v>
      </c>
      <c r="BD1" s="706"/>
      <c r="BE1" s="707" t="s">
        <v>1127</v>
      </c>
      <c r="BF1" s="708"/>
      <c r="BG1" s="743" t="s">
        <v>1128</v>
      </c>
      <c r="BH1" s="743"/>
      <c r="BI1" s="705" t="s">
        <v>689</v>
      </c>
      <c r="BJ1" s="706"/>
      <c r="BK1" s="707" t="s">
        <v>1127</v>
      </c>
      <c r="BL1" s="708"/>
      <c r="BM1" s="743" t="s">
        <v>1129</v>
      </c>
      <c r="BN1" s="743"/>
      <c r="BO1" s="705" t="s">
        <v>689</v>
      </c>
      <c r="BP1" s="706"/>
      <c r="BQ1" s="707" t="s">
        <v>1130</v>
      </c>
      <c r="BR1" s="708"/>
      <c r="BS1" s="743" t="s">
        <v>1131</v>
      </c>
      <c r="BT1" s="743"/>
      <c r="BU1" s="705" t="s">
        <v>689</v>
      </c>
      <c r="BV1" s="706"/>
      <c r="BW1" s="707" t="s">
        <v>1132</v>
      </c>
      <c r="BX1" s="708"/>
      <c r="BY1" s="743" t="s">
        <v>1133</v>
      </c>
      <c r="BZ1" s="743"/>
      <c r="CA1" s="705" t="s">
        <v>689</v>
      </c>
      <c r="CB1" s="706"/>
      <c r="CC1" s="707" t="s">
        <v>1130</v>
      </c>
      <c r="CD1" s="708"/>
      <c r="CE1" s="743" t="s">
        <v>1134</v>
      </c>
      <c r="CF1" s="743"/>
      <c r="CG1" s="705" t="s">
        <v>689</v>
      </c>
      <c r="CH1" s="706"/>
      <c r="CI1" s="707" t="s">
        <v>1132</v>
      </c>
      <c r="CJ1" s="708"/>
      <c r="CK1" s="743" t="s">
        <v>1135</v>
      </c>
      <c r="CL1" s="743"/>
      <c r="CM1" s="705" t="s">
        <v>689</v>
      </c>
      <c r="CN1" s="706"/>
      <c r="CO1" s="707" t="s">
        <v>1130</v>
      </c>
      <c r="CP1" s="708"/>
      <c r="CQ1" s="743" t="s">
        <v>1136</v>
      </c>
      <c r="CR1" s="743"/>
      <c r="CS1" s="744" t="s">
        <v>689</v>
      </c>
      <c r="CT1" s="745"/>
      <c r="CU1" s="707" t="s">
        <v>1137</v>
      </c>
      <c r="CV1" s="708"/>
      <c r="CW1" s="743" t="s">
        <v>1138</v>
      </c>
      <c r="CX1" s="743"/>
      <c r="CY1" s="744" t="s">
        <v>689</v>
      </c>
      <c r="CZ1" s="745"/>
      <c r="DA1" s="707" t="s">
        <v>1139</v>
      </c>
      <c r="DB1" s="708"/>
      <c r="DC1" s="743" t="s">
        <v>1140</v>
      </c>
      <c r="DD1" s="743"/>
      <c r="DE1" s="744" t="s">
        <v>689</v>
      </c>
      <c r="DF1" s="745"/>
      <c r="DG1" s="707" t="s">
        <v>1141</v>
      </c>
      <c r="DH1" s="708"/>
      <c r="DI1" s="743" t="s">
        <v>1142</v>
      </c>
      <c r="DJ1" s="743"/>
      <c r="DK1" s="744" t="s">
        <v>689</v>
      </c>
      <c r="DL1" s="745"/>
      <c r="DM1" s="707" t="s">
        <v>1137</v>
      </c>
      <c r="DN1" s="708"/>
      <c r="DO1" s="743" t="s">
        <v>1143</v>
      </c>
      <c r="DP1" s="743"/>
      <c r="DQ1" s="744" t="s">
        <v>689</v>
      </c>
      <c r="DR1" s="745"/>
      <c r="DS1" s="707" t="s">
        <v>1144</v>
      </c>
      <c r="DT1" s="708"/>
      <c r="DU1" s="743" t="s">
        <v>1145</v>
      </c>
      <c r="DV1" s="743"/>
      <c r="DW1" s="744" t="s">
        <v>689</v>
      </c>
      <c r="DX1" s="745"/>
      <c r="DY1" s="707" t="s">
        <v>1146</v>
      </c>
      <c r="DZ1" s="708"/>
      <c r="EA1" s="742" t="s">
        <v>1147</v>
      </c>
      <c r="EB1" s="742"/>
      <c r="EC1" s="744" t="s">
        <v>689</v>
      </c>
      <c r="ED1" s="745"/>
      <c r="EE1" s="707" t="s">
        <v>1144</v>
      </c>
      <c r="EF1" s="708"/>
      <c r="EG1" s="48"/>
      <c r="EH1" s="742" t="s">
        <v>1148</v>
      </c>
      <c r="EI1" s="742"/>
      <c r="EJ1" s="744" t="s">
        <v>689</v>
      </c>
      <c r="EK1" s="745"/>
      <c r="EL1" s="707" t="s">
        <v>1149</v>
      </c>
      <c r="EM1" s="708"/>
      <c r="EN1" s="742" t="s">
        <v>1150</v>
      </c>
      <c r="EO1" s="742"/>
      <c r="EP1" s="744" t="s">
        <v>689</v>
      </c>
      <c r="EQ1" s="745"/>
      <c r="ER1" s="707" t="s">
        <v>1151</v>
      </c>
      <c r="ES1" s="708"/>
      <c r="ET1" s="742" t="s">
        <v>1152</v>
      </c>
      <c r="EU1" s="742"/>
      <c r="EV1" s="744" t="s">
        <v>689</v>
      </c>
      <c r="EW1" s="745"/>
      <c r="EX1" s="707" t="s">
        <v>1146</v>
      </c>
      <c r="EY1" s="708"/>
      <c r="EZ1" s="742" t="s">
        <v>1153</v>
      </c>
      <c r="FA1" s="742"/>
      <c r="FB1" s="744" t="s">
        <v>689</v>
      </c>
      <c r="FC1" s="745"/>
      <c r="FD1" s="707" t="s">
        <v>1139</v>
      </c>
      <c r="FE1" s="708"/>
      <c r="FF1" s="742" t="s">
        <v>1154</v>
      </c>
      <c r="FG1" s="742"/>
      <c r="FH1" s="744" t="s">
        <v>689</v>
      </c>
      <c r="FI1" s="745"/>
      <c r="FJ1" s="707" t="s">
        <v>1137</v>
      </c>
      <c r="FK1" s="708"/>
      <c r="FL1" s="742" t="s">
        <v>1155</v>
      </c>
      <c r="FM1" s="742"/>
      <c r="FN1" s="744" t="s">
        <v>689</v>
      </c>
      <c r="FO1" s="745"/>
      <c r="FP1" s="707" t="s">
        <v>1156</v>
      </c>
      <c r="FQ1" s="708"/>
      <c r="FR1" s="742" t="s">
        <v>1157</v>
      </c>
      <c r="FS1" s="742"/>
      <c r="FT1" s="744" t="s">
        <v>689</v>
      </c>
      <c r="FU1" s="745"/>
      <c r="FV1" s="707" t="s">
        <v>1156</v>
      </c>
      <c r="FW1" s="708"/>
      <c r="FX1" s="742" t="s">
        <v>1158</v>
      </c>
      <c r="FY1" s="742"/>
      <c r="FZ1" s="744" t="s">
        <v>689</v>
      </c>
      <c r="GA1" s="745"/>
      <c r="GB1" s="707" t="s">
        <v>1146</v>
      </c>
      <c r="GC1" s="708"/>
      <c r="GD1" s="742" t="s">
        <v>1159</v>
      </c>
      <c r="GE1" s="742"/>
      <c r="GF1" s="744" t="s">
        <v>689</v>
      </c>
      <c r="GG1" s="745"/>
      <c r="GH1" s="707" t="s">
        <v>1144</v>
      </c>
      <c r="GI1" s="708"/>
      <c r="GJ1" s="742" t="s">
        <v>1160</v>
      </c>
      <c r="GK1" s="742"/>
      <c r="GL1" s="744" t="s">
        <v>689</v>
      </c>
      <c r="GM1" s="745"/>
      <c r="GN1" s="707" t="s">
        <v>1144</v>
      </c>
      <c r="GO1" s="708"/>
      <c r="GP1" s="742" t="s">
        <v>1161</v>
      </c>
      <c r="GQ1" s="742"/>
      <c r="GR1" s="744" t="s">
        <v>689</v>
      </c>
      <c r="GS1" s="745"/>
      <c r="GT1" s="707" t="s">
        <v>1149</v>
      </c>
      <c r="GU1" s="708"/>
      <c r="GV1" s="742" t="s">
        <v>1162</v>
      </c>
      <c r="GW1" s="742"/>
      <c r="GX1" s="744" t="s">
        <v>689</v>
      </c>
      <c r="GY1" s="745"/>
      <c r="GZ1" s="707" t="s">
        <v>1163</v>
      </c>
      <c r="HA1" s="708"/>
      <c r="HB1" s="742" t="s">
        <v>1164</v>
      </c>
      <c r="HC1" s="742"/>
      <c r="HD1" s="744" t="s">
        <v>689</v>
      </c>
      <c r="HE1" s="745"/>
      <c r="HF1" s="707" t="s">
        <v>1151</v>
      </c>
      <c r="HG1" s="708"/>
      <c r="HH1" s="742" t="s">
        <v>1165</v>
      </c>
      <c r="HI1" s="742"/>
      <c r="HJ1" s="744" t="s">
        <v>689</v>
      </c>
      <c r="HK1" s="745"/>
      <c r="HL1" s="707" t="s">
        <v>1137</v>
      </c>
      <c r="HM1" s="708"/>
      <c r="HN1" s="742" t="s">
        <v>1166</v>
      </c>
      <c r="HO1" s="742"/>
      <c r="HP1" s="744" t="s">
        <v>689</v>
      </c>
      <c r="HQ1" s="745"/>
      <c r="HR1" s="707" t="s">
        <v>1137</v>
      </c>
      <c r="HS1" s="708"/>
      <c r="HT1" s="742" t="s">
        <v>1167</v>
      </c>
      <c r="HU1" s="742"/>
      <c r="HV1" s="744" t="s">
        <v>689</v>
      </c>
      <c r="HW1" s="745"/>
      <c r="HX1" s="707" t="s">
        <v>1146</v>
      </c>
      <c r="HY1" s="708"/>
      <c r="HZ1" s="742" t="s">
        <v>1168</v>
      </c>
      <c r="IA1" s="742"/>
      <c r="IB1" s="744" t="s">
        <v>689</v>
      </c>
      <c r="IC1" s="745"/>
      <c r="ID1" s="707" t="s">
        <v>1151</v>
      </c>
      <c r="IE1" s="708"/>
      <c r="IF1" s="742" t="s">
        <v>1169</v>
      </c>
      <c r="IG1" s="742"/>
      <c r="IH1" s="744" t="s">
        <v>689</v>
      </c>
      <c r="II1" s="745"/>
      <c r="IJ1" s="707" t="s">
        <v>1144</v>
      </c>
      <c r="IK1" s="708"/>
      <c r="IL1" s="742" t="s">
        <v>1170</v>
      </c>
      <c r="IM1" s="742"/>
      <c r="IN1" s="744" t="s">
        <v>689</v>
      </c>
      <c r="IO1" s="745"/>
      <c r="IP1" s="707" t="s">
        <v>1146</v>
      </c>
      <c r="IQ1" s="708"/>
      <c r="IR1" s="742" t="s">
        <v>1171</v>
      </c>
      <c r="IS1" s="742"/>
      <c r="IT1" s="744" t="s">
        <v>689</v>
      </c>
      <c r="IU1" s="745"/>
      <c r="IV1" s="707" t="s">
        <v>1172</v>
      </c>
      <c r="IW1" s="708"/>
      <c r="IX1" s="742" t="s">
        <v>1173</v>
      </c>
      <c r="IY1" s="742"/>
      <c r="IZ1" s="744" t="s">
        <v>689</v>
      </c>
      <c r="JA1" s="745"/>
      <c r="JB1" s="707" t="s">
        <v>1156</v>
      </c>
      <c r="JC1" s="708"/>
      <c r="JD1" s="742" t="s">
        <v>1174</v>
      </c>
      <c r="JE1" s="742"/>
      <c r="JF1" s="744" t="s">
        <v>689</v>
      </c>
      <c r="JG1" s="745"/>
      <c r="JH1" s="707" t="s">
        <v>1172</v>
      </c>
      <c r="JI1" s="708"/>
      <c r="JJ1" s="742" t="s">
        <v>1175</v>
      </c>
      <c r="JK1" s="742"/>
      <c r="JL1" s="581" t="s">
        <v>689</v>
      </c>
      <c r="JM1" s="105"/>
      <c r="JN1" s="547" t="s">
        <v>1172</v>
      </c>
      <c r="JO1" s="48"/>
      <c r="JP1" s="742" t="s">
        <v>1176</v>
      </c>
      <c r="JQ1" s="742"/>
      <c r="JR1" s="581" t="s">
        <v>689</v>
      </c>
      <c r="JS1" s="105"/>
      <c r="JT1" s="547" t="s">
        <v>1149</v>
      </c>
      <c r="JU1" s="48"/>
      <c r="JV1" s="742" t="s">
        <v>1177</v>
      </c>
      <c r="JW1" s="742"/>
      <c r="JX1" s="581" t="s">
        <v>689</v>
      </c>
      <c r="JY1" s="105"/>
      <c r="JZ1" s="547" t="s">
        <v>1178</v>
      </c>
      <c r="KA1" s="48"/>
      <c r="KB1" s="742" t="s">
        <v>1179</v>
      </c>
      <c r="KC1" s="742"/>
      <c r="KD1" s="581" t="s">
        <v>689</v>
      </c>
      <c r="KE1" s="105"/>
      <c r="KF1" s="547" t="s">
        <v>1137</v>
      </c>
      <c r="KG1" s="48"/>
      <c r="KH1" s="742" t="s">
        <v>1180</v>
      </c>
      <c r="KI1" s="742"/>
      <c r="KJ1" s="581" t="s">
        <v>689</v>
      </c>
      <c r="KK1" s="105"/>
      <c r="KL1" s="547" t="s">
        <v>1144</v>
      </c>
      <c r="KM1" s="48"/>
      <c r="KN1" s="742" t="s">
        <v>1181</v>
      </c>
      <c r="KO1" s="742"/>
      <c r="KP1" s="581" t="s">
        <v>689</v>
      </c>
      <c r="KQ1" s="105"/>
      <c r="KR1" s="547" t="s">
        <v>1144</v>
      </c>
      <c r="KS1" s="48"/>
      <c r="KT1" s="742" t="s">
        <v>1182</v>
      </c>
      <c r="KU1" s="742"/>
      <c r="KV1" s="581" t="s">
        <v>689</v>
      </c>
      <c r="KW1" s="105"/>
      <c r="KX1" s="547" t="s">
        <v>1144</v>
      </c>
      <c r="KY1" s="48"/>
      <c r="KZ1" s="742" t="s">
        <v>1183</v>
      </c>
      <c r="LA1" s="742"/>
      <c r="LB1" s="581" t="s">
        <v>689</v>
      </c>
      <c r="LC1" s="105"/>
      <c r="LD1" s="547" t="s">
        <v>1172</v>
      </c>
      <c r="LE1" s="48"/>
      <c r="LF1" s="742" t="s">
        <v>1184</v>
      </c>
      <c r="LG1" s="742"/>
      <c r="LH1" s="581" t="s">
        <v>689</v>
      </c>
      <c r="LI1" s="105"/>
      <c r="LJ1" s="547" t="s">
        <v>1172</v>
      </c>
      <c r="LK1" s="48"/>
      <c r="LL1" s="742" t="s">
        <v>1185</v>
      </c>
      <c r="LM1" s="742"/>
      <c r="LN1" s="581" t="s">
        <v>689</v>
      </c>
      <c r="LO1" s="303"/>
      <c r="LP1" s="547" t="s">
        <v>1172</v>
      </c>
      <c r="LQ1" s="48"/>
      <c r="LR1" s="742" t="s">
        <v>1186</v>
      </c>
      <c r="LS1" s="742"/>
      <c r="LT1" s="581" t="s">
        <v>689</v>
      </c>
      <c r="LU1" s="303"/>
      <c r="LV1" s="619" t="s">
        <v>1156</v>
      </c>
      <c r="LW1" s="48"/>
      <c r="LX1" s="742" t="s">
        <v>3359</v>
      </c>
      <c r="LY1" s="742"/>
      <c r="LZ1" s="618" t="s">
        <v>689</v>
      </c>
      <c r="MA1" s="303"/>
      <c r="MB1" s="608" t="s">
        <v>1172</v>
      </c>
      <c r="MC1" s="609"/>
      <c r="MD1" s="741" t="s">
        <v>3444</v>
      </c>
      <c r="ME1" s="742"/>
      <c r="MF1" s="668" t="s">
        <v>689</v>
      </c>
      <c r="MG1" s="303"/>
      <c r="MH1" s="658" t="s">
        <v>1172</v>
      </c>
      <c r="MI1" s="659"/>
      <c r="MJ1" s="741" t="s">
        <v>3495</v>
      </c>
      <c r="MK1" s="742"/>
      <c r="ML1" s="681" t="s">
        <v>689</v>
      </c>
      <c r="MM1" s="303"/>
      <c r="MN1" s="678" t="s">
        <v>1172</v>
      </c>
      <c r="MO1" s="679"/>
      <c r="MP1" s="741" t="s">
        <v>3437</v>
      </c>
      <c r="MQ1" s="742"/>
    </row>
    <row r="2" spans="1:356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3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3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3339</v>
      </c>
      <c r="LY2" s="44">
        <f>SUM(LY6:LY36)</f>
        <v>303217</v>
      </c>
      <c r="LZ2" s="615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5" t="s">
        <v>3339</v>
      </c>
      <c r="ME2" s="44">
        <f>SUM(ME5:ME33)</f>
        <v>305797</v>
      </c>
      <c r="MF2" s="660" t="s">
        <v>1193</v>
      </c>
      <c r="MG2" s="250">
        <f>SUM(MG4:MG39)</f>
        <v>20163.809999999998</v>
      </c>
      <c r="MH2" s="70" t="s">
        <v>143</v>
      </c>
      <c r="MI2" s="590">
        <f>MG2+ME2-MK2</f>
        <v>16411.440000000002</v>
      </c>
      <c r="MJ2" s="660" t="s">
        <v>3339</v>
      </c>
      <c r="MK2" s="44">
        <f>SUM(MK7:MK39)</f>
        <v>309549.37</v>
      </c>
      <c r="ML2" s="684" t="s">
        <v>1193</v>
      </c>
      <c r="MM2" s="250">
        <f>SUM(MM4:MM28)</f>
        <v>34.65</v>
      </c>
      <c r="MN2" s="70" t="s">
        <v>143</v>
      </c>
      <c r="MO2" s="590">
        <f>MM2+MK2-MQ2</f>
        <v>1592.6500000000233</v>
      </c>
      <c r="MP2" s="684" t="s">
        <v>3339</v>
      </c>
      <c r="MQ2" s="44">
        <f>SUM(MQ7:MQ39)</f>
        <v>307991.37</v>
      </c>
    </row>
    <row r="3" spans="1:356">
      <c r="A3" s="763" t="s">
        <v>1196</v>
      </c>
      <c r="B3" s="763"/>
      <c r="E3" s="53" t="s">
        <v>150</v>
      </c>
      <c r="F3" s="52">
        <f>F2-F4</f>
        <v>17</v>
      </c>
      <c r="G3" s="763" t="s">
        <v>1196</v>
      </c>
      <c r="H3" s="763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1" t="s">
        <v>3435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1" t="s">
        <v>3434</v>
      </c>
      <c r="KY3" s="91"/>
      <c r="KZ3" s="292">
        <v>7000</v>
      </c>
      <c r="LA3" s="293">
        <v>45342</v>
      </c>
      <c r="LC3" s="213"/>
      <c r="LD3" s="651" t="s">
        <v>3433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1" t="s">
        <v>3432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5" t="s">
        <v>1211</v>
      </c>
      <c r="MC3" s="91">
        <f>MC2-MA34-MA33</f>
        <v>5093.1919999999809</v>
      </c>
      <c r="MD3" s="615" t="s">
        <v>1217</v>
      </c>
      <c r="ME3" s="44">
        <f>SUM(ME10:ME11)</f>
        <v>-191076</v>
      </c>
      <c r="MG3" s="250"/>
      <c r="MH3" s="660" t="s">
        <v>1211</v>
      </c>
      <c r="MI3" s="91">
        <f>MI2-MG43-MG42</f>
        <v>9111.2800000000025</v>
      </c>
      <c r="MJ3" s="660" t="s">
        <v>1217</v>
      </c>
      <c r="MK3" s="44">
        <f>SUM(MK12:MK13)</f>
        <v>-186264.63</v>
      </c>
      <c r="MM3" s="250"/>
      <c r="MN3" s="684" t="s">
        <v>1211</v>
      </c>
      <c r="MO3" s="91">
        <f>MO2-MM31-MM30</f>
        <v>1592.6500000000233</v>
      </c>
      <c r="MP3" s="684" t="s">
        <v>1217</v>
      </c>
      <c r="MQ3" s="44">
        <f>SUM(MQ12:MQ13)</f>
        <v>-186264.63</v>
      </c>
    </row>
    <row r="4" spans="1:356" ht="12.75" customHeight="1" thickBot="1">
      <c r="A4" s="763"/>
      <c r="B4" s="763"/>
      <c r="E4" s="53" t="s">
        <v>161</v>
      </c>
      <c r="F4" s="52">
        <f>SUM(F14:F57)</f>
        <v>12750</v>
      </c>
      <c r="G4" s="763"/>
      <c r="H4" s="76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3">
        <f>SUM(KI5:KI36)</f>
        <v>337796.44</v>
      </c>
      <c r="KJ4" s="14" t="s">
        <v>1215</v>
      </c>
      <c r="KK4" s="236">
        <v>17211.3</v>
      </c>
      <c r="KL4" s="14" t="s">
        <v>1218</v>
      </c>
      <c r="KM4" s="595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5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5">
        <f>LW2-LW5</f>
        <v>0.32199999995646067</v>
      </c>
      <c r="LX4" s="106" t="s">
        <v>1240</v>
      </c>
      <c r="LY4" s="645">
        <f>SUM(LY12:LY23)+LY3</f>
        <v>252047</v>
      </c>
      <c r="LZ4" s="615" t="s">
        <v>1215</v>
      </c>
      <c r="MA4" s="119">
        <v>18611.73</v>
      </c>
      <c r="MB4" s="615" t="s">
        <v>1239</v>
      </c>
      <c r="MC4" s="595">
        <f>MC2-MC5</f>
        <v>0.87199999998301791</v>
      </c>
      <c r="MD4" s="292">
        <v>20000</v>
      </c>
      <c r="ME4" s="293">
        <v>45412</v>
      </c>
      <c r="MF4" s="660" t="s">
        <v>1215</v>
      </c>
      <c r="MG4" s="119">
        <v>18611.73</v>
      </c>
      <c r="MH4" s="660" t="s">
        <v>1239</v>
      </c>
      <c r="MI4" s="291">
        <f>MI2-MI5</f>
        <v>-0.2999999999992724</v>
      </c>
      <c r="MJ4" s="292">
        <v>5000</v>
      </c>
      <c r="MK4" s="293">
        <v>45454</v>
      </c>
      <c r="ML4" s="684" t="s">
        <v>1215</v>
      </c>
      <c r="MM4" s="119"/>
      <c r="MN4" s="684" t="s">
        <v>1239</v>
      </c>
      <c r="MO4" s="291">
        <f>MO2-MO5</f>
        <v>-0.21999999997683517</v>
      </c>
      <c r="MP4" s="292">
        <v>5000</v>
      </c>
      <c r="MQ4" s="293">
        <v>45454</v>
      </c>
    </row>
    <row r="5" spans="1:356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5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5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5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SUM(LW6:LW52)</f>
        <v>97634.24000000002</v>
      </c>
      <c r="LX5" s="37">
        <v>20000</v>
      </c>
      <c r="LY5" s="38">
        <v>45384</v>
      </c>
      <c r="LZ5" s="643" t="s">
        <v>1231</v>
      </c>
      <c r="MA5" s="119">
        <v>-200</v>
      </c>
      <c r="MB5" s="615" t="s">
        <v>161</v>
      </c>
      <c r="MC5" s="91">
        <f>SUM(MC6:MC54)</f>
        <v>7092.3199999999979</v>
      </c>
      <c r="MD5" s="37" t="s">
        <v>3408</v>
      </c>
      <c r="ME5" s="637">
        <v>104000</v>
      </c>
      <c r="MF5" s="662" t="s">
        <v>1231</v>
      </c>
      <c r="MG5" s="119">
        <v>-200</v>
      </c>
      <c r="MH5" s="660" t="s">
        <v>161</v>
      </c>
      <c r="MI5" s="91">
        <f>SUM(MI6:MI59)</f>
        <v>16411.740000000002</v>
      </c>
      <c r="MJ5" s="37">
        <v>5000</v>
      </c>
      <c r="MK5" s="38">
        <v>45468</v>
      </c>
      <c r="ML5" s="683" t="s">
        <v>1231</v>
      </c>
      <c r="MM5" s="119"/>
      <c r="MN5" s="684" t="s">
        <v>161</v>
      </c>
      <c r="MO5" s="91">
        <f>SUM(MO6:MO49)</f>
        <v>1592.8700000000001</v>
      </c>
      <c r="MP5" s="37">
        <v>5000</v>
      </c>
      <c r="MQ5" s="38">
        <v>45468</v>
      </c>
    </row>
    <row r="6" spans="1:356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3326</v>
      </c>
      <c r="LW6" s="57" t="s">
        <v>3324</v>
      </c>
      <c r="LX6" s="256" t="s">
        <v>1311</v>
      </c>
      <c r="LY6" s="294">
        <v>141000</v>
      </c>
      <c r="LZ6" s="610" t="s">
        <v>1224</v>
      </c>
      <c r="MA6" s="119">
        <f>-5-5524.9-5000</f>
        <v>-10529.9</v>
      </c>
      <c r="MB6" s="629" t="s">
        <v>3326</v>
      </c>
      <c r="MC6" s="57" t="s">
        <v>3324</v>
      </c>
      <c r="MD6" s="256" t="s">
        <v>3387</v>
      </c>
      <c r="ME6" s="294">
        <v>0</v>
      </c>
      <c r="MF6" s="683"/>
      <c r="MG6" s="119"/>
      <c r="MH6" s="629" t="s">
        <v>3326</v>
      </c>
      <c r="MI6" s="57" t="s">
        <v>3324</v>
      </c>
      <c r="MJ6" s="37">
        <v>5000</v>
      </c>
      <c r="MK6" s="38">
        <v>45482</v>
      </c>
      <c r="ML6" s="683"/>
      <c r="MM6" s="119"/>
      <c r="MN6" s="629" t="s">
        <v>3326</v>
      </c>
      <c r="MO6" s="57" t="s">
        <v>3324</v>
      </c>
      <c r="MP6" s="37">
        <v>5000</v>
      </c>
      <c r="MQ6" s="38">
        <v>45482</v>
      </c>
    </row>
    <row r="7" spans="1:356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3325</v>
      </c>
      <c r="LW7" s="57">
        <v>40</v>
      </c>
      <c r="LX7" s="14" t="s">
        <v>1443</v>
      </c>
      <c r="LY7" s="44">
        <v>-68605</v>
      </c>
      <c r="LZ7" s="610"/>
      <c r="MA7" s="119"/>
      <c r="MB7" s="589" t="s">
        <v>1695</v>
      </c>
      <c r="MC7" s="42">
        <f>1000+1000</f>
        <v>2000</v>
      </c>
      <c r="MD7" s="640" t="s">
        <v>3333</v>
      </c>
      <c r="ME7" s="234">
        <v>50000</v>
      </c>
      <c r="MF7" s="674" t="s">
        <v>3494</v>
      </c>
      <c r="MG7" s="42">
        <v>449.92</v>
      </c>
      <c r="MH7" s="629" t="s">
        <v>3489</v>
      </c>
      <c r="MI7" s="42">
        <v>1900.05</v>
      </c>
      <c r="MJ7" s="37" t="s">
        <v>3408</v>
      </c>
      <c r="MK7" s="637">
        <v>75000</v>
      </c>
      <c r="ML7" s="684" t="s">
        <v>1349</v>
      </c>
      <c r="MM7" s="250"/>
      <c r="MN7" s="629" t="s">
        <v>3501</v>
      </c>
      <c r="MO7" s="42"/>
      <c r="MP7" s="37" t="s">
        <v>3408</v>
      </c>
      <c r="MQ7" s="637">
        <v>75000</v>
      </c>
    </row>
    <row r="8" spans="1:356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4" t="s">
        <v>3328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5" t="s">
        <v>1349</v>
      </c>
      <c r="MA8" s="250"/>
      <c r="MB8" s="588" t="s">
        <v>1949</v>
      </c>
      <c r="MC8" s="56">
        <v>145.76</v>
      </c>
      <c r="MD8" s="640" t="s">
        <v>1496</v>
      </c>
      <c r="ME8" s="234">
        <v>150000</v>
      </c>
      <c r="MF8" s="674" t="s">
        <v>3485</v>
      </c>
      <c r="MG8" s="119" t="s">
        <v>3484</v>
      </c>
      <c r="MH8" s="629" t="s">
        <v>3488</v>
      </c>
      <c r="MI8" s="42">
        <v>1900.06</v>
      </c>
      <c r="MJ8" s="256" t="s">
        <v>3387</v>
      </c>
      <c r="MK8" s="294">
        <v>0</v>
      </c>
      <c r="ML8" s="684" t="s">
        <v>1396</v>
      </c>
      <c r="MM8" s="250"/>
      <c r="MN8" s="629" t="s">
        <v>3490</v>
      </c>
      <c r="MO8" s="42"/>
      <c r="MP8" s="256" t="s">
        <v>3387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4" t="s">
        <v>3329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3421</v>
      </c>
      <c r="LW9" s="42">
        <v>39000.01</v>
      </c>
      <c r="LX9" s="63" t="s">
        <v>1302</v>
      </c>
      <c r="LY9" s="44">
        <v>-4000</v>
      </c>
      <c r="LZ9" s="615" t="s">
        <v>1396</v>
      </c>
      <c r="MA9" s="250">
        <v>71.001000000000005</v>
      </c>
      <c r="MB9" s="588" t="s">
        <v>2069</v>
      </c>
      <c r="MC9" s="57">
        <v>197.12</v>
      </c>
      <c r="MD9" s="614" t="s">
        <v>3406</v>
      </c>
      <c r="ME9" s="44">
        <v>150001</v>
      </c>
      <c r="MF9" s="674" t="s">
        <v>3472</v>
      </c>
      <c r="MG9" s="42">
        <f>1154</f>
        <v>1154</v>
      </c>
      <c r="MH9" s="629" t="s">
        <v>3490</v>
      </c>
      <c r="MI9" s="42">
        <v>2000.05</v>
      </c>
      <c r="MJ9" s="666" t="s">
        <v>3333</v>
      </c>
      <c r="MK9" s="234">
        <v>50000</v>
      </c>
      <c r="ML9" s="646" t="s">
        <v>3497</v>
      </c>
      <c r="MM9" s="250"/>
      <c r="MN9" s="629" t="s">
        <v>3491</v>
      </c>
      <c r="MO9" s="42"/>
      <c r="MP9" s="686" t="s">
        <v>3333</v>
      </c>
      <c r="MQ9" s="234">
        <v>50000</v>
      </c>
      <c r="MR9" s="46"/>
    </row>
    <row r="10" spans="1:356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3354</v>
      </c>
      <c r="LW10" s="42">
        <v>2000.03</v>
      </c>
      <c r="LX10" s="49" t="s">
        <v>1600</v>
      </c>
      <c r="LY10" s="94">
        <v>-87000</v>
      </c>
      <c r="LZ10" s="646" t="s">
        <v>3420</v>
      </c>
      <c r="MA10" s="250">
        <v>27.33</v>
      </c>
      <c r="MB10" s="588" t="s">
        <v>3405</v>
      </c>
      <c r="MC10" s="42">
        <v>30</v>
      </c>
      <c r="MD10" s="615" t="s">
        <v>1443</v>
      </c>
      <c r="ME10" s="44">
        <v>-67376</v>
      </c>
      <c r="MF10" s="675" t="s">
        <v>3475</v>
      </c>
      <c r="MG10" s="42">
        <v>-460</v>
      </c>
      <c r="MH10" s="629" t="s">
        <v>3491</v>
      </c>
      <c r="MI10" s="42">
        <v>1500</v>
      </c>
      <c r="MJ10" s="666" t="s">
        <v>1496</v>
      </c>
      <c r="MK10" s="234">
        <v>150000</v>
      </c>
      <c r="ML10" s="683" t="s">
        <v>3337</v>
      </c>
      <c r="MM10" s="250"/>
      <c r="MN10" s="589" t="s">
        <v>1700</v>
      </c>
      <c r="MO10" s="42"/>
      <c r="MP10" s="686" t="s">
        <v>1496</v>
      </c>
      <c r="MQ10" s="234">
        <v>150000</v>
      </c>
    </row>
    <row r="11" spans="1:356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2" t="s">
        <v>3337</v>
      </c>
      <c r="LU11" s="250">
        <v>0.8</v>
      </c>
      <c r="LV11" s="305" t="s">
        <v>585</v>
      </c>
      <c r="LW11" s="14">
        <v>50065.8</v>
      </c>
      <c r="LX11" s="63" t="s">
        <v>1541</v>
      </c>
      <c r="LY11" s="44">
        <v>0</v>
      </c>
      <c r="LZ11" s="610" t="s">
        <v>3337</v>
      </c>
      <c r="MA11" s="250">
        <v>2.0009999999999999</v>
      </c>
      <c r="MB11" s="588" t="s">
        <v>3407</v>
      </c>
      <c r="MC11" s="587">
        <f>153.11+10.9</f>
        <v>164.01000000000002</v>
      </c>
      <c r="MD11" s="615" t="s">
        <v>1494</v>
      </c>
      <c r="ME11" s="44">
        <v>-123700</v>
      </c>
      <c r="MF11" s="677"/>
      <c r="MG11" s="119"/>
      <c r="MH11" s="594" t="s">
        <v>3496</v>
      </c>
      <c r="MI11" s="676">
        <v>1526</v>
      </c>
      <c r="MJ11" s="666" t="s">
        <v>3406</v>
      </c>
      <c r="MK11" s="44">
        <v>150001</v>
      </c>
      <c r="ML11" s="683"/>
      <c r="MM11" s="250"/>
      <c r="MN11" s="594" t="s">
        <v>3500</v>
      </c>
      <c r="MP11" s="686" t="s">
        <v>3406</v>
      </c>
      <c r="MQ11" s="44">
        <v>150001</v>
      </c>
    </row>
    <row r="12" spans="1:356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625" t="s">
        <v>3330</v>
      </c>
      <c r="LW12" s="42">
        <v>330.77</v>
      </c>
      <c r="LX12" s="63" t="s">
        <v>1730</v>
      </c>
      <c r="LY12" s="44">
        <v>241002</v>
      </c>
      <c r="LZ12" s="610"/>
      <c r="MA12" s="250"/>
      <c r="MB12" s="588" t="s">
        <v>1622</v>
      </c>
      <c r="MC12" s="42">
        <f>5</f>
        <v>5</v>
      </c>
      <c r="MD12" s="614" t="s">
        <v>1302</v>
      </c>
      <c r="ME12" s="44">
        <v>-4000</v>
      </c>
      <c r="MF12" s="660" t="s">
        <v>1349</v>
      </c>
      <c r="MG12" s="250"/>
      <c r="MH12" s="588" t="s">
        <v>1949</v>
      </c>
      <c r="MI12" s="56">
        <v>138.54</v>
      </c>
      <c r="MJ12" s="660" t="s">
        <v>1443</v>
      </c>
      <c r="MK12" s="44">
        <v>-66164.63</v>
      </c>
      <c r="ML12" s="684" t="s">
        <v>1599</v>
      </c>
      <c r="MM12" s="250"/>
      <c r="MN12" s="588" t="s">
        <v>1949</v>
      </c>
      <c r="MO12" s="56"/>
      <c r="MP12" s="684" t="s">
        <v>1443</v>
      </c>
      <c r="MQ12" s="44">
        <v>-66164.63</v>
      </c>
      <c r="MR12" s="46">
        <v>45442</v>
      </c>
    </row>
    <row r="13" spans="1:356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3" t="s">
        <v>1666</v>
      </c>
      <c r="LW13" s="57">
        <v>500</v>
      </c>
      <c r="LX13" s="63" t="s">
        <v>1660</v>
      </c>
      <c r="LY13" s="44">
        <v>101740</v>
      </c>
      <c r="LZ13" s="615" t="s">
        <v>1599</v>
      </c>
      <c r="MA13" s="250"/>
      <c r="MB13" s="588" t="s">
        <v>1830</v>
      </c>
      <c r="MC13" s="42">
        <f>13.57+9+9</f>
        <v>31.57</v>
      </c>
      <c r="MD13" s="613" t="s">
        <v>1600</v>
      </c>
      <c r="ME13" s="94">
        <f>-87000</f>
        <v>-87000</v>
      </c>
      <c r="MF13" s="660" t="s">
        <v>1396</v>
      </c>
      <c r="MG13" s="250">
        <v>64</v>
      </c>
      <c r="MH13" s="588" t="s">
        <v>2069</v>
      </c>
      <c r="MI13" s="57">
        <v>191</v>
      </c>
      <c r="MJ13" s="660" t="s">
        <v>1494</v>
      </c>
      <c r="MK13" s="44">
        <v>-120100</v>
      </c>
      <c r="ML13" s="685" t="s">
        <v>1665</v>
      </c>
      <c r="MM13" s="250"/>
      <c r="MN13" s="588" t="s">
        <v>2069</v>
      </c>
      <c r="MO13" s="57"/>
      <c r="MP13" s="684" t="s">
        <v>1494</v>
      </c>
      <c r="MQ13" s="44">
        <v>-120100</v>
      </c>
      <c r="MR13" s="46">
        <v>45442</v>
      </c>
    </row>
    <row r="14" spans="1:356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46" t="s">
        <v>1684</v>
      </c>
      <c r="DP14" s="747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42" t="s">
        <v>1704</v>
      </c>
      <c r="HK14" s="742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3" t="s">
        <v>1784</v>
      </c>
      <c r="LW14" s="57">
        <f>749.38+250.7</f>
        <v>1000.0799999999999</v>
      </c>
      <c r="LX14" s="640" t="s">
        <v>3333</v>
      </c>
      <c r="LY14" s="234">
        <v>50000</v>
      </c>
      <c r="LZ14" s="613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4" t="s">
        <v>1541</v>
      </c>
      <c r="ME14" s="44">
        <v>28002</v>
      </c>
      <c r="MF14" s="646" t="s">
        <v>3454</v>
      </c>
      <c r="MG14" s="250">
        <v>26.77</v>
      </c>
      <c r="MH14" s="588" t="s">
        <v>3405</v>
      </c>
      <c r="MI14" s="42">
        <v>80</v>
      </c>
      <c r="MJ14" s="666" t="s">
        <v>1302</v>
      </c>
      <c r="MK14" s="44">
        <v>-4000</v>
      </c>
      <c r="ML14" s="669" t="s">
        <v>3498</v>
      </c>
      <c r="MM14" s="42">
        <v>34.65</v>
      </c>
      <c r="MN14" s="588" t="s">
        <v>1653</v>
      </c>
      <c r="MO14" s="42"/>
      <c r="MP14" s="686" t="s">
        <v>1302</v>
      </c>
      <c r="MQ14" s="44">
        <v>-4000</v>
      </c>
      <c r="MR14" s="46"/>
    </row>
    <row r="15" spans="1:356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48" t="s">
        <v>1658</v>
      </c>
      <c r="KE15" s="748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0" t="s">
        <v>1496</v>
      </c>
      <c r="LS15" s="234">
        <v>2000</v>
      </c>
      <c r="LT15" s="43" t="s">
        <v>1731</v>
      </c>
      <c r="LU15" s="250">
        <v>33.000999999999998</v>
      </c>
      <c r="LV15" s="623" t="s">
        <v>3331</v>
      </c>
      <c r="LW15" s="57"/>
      <c r="LX15" s="640" t="s">
        <v>1496</v>
      </c>
      <c r="LY15" s="234">
        <v>2000</v>
      </c>
      <c r="LZ15" s="43" t="s">
        <v>3403</v>
      </c>
      <c r="MA15" s="42">
        <v>34.15</v>
      </c>
      <c r="MB15" s="43" t="s">
        <v>1428</v>
      </c>
      <c r="MC15" s="647">
        <v>131.16999999999999</v>
      </c>
      <c r="MD15" s="614" t="s">
        <v>1660</v>
      </c>
      <c r="ME15" s="44">
        <v>101103</v>
      </c>
      <c r="MF15" s="662" t="s">
        <v>3337</v>
      </c>
      <c r="MG15" s="250">
        <v>38.5</v>
      </c>
      <c r="MH15" s="588" t="s">
        <v>3407</v>
      </c>
      <c r="MI15" s="587">
        <f>153.11*2+10.9</f>
        <v>317.12</v>
      </c>
      <c r="MJ15" s="665" t="s">
        <v>1600</v>
      </c>
      <c r="MK15" s="94">
        <v>-92000</v>
      </c>
      <c r="ML15" s="669" t="s">
        <v>3445</v>
      </c>
      <c r="MM15" s="250"/>
      <c r="MN15" s="588" t="s">
        <v>3404</v>
      </c>
      <c r="MO15" s="42"/>
      <c r="MP15" s="685" t="s">
        <v>1600</v>
      </c>
      <c r="MQ15" s="94">
        <v>-92000</v>
      </c>
      <c r="MR15" s="46">
        <v>45442</v>
      </c>
    </row>
    <row r="16" spans="1:356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3338</v>
      </c>
      <c r="LU16" s="250">
        <v>283.13</v>
      </c>
      <c r="LV16" s="67" t="s">
        <v>3362</v>
      </c>
      <c r="LW16" s="56">
        <v>138.97</v>
      </c>
      <c r="LX16" s="605" t="s">
        <v>3353</v>
      </c>
      <c r="LY16" s="44">
        <v>100001</v>
      </c>
      <c r="LZ16" s="43" t="s">
        <v>3419</v>
      </c>
      <c r="MA16" s="250">
        <v>309.74</v>
      </c>
      <c r="MB16" s="43" t="s">
        <v>3413</v>
      </c>
      <c r="MC16" s="57">
        <v>375.8</v>
      </c>
      <c r="MD16" s="644" t="s">
        <v>1595</v>
      </c>
      <c r="ME16" s="44">
        <v>0</v>
      </c>
      <c r="MF16" s="662"/>
      <c r="MG16" s="250"/>
      <c r="MH16" s="588" t="s">
        <v>1622</v>
      </c>
      <c r="MI16" s="42">
        <f>5</f>
        <v>5</v>
      </c>
      <c r="MJ16" s="666" t="s">
        <v>1541</v>
      </c>
      <c r="MK16" s="44">
        <v>61003</v>
      </c>
      <c r="ML16" s="684" t="s">
        <v>1467</v>
      </c>
      <c r="MN16" s="588" t="s">
        <v>3405</v>
      </c>
      <c r="MO16" s="42">
        <v>30</v>
      </c>
      <c r="MP16" s="686" t="s">
        <v>1541</v>
      </c>
      <c r="MQ16" s="44">
        <v>0</v>
      </c>
      <c r="MR16" s="46">
        <v>45444</v>
      </c>
    </row>
    <row r="17" spans="1:357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3361</v>
      </c>
      <c r="LW17" s="57">
        <v>202.58</v>
      </c>
      <c r="LX17" s="69" t="s">
        <v>1725</v>
      </c>
      <c r="LY17" s="245"/>
      <c r="LZ17" s="43" t="s">
        <v>3398</v>
      </c>
      <c r="MA17" s="250">
        <v>758.42</v>
      </c>
      <c r="MB17" s="630" t="s">
        <v>3368</v>
      </c>
      <c r="MC17" s="42">
        <f>1+5</f>
        <v>6</v>
      </c>
      <c r="MD17" s="611" t="s">
        <v>1725</v>
      </c>
      <c r="ME17" s="245"/>
      <c r="MF17" s="660" t="s">
        <v>1599</v>
      </c>
      <c r="MG17" s="250"/>
      <c r="MH17" s="588" t="s">
        <v>1830</v>
      </c>
      <c r="MI17" s="42">
        <f>9+9+13.57</f>
        <v>31.57</v>
      </c>
      <c r="MJ17" s="666" t="s">
        <v>1660</v>
      </c>
      <c r="MK17" s="44">
        <v>101153</v>
      </c>
      <c r="ML17" s="43" t="s">
        <v>1651</v>
      </c>
      <c r="MN17" s="588" t="s">
        <v>3407</v>
      </c>
      <c r="MO17" s="587"/>
      <c r="MP17" s="686" t="s">
        <v>1660</v>
      </c>
      <c r="MQ17" s="44">
        <v>101098</v>
      </c>
      <c r="MR17" s="46">
        <v>45444</v>
      </c>
      <c r="MS17" s="44"/>
    </row>
    <row r="18" spans="1:357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46" t="s">
        <v>1906</v>
      </c>
      <c r="DJ18" s="747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7" t="s">
        <v>3355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1653</v>
      </c>
      <c r="LW18" s="42">
        <v>56.41</v>
      </c>
      <c r="LX18" s="49" t="s">
        <v>1780</v>
      </c>
      <c r="LY18" s="94">
        <v>-325</v>
      </c>
      <c r="LZ18" s="43" t="s">
        <v>3398</v>
      </c>
      <c r="MA18" s="250">
        <v>14.63</v>
      </c>
      <c r="MB18" s="630" t="s">
        <v>3415</v>
      </c>
      <c r="MC18" s="42">
        <v>40</v>
      </c>
      <c r="MD18" s="613" t="s">
        <v>1780</v>
      </c>
      <c r="ME18" s="94">
        <v>-404</v>
      </c>
      <c r="MF18" s="665" t="s">
        <v>1665</v>
      </c>
      <c r="MG18" s="250">
        <f>205.48+73.97+41.1</f>
        <v>320.55</v>
      </c>
      <c r="MH18" s="588" t="s">
        <v>2012</v>
      </c>
      <c r="MI18" s="42">
        <f>17.1+10+15.9+16.45+10+15.33+17.87+10+13.36+10</f>
        <v>136.01</v>
      </c>
      <c r="MJ18" s="666" t="s">
        <v>1595</v>
      </c>
      <c r="MK18" s="44">
        <v>0</v>
      </c>
      <c r="ML18" s="682" t="s">
        <v>1658</v>
      </c>
      <c r="MM18" s="682"/>
      <c r="MN18" s="588" t="s">
        <v>1622</v>
      </c>
      <c r="MO18" s="42"/>
      <c r="MP18" s="686" t="s">
        <v>1595</v>
      </c>
      <c r="MQ18" s="44">
        <v>52003</v>
      </c>
      <c r="MR18" s="46">
        <v>45444</v>
      </c>
    </row>
    <row r="19" spans="1:357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7" t="s">
        <v>3355</v>
      </c>
      <c r="LT19" s="620" t="s">
        <v>1658</v>
      </c>
      <c r="LU19" s="620"/>
      <c r="LV19" s="67" t="s">
        <v>3340</v>
      </c>
      <c r="LW19" s="587">
        <f>153.26+10.9</f>
        <v>164.16</v>
      </c>
      <c r="LX19" s="61" t="s">
        <v>1892</v>
      </c>
      <c r="LY19" s="44">
        <f>LX20-0.99*195000</f>
        <v>-51228</v>
      </c>
      <c r="LZ19" s="620" t="s">
        <v>1658</v>
      </c>
      <c r="MA19" s="620"/>
      <c r="MB19" s="630" t="s">
        <v>3429</v>
      </c>
      <c r="MC19" s="42">
        <f>30.5+35.8+40.4+36.4+28.5</f>
        <v>171.6</v>
      </c>
      <c r="MD19" s="610" t="s">
        <v>1892</v>
      </c>
      <c r="ME19" s="44">
        <f>MD20-0.99*195000</f>
        <v>-194</v>
      </c>
      <c r="MF19" s="669" t="s">
        <v>3448</v>
      </c>
      <c r="MG19" s="42">
        <v>33.68</v>
      </c>
      <c r="MH19" s="630" t="s">
        <v>3461</v>
      </c>
      <c r="MI19" s="42">
        <f>10+10</f>
        <v>20</v>
      </c>
      <c r="MJ19" s="663" t="s">
        <v>1725</v>
      </c>
      <c r="MK19" s="245"/>
      <c r="ML19" s="646" t="s">
        <v>3451</v>
      </c>
      <c r="MN19" s="588" t="s">
        <v>1830</v>
      </c>
      <c r="MO19" s="42"/>
      <c r="MP19" s="687" t="s">
        <v>1725</v>
      </c>
      <c r="MQ19" s="245"/>
      <c r="MR19" s="46"/>
    </row>
    <row r="20" spans="1:357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4" t="s">
        <v>3436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1622</v>
      </c>
      <c r="LW20" s="42">
        <v>5</v>
      </c>
      <c r="LX20" s="283">
        <v>141822</v>
      </c>
      <c r="LY20" s="14" t="s">
        <v>3355</v>
      </c>
      <c r="LZ20" s="621" t="s">
        <v>3416</v>
      </c>
      <c r="MA20" s="42">
        <v>149.6</v>
      </c>
      <c r="MB20" s="630" t="s">
        <v>3400</v>
      </c>
      <c r="MC20" s="42">
        <v>22</v>
      </c>
      <c r="MD20" s="283">
        <v>192856</v>
      </c>
      <c r="ME20" s="594" t="s">
        <v>3365</v>
      </c>
      <c r="MF20" s="660" t="s">
        <v>1467</v>
      </c>
      <c r="MG20" s="42">
        <v>12.26</v>
      </c>
      <c r="MH20" s="630" t="s">
        <v>3460</v>
      </c>
      <c r="MI20" s="42">
        <f>5+10</f>
        <v>15</v>
      </c>
      <c r="MJ20" s="665" t="s">
        <v>1780</v>
      </c>
      <c r="MK20" s="94">
        <v>-477</v>
      </c>
      <c r="ML20" s="670"/>
      <c r="MM20" s="649"/>
      <c r="MN20" s="588" t="s">
        <v>2012</v>
      </c>
      <c r="MO20" s="42">
        <f>17.79</f>
        <v>17.79</v>
      </c>
      <c r="MP20" s="685" t="s">
        <v>1780</v>
      </c>
      <c r="MQ20" s="94">
        <v>-477</v>
      </c>
      <c r="MR20" s="46">
        <v>45442</v>
      </c>
    </row>
    <row r="21" spans="1:357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9" t="s">
        <v>357</v>
      </c>
      <c r="N21" s="749"/>
      <c r="Q21" s="58" t="s">
        <v>382</v>
      </c>
      <c r="S21" s="749" t="s">
        <v>357</v>
      </c>
      <c r="T21" s="749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67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3356</v>
      </c>
      <c r="LU21" s="306">
        <f>113.1*2</f>
        <v>226.2</v>
      </c>
      <c r="LV21" s="67" t="s">
        <v>1830</v>
      </c>
      <c r="LW21" s="42">
        <f>13.57+9+9</f>
        <v>31.57</v>
      </c>
      <c r="LX21" s="61" t="s">
        <v>3350</v>
      </c>
      <c r="LY21" s="44">
        <v>2600</v>
      </c>
      <c r="LZ21" s="617" t="s">
        <v>3430</v>
      </c>
      <c r="MA21" s="649">
        <f>74.6+18.65</f>
        <v>93.25</v>
      </c>
      <c r="MB21" s="630" t="s">
        <v>3402</v>
      </c>
      <c r="MC21" s="42">
        <v>7.5</v>
      </c>
      <c r="MD21" s="610" t="s">
        <v>3350</v>
      </c>
      <c r="ME21" s="44">
        <v>2600</v>
      </c>
      <c r="MF21" s="669" t="s">
        <v>3471</v>
      </c>
      <c r="MG21" s="42">
        <v>1.7</v>
      </c>
      <c r="MH21" s="630" t="s">
        <v>3486</v>
      </c>
      <c r="MI21" s="309">
        <v>2679.34</v>
      </c>
      <c r="MJ21" s="673" t="s">
        <v>1839</v>
      </c>
      <c r="MK21" s="167">
        <v>30</v>
      </c>
      <c r="ML21" s="670"/>
      <c r="MM21" s="649"/>
      <c r="MN21" s="630" t="s">
        <v>1920</v>
      </c>
      <c r="MO21" s="42"/>
      <c r="MP21" s="688" t="s">
        <v>1839</v>
      </c>
      <c r="MQ21" s="167">
        <v>30</v>
      </c>
      <c r="MR21" s="46">
        <v>45442</v>
      </c>
    </row>
    <row r="22" spans="1:357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50" t="s">
        <v>2116</v>
      </c>
      <c r="N22" s="750"/>
      <c r="Q22" s="58" t="s">
        <v>391</v>
      </c>
      <c r="S22" s="750" t="s">
        <v>2116</v>
      </c>
      <c r="T22" s="750"/>
      <c r="W22" s="66" t="s">
        <v>1787</v>
      </c>
      <c r="X22" s="14">
        <v>0</v>
      </c>
      <c r="Y22" s="749" t="s">
        <v>357</v>
      </c>
      <c r="Z22" s="749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67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43" t="s">
        <v>2142</v>
      </c>
      <c r="IU22" s="743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599" t="s">
        <v>3360</v>
      </c>
      <c r="LU22" s="599">
        <f>132.65*2</f>
        <v>265.3</v>
      </c>
      <c r="LV22" s="67" t="s">
        <v>2012</v>
      </c>
      <c r="LW22" s="42">
        <f>13.41*2+10+10+15.88+15.54+15.1+10+15.45</f>
        <v>118.79</v>
      </c>
      <c r="LX22" s="63" t="s">
        <v>1584</v>
      </c>
      <c r="LY22" s="44">
        <v>665</v>
      </c>
      <c r="LZ22" s="617"/>
      <c r="MA22" s="617"/>
      <c r="MB22" s="630" t="s">
        <v>3411</v>
      </c>
      <c r="MC22" s="42">
        <v>41.37</v>
      </c>
      <c r="MD22" s="614" t="s">
        <v>1584</v>
      </c>
      <c r="ME22" s="44">
        <v>835</v>
      </c>
      <c r="MF22" s="667" t="s">
        <v>1658</v>
      </c>
      <c r="MG22" s="667"/>
      <c r="MH22" s="630" t="s">
        <v>3487</v>
      </c>
      <c r="MI22" s="309">
        <v>468.82</v>
      </c>
      <c r="MJ22" s="662" t="s">
        <v>1892</v>
      </c>
      <c r="MK22" s="44">
        <f>MJ23-0.99*195000</f>
        <v>-615</v>
      </c>
      <c r="ML22" s="670"/>
      <c r="MM22" s="649"/>
      <c r="MN22" s="630" t="s">
        <v>1920</v>
      </c>
      <c r="MO22" s="42"/>
      <c r="MP22" s="683" t="s">
        <v>1892</v>
      </c>
      <c r="MQ22" s="44">
        <f>MP23-0.99*195000</f>
        <v>-615</v>
      </c>
    </row>
    <row r="23" spans="1:357">
      <c r="A23" s="749" t="s">
        <v>357</v>
      </c>
      <c r="B23" s="749"/>
      <c r="E23" s="568" t="s">
        <v>429</v>
      </c>
      <c r="F23" s="58"/>
      <c r="G23" s="749" t="s">
        <v>357</v>
      </c>
      <c r="H23" s="749"/>
      <c r="K23" s="66" t="s">
        <v>1787</v>
      </c>
      <c r="L23" s="14">
        <v>0</v>
      </c>
      <c r="M23" s="751"/>
      <c r="N23" s="751"/>
      <c r="Q23" s="58" t="s">
        <v>1958</v>
      </c>
      <c r="S23" s="751"/>
      <c r="T23" s="751"/>
      <c r="W23" s="66" t="s">
        <v>1574</v>
      </c>
      <c r="X23" s="61">
        <v>0</v>
      </c>
      <c r="Y23" s="750" t="s">
        <v>2116</v>
      </c>
      <c r="Z23" s="750"/>
      <c r="AE23" s="749" t="s">
        <v>357</v>
      </c>
      <c r="AF23" s="749"/>
      <c r="AK23" s="749" t="s">
        <v>357</v>
      </c>
      <c r="AL23" s="749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52" t="s">
        <v>2171</v>
      </c>
      <c r="EF23" s="752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67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67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43" t="s">
        <v>2142</v>
      </c>
      <c r="HK23" s="743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43" t="s">
        <v>2142</v>
      </c>
      <c r="HW23" s="743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599"/>
      <c r="LU23" s="599"/>
      <c r="LV23" s="147" t="s">
        <v>3343</v>
      </c>
      <c r="LW23" s="42">
        <f>20+10+10</f>
        <v>40</v>
      </c>
      <c r="LX23" s="63" t="s">
        <v>1650</v>
      </c>
      <c r="LY23" s="234">
        <v>1567</v>
      </c>
      <c r="LZ23" s="617"/>
      <c r="MA23" s="617"/>
      <c r="MB23" s="630" t="s">
        <v>3423</v>
      </c>
      <c r="MC23" s="42">
        <v>39.4</v>
      </c>
      <c r="MD23" s="614" t="s">
        <v>1650</v>
      </c>
      <c r="ME23" s="234">
        <v>608</v>
      </c>
      <c r="MF23" s="646" t="s">
        <v>3451</v>
      </c>
      <c r="MG23" s="42">
        <v>110.7</v>
      </c>
      <c r="MH23" s="630" t="s">
        <v>3473</v>
      </c>
      <c r="MI23" s="42">
        <v>22.15</v>
      </c>
      <c r="MJ23" s="283">
        <v>192435</v>
      </c>
      <c r="MK23" s="594" t="s">
        <v>3365</v>
      </c>
      <c r="ML23" s="670"/>
      <c r="MM23" s="649"/>
      <c r="MN23" s="630" t="s">
        <v>1920</v>
      </c>
      <c r="MO23" s="42"/>
      <c r="MP23" s="283">
        <v>192435</v>
      </c>
      <c r="MQ23" s="594" t="s">
        <v>3365</v>
      </c>
      <c r="MR23" s="46">
        <v>45443</v>
      </c>
    </row>
    <row r="24" spans="1:357">
      <c r="A24" s="750" t="s">
        <v>2116</v>
      </c>
      <c r="B24" s="750"/>
      <c r="E24" s="568" t="s">
        <v>298</v>
      </c>
      <c r="F24" s="58"/>
      <c r="G24" s="750" t="s">
        <v>2116</v>
      </c>
      <c r="H24" s="750"/>
      <c r="K24" s="66" t="s">
        <v>1574</v>
      </c>
      <c r="L24" s="61">
        <v>0</v>
      </c>
      <c r="M24" s="751"/>
      <c r="N24" s="751"/>
      <c r="Q24" s="66" t="s">
        <v>1670</v>
      </c>
      <c r="R24" s="14">
        <v>0</v>
      </c>
      <c r="S24" s="751"/>
      <c r="T24" s="751"/>
      <c r="W24" s="66" t="s">
        <v>2201</v>
      </c>
      <c r="X24" s="14">
        <v>910.17</v>
      </c>
      <c r="Y24" s="751"/>
      <c r="Z24" s="751"/>
      <c r="AC24" s="73" t="s">
        <v>2202</v>
      </c>
      <c r="AD24" s="14">
        <v>90</v>
      </c>
      <c r="AE24" s="750" t="s">
        <v>2116</v>
      </c>
      <c r="AF24" s="750"/>
      <c r="AI24" s="72" t="s">
        <v>2203</v>
      </c>
      <c r="AJ24" s="14">
        <v>30</v>
      </c>
      <c r="AK24" s="750" t="s">
        <v>2116</v>
      </c>
      <c r="AL24" s="750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50"/>
      <c r="BH24" s="750"/>
      <c r="BK24" s="89" t="s">
        <v>2205</v>
      </c>
      <c r="BL24" s="61">
        <v>48.54</v>
      </c>
      <c r="BM24" s="750"/>
      <c r="BN24" s="750"/>
      <c r="BQ24" s="89" t="s">
        <v>1960</v>
      </c>
      <c r="BR24" s="61">
        <v>50.15</v>
      </c>
      <c r="BS24" s="750" t="s">
        <v>2206</v>
      </c>
      <c r="BT24" s="750"/>
      <c r="BW24" s="89" t="s">
        <v>1960</v>
      </c>
      <c r="BX24" s="61">
        <v>48.54</v>
      </c>
      <c r="BY24" s="750"/>
      <c r="BZ24" s="750"/>
      <c r="CC24" s="89" t="s">
        <v>1960</v>
      </c>
      <c r="CD24" s="61">
        <v>142.91</v>
      </c>
      <c r="CE24" s="750"/>
      <c r="CF24" s="750"/>
      <c r="CI24" s="89" t="s">
        <v>2207</v>
      </c>
      <c r="CJ24" s="61">
        <v>35.049999999999997</v>
      </c>
      <c r="CK24" s="751"/>
      <c r="CL24" s="751"/>
      <c r="CO24" s="89" t="s">
        <v>1909</v>
      </c>
      <c r="CP24" s="61">
        <v>153.41</v>
      </c>
      <c r="CQ24" s="751" t="s">
        <v>2208</v>
      </c>
      <c r="CR24" s="751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67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599"/>
      <c r="LU24" s="599"/>
      <c r="LV24" s="147" t="s">
        <v>3348</v>
      </c>
      <c r="LW24" s="42">
        <v>661.57</v>
      </c>
      <c r="LX24" s="63" t="s">
        <v>2157</v>
      </c>
      <c r="LY24" s="44">
        <v>10</v>
      </c>
      <c r="LZ24" s="617"/>
      <c r="MA24" s="617"/>
      <c r="MB24" s="630" t="s">
        <v>3427</v>
      </c>
      <c r="MC24" s="42">
        <f>17.9+2.5</f>
        <v>20.399999999999999</v>
      </c>
      <c r="MD24" s="614" t="s">
        <v>2157</v>
      </c>
      <c r="ME24" s="44">
        <v>10</v>
      </c>
      <c r="MF24" s="670"/>
      <c r="MG24" s="649"/>
      <c r="MH24" s="630" t="s">
        <v>3474</v>
      </c>
      <c r="MI24" s="42">
        <v>35.82</v>
      </c>
      <c r="MJ24" s="662" t="s">
        <v>3350</v>
      </c>
      <c r="MK24" s="44">
        <v>2600</v>
      </c>
      <c r="ML24" s="670"/>
      <c r="MM24" s="649"/>
      <c r="MN24" s="630" t="s">
        <v>1920</v>
      </c>
      <c r="MO24" s="42"/>
      <c r="MP24" s="683" t="s">
        <v>3350</v>
      </c>
      <c r="MQ24" s="44">
        <v>1600</v>
      </c>
      <c r="MS24" s="46" t="s">
        <v>3506</v>
      </c>
    </row>
    <row r="25" spans="1:357">
      <c r="A25" s="751"/>
      <c r="B25" s="751"/>
      <c r="E25" s="567" t="s">
        <v>413</v>
      </c>
      <c r="F25" s="53"/>
      <c r="G25" s="751"/>
      <c r="H25" s="751"/>
      <c r="K25" s="66" t="s">
        <v>2252</v>
      </c>
      <c r="L25" s="14">
        <f>910+40</f>
        <v>950</v>
      </c>
      <c r="M25" s="751"/>
      <c r="N25" s="751"/>
      <c r="Q25" s="66" t="s">
        <v>1733</v>
      </c>
      <c r="R25" s="14">
        <v>0</v>
      </c>
      <c r="S25" s="751"/>
      <c r="T25" s="751"/>
      <c r="W25" s="67" t="s">
        <v>2253</v>
      </c>
      <c r="X25" s="14">
        <v>110.58</v>
      </c>
      <c r="Y25" s="751"/>
      <c r="Z25" s="751"/>
      <c r="AE25" s="751"/>
      <c r="AF25" s="751"/>
      <c r="AK25" s="751"/>
      <c r="AL25" s="751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51"/>
      <c r="AX25" s="751"/>
      <c r="AY25" s="67"/>
      <c r="AZ25" s="61"/>
      <c r="BA25" s="751"/>
      <c r="BB25" s="751"/>
      <c r="BE25" s="67" t="s">
        <v>1622</v>
      </c>
      <c r="BF25" s="61">
        <f>6.5*2</f>
        <v>13</v>
      </c>
      <c r="BG25" s="751"/>
      <c r="BH25" s="751"/>
      <c r="BK25" s="89" t="s">
        <v>1622</v>
      </c>
      <c r="BL25" s="61">
        <f>6.5*2</f>
        <v>13</v>
      </c>
      <c r="BM25" s="751"/>
      <c r="BN25" s="751"/>
      <c r="BQ25" s="89" t="s">
        <v>1622</v>
      </c>
      <c r="BR25" s="61">
        <v>13</v>
      </c>
      <c r="BS25" s="751"/>
      <c r="BT25" s="751"/>
      <c r="BW25" s="89" t="s">
        <v>1622</v>
      </c>
      <c r="BX25" s="61">
        <v>13</v>
      </c>
      <c r="BY25" s="751"/>
      <c r="BZ25" s="751"/>
      <c r="CC25" s="89" t="s">
        <v>1622</v>
      </c>
      <c r="CD25" s="61">
        <v>13</v>
      </c>
      <c r="CE25" s="751"/>
      <c r="CF25" s="751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53" t="s">
        <v>2171</v>
      </c>
      <c r="DZ25" s="754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52" t="s">
        <v>2171</v>
      </c>
      <c r="ES25" s="752"/>
      <c r="ET25" s="49" t="s">
        <v>1857</v>
      </c>
      <c r="EU25" s="94">
        <v>20000</v>
      </c>
      <c r="EW25" s="767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43" t="s">
        <v>2142</v>
      </c>
      <c r="IC25" s="743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599"/>
      <c r="LU25" s="599"/>
      <c r="LV25" s="147" t="s">
        <v>2486</v>
      </c>
      <c r="LW25" s="42">
        <f>5.5+3</f>
        <v>8.5</v>
      </c>
      <c r="LX25" s="49" t="s">
        <v>2198</v>
      </c>
      <c r="LY25" s="44">
        <v>160</v>
      </c>
      <c r="LZ25" s="617"/>
      <c r="MA25" s="617"/>
      <c r="MB25" s="630" t="s">
        <v>3440</v>
      </c>
      <c r="MC25" s="42">
        <v>13.95</v>
      </c>
      <c r="MD25" s="613" t="s">
        <v>2198</v>
      </c>
      <c r="ME25" s="44">
        <v>130</v>
      </c>
      <c r="MF25" s="670"/>
      <c r="MG25" s="649"/>
      <c r="MH25" s="630" t="s">
        <v>3493</v>
      </c>
      <c r="MI25" s="42">
        <f>18.7+33.4</f>
        <v>52.099999999999994</v>
      </c>
      <c r="MJ25" s="666" t="s">
        <v>1584</v>
      </c>
      <c r="MK25" s="44">
        <v>734</v>
      </c>
      <c r="ML25" s="670"/>
      <c r="MM25" s="649"/>
      <c r="MN25" s="630" t="s">
        <v>1920</v>
      </c>
      <c r="MO25" s="42"/>
      <c r="MP25" s="686" t="s">
        <v>1584</v>
      </c>
      <c r="MQ25" s="44">
        <v>716</v>
      </c>
      <c r="MR25" s="46">
        <v>45444</v>
      </c>
      <c r="MS25" s="44"/>
    </row>
    <row r="26" spans="1:357">
      <c r="A26" s="751"/>
      <c r="B26" s="751"/>
      <c r="F26" s="62"/>
      <c r="G26" s="751"/>
      <c r="H26" s="751"/>
      <c r="M26" s="755" t="s">
        <v>399</v>
      </c>
      <c r="N26" s="751"/>
      <c r="Q26" s="66" t="s">
        <v>1787</v>
      </c>
      <c r="R26" s="14">
        <v>0</v>
      </c>
      <c r="S26" s="755" t="s">
        <v>399</v>
      </c>
      <c r="T26" s="751"/>
      <c r="W26" s="67" t="s">
        <v>1960</v>
      </c>
      <c r="X26" s="14">
        <v>60.75</v>
      </c>
      <c r="Y26" s="751"/>
      <c r="Z26" s="751"/>
      <c r="AC26" s="21" t="s">
        <v>2294</v>
      </c>
      <c r="AD26" s="21"/>
      <c r="AE26" s="755" t="s">
        <v>399</v>
      </c>
      <c r="AF26" s="751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52" t="s">
        <v>2171</v>
      </c>
      <c r="EY26" s="752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43" t="s">
        <v>2142</v>
      </c>
      <c r="HQ26" s="743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6"/>
      <c r="LU26" s="596"/>
      <c r="LV26" s="147" t="s">
        <v>3336</v>
      </c>
      <c r="LW26" s="42">
        <v>80</v>
      </c>
      <c r="LX26" s="65" t="s">
        <v>2099</v>
      </c>
      <c r="LY26" s="44">
        <v>1000</v>
      </c>
      <c r="LZ26" s="617"/>
      <c r="MA26" s="617"/>
      <c r="MB26" s="630" t="s">
        <v>3442</v>
      </c>
      <c r="MC26" s="42">
        <v>45.4</v>
      </c>
      <c r="MD26" s="612" t="s">
        <v>2099</v>
      </c>
      <c r="ME26" s="44">
        <v>1000</v>
      </c>
      <c r="MF26" s="670"/>
      <c r="MG26" s="649"/>
      <c r="MH26" s="630" t="s">
        <v>3463</v>
      </c>
      <c r="MI26" s="42">
        <v>38.97</v>
      </c>
      <c r="MJ26" s="666" t="s">
        <v>1650</v>
      </c>
      <c r="MK26" s="234">
        <v>1255</v>
      </c>
      <c r="ML26" s="670"/>
      <c r="MM26" s="649"/>
      <c r="MN26" s="630" t="s">
        <v>1920</v>
      </c>
      <c r="MO26" s="42"/>
      <c r="MP26" s="686" t="s">
        <v>1650</v>
      </c>
      <c r="MQ26" s="234">
        <v>3710</v>
      </c>
      <c r="MR26" s="46">
        <v>45444</v>
      </c>
      <c r="MS26" s="234"/>
    </row>
    <row r="27" spans="1:357" ht="12.75" customHeight="1">
      <c r="A27" s="751"/>
      <c r="B27" s="751"/>
      <c r="E27" s="570" t="s">
        <v>445</v>
      </c>
      <c r="F27" s="62"/>
      <c r="G27" s="751"/>
      <c r="H27" s="751"/>
      <c r="K27" s="67" t="s">
        <v>2337</v>
      </c>
      <c r="L27" s="14">
        <f>60</f>
        <v>60</v>
      </c>
      <c r="M27" s="755" t="s">
        <v>2338</v>
      </c>
      <c r="N27" s="751"/>
      <c r="Q27" s="66" t="s">
        <v>2339</v>
      </c>
      <c r="R27" s="61">
        <v>200</v>
      </c>
      <c r="S27" s="755" t="s">
        <v>2338</v>
      </c>
      <c r="T27" s="751"/>
      <c r="W27" s="67" t="s">
        <v>2023</v>
      </c>
      <c r="X27" s="14">
        <v>61.35</v>
      </c>
      <c r="Y27" s="755" t="s">
        <v>399</v>
      </c>
      <c r="Z27" s="751"/>
      <c r="AC27" s="21" t="s">
        <v>2340</v>
      </c>
      <c r="AD27" s="21">
        <f>53+207+63</f>
        <v>323</v>
      </c>
      <c r="AE27" s="755" t="s">
        <v>2338</v>
      </c>
      <c r="AF27" s="751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52" t="s">
        <v>2360</v>
      </c>
      <c r="FE27" s="752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6"/>
      <c r="LU27" s="596"/>
      <c r="LV27" s="588" t="s">
        <v>3363</v>
      </c>
      <c r="LW27" s="42">
        <f>45.2+27.6+39.4</f>
        <v>112.20000000000002</v>
      </c>
      <c r="LX27" s="69" t="s">
        <v>2236</v>
      </c>
      <c r="LY27" s="42"/>
      <c r="LZ27" s="617"/>
      <c r="MA27" s="617"/>
      <c r="MB27" s="626" t="s">
        <v>3410</v>
      </c>
      <c r="MC27" s="57">
        <v>633.6</v>
      </c>
      <c r="MD27" s="209">
        <v>2292</v>
      </c>
      <c r="ME27" s="44" t="s">
        <v>3414</v>
      </c>
      <c r="MF27" s="670"/>
      <c r="MG27" s="649"/>
      <c r="MH27" s="630" t="s">
        <v>3462</v>
      </c>
      <c r="MI27" s="42">
        <f>44+33.8</f>
        <v>77.8</v>
      </c>
      <c r="MJ27" s="666" t="s">
        <v>2157</v>
      </c>
      <c r="MK27" s="44">
        <v>10</v>
      </c>
      <c r="ML27" s="670"/>
      <c r="MM27" s="649"/>
      <c r="MN27" s="630" t="s">
        <v>1920</v>
      </c>
      <c r="MO27" s="42"/>
      <c r="MP27" s="686" t="s">
        <v>2157</v>
      </c>
      <c r="MQ27" s="44">
        <v>10</v>
      </c>
      <c r="MR27" s="46">
        <v>45437</v>
      </c>
    </row>
    <row r="28" spans="1:357">
      <c r="A28" s="755" t="s">
        <v>399</v>
      </c>
      <c r="B28" s="751"/>
      <c r="E28" s="570" t="s">
        <v>454</v>
      </c>
      <c r="F28" s="62"/>
      <c r="G28" s="755" t="s">
        <v>399</v>
      </c>
      <c r="H28" s="751"/>
      <c r="K28" s="67" t="s">
        <v>2023</v>
      </c>
      <c r="L28" s="14">
        <v>0</v>
      </c>
      <c r="M28" s="756" t="s">
        <v>224</v>
      </c>
      <c r="N28" s="756"/>
      <c r="Q28" s="66" t="s">
        <v>2201</v>
      </c>
      <c r="R28" s="14">
        <v>0</v>
      </c>
      <c r="S28" s="756" t="s">
        <v>224</v>
      </c>
      <c r="T28" s="756"/>
      <c r="W28" s="67" t="s">
        <v>2070</v>
      </c>
      <c r="X28" s="14">
        <v>64</v>
      </c>
      <c r="Y28" s="755" t="s">
        <v>2338</v>
      </c>
      <c r="Z28" s="751"/>
      <c r="AC28" s="21" t="s">
        <v>2395</v>
      </c>
      <c r="AD28" s="21">
        <f>63+46</f>
        <v>109</v>
      </c>
      <c r="AE28" s="756" t="s">
        <v>224</v>
      </c>
      <c r="AF28" s="756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52" t="s">
        <v>2171</v>
      </c>
      <c r="EM28" s="752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43" t="s">
        <v>2142</v>
      </c>
      <c r="JA28" s="743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0" t="s">
        <v>1658</v>
      </c>
      <c r="LO28" s="620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147" t="s">
        <v>3364</v>
      </c>
      <c r="LW28" s="42">
        <f>44.84+35.2</f>
        <v>80.040000000000006</v>
      </c>
      <c r="LX28" s="603"/>
      <c r="LY28" s="44"/>
      <c r="LZ28" s="617"/>
      <c r="MA28" s="617"/>
      <c r="MB28" s="626" t="s">
        <v>3399</v>
      </c>
      <c r="MC28" s="57">
        <v>10</v>
      </c>
      <c r="MD28" s="209">
        <v>0</v>
      </c>
      <c r="ME28" s="44" t="s">
        <v>3412</v>
      </c>
      <c r="MF28" s="670"/>
      <c r="MG28" s="649"/>
      <c r="MH28" s="630" t="s">
        <v>3455</v>
      </c>
      <c r="MI28" s="42">
        <v>8.9</v>
      </c>
      <c r="MJ28" s="690" t="s">
        <v>3504</v>
      </c>
      <c r="MK28" s="44">
        <v>120</v>
      </c>
      <c r="ML28" s="617"/>
      <c r="MM28" s="617"/>
      <c r="MN28" s="630" t="s">
        <v>1920</v>
      </c>
      <c r="MO28" s="42"/>
      <c r="MP28" s="685" t="s">
        <v>2198</v>
      </c>
      <c r="MQ28" s="44">
        <v>120</v>
      </c>
      <c r="MR28" s="46">
        <v>45436</v>
      </c>
    </row>
    <row r="29" spans="1:357">
      <c r="A29" s="755" t="s">
        <v>2338</v>
      </c>
      <c r="B29" s="751"/>
      <c r="E29" s="570" t="s">
        <v>458</v>
      </c>
      <c r="F29" s="62"/>
      <c r="G29" s="755" t="s">
        <v>2338</v>
      </c>
      <c r="H29" s="751"/>
      <c r="K29" s="67" t="s">
        <v>2070</v>
      </c>
      <c r="L29" s="14">
        <v>64</v>
      </c>
      <c r="M29" s="751" t="s">
        <v>327</v>
      </c>
      <c r="N29" s="751"/>
      <c r="S29" s="751" t="s">
        <v>327</v>
      </c>
      <c r="T29" s="751"/>
      <c r="W29" s="67" t="s">
        <v>2117</v>
      </c>
      <c r="X29" s="14">
        <v>100.01</v>
      </c>
      <c r="Y29" s="756" t="s">
        <v>224</v>
      </c>
      <c r="Z29" s="756"/>
      <c r="AC29" s="14" t="s">
        <v>2444</v>
      </c>
      <c r="AD29" s="14">
        <v>65</v>
      </c>
      <c r="AE29" s="751" t="s">
        <v>327</v>
      </c>
      <c r="AF29" s="751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52" t="s">
        <v>2360</v>
      </c>
      <c r="FK29" s="752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3332</v>
      </c>
      <c r="LW29" s="622">
        <v>138.6</v>
      </c>
      <c r="LX29" s="606"/>
      <c r="LY29" s="44"/>
      <c r="LZ29" s="617"/>
      <c r="MA29" s="617"/>
      <c r="MB29" s="626" t="s">
        <v>1542</v>
      </c>
      <c r="MC29" s="57">
        <f>749.38+250.7</f>
        <v>1000.0799999999999</v>
      </c>
      <c r="MD29" s="611" t="s">
        <v>2236</v>
      </c>
      <c r="ME29" s="42"/>
      <c r="MF29" s="670"/>
      <c r="MG29" s="649"/>
      <c r="MH29" s="630" t="s">
        <v>3456</v>
      </c>
      <c r="MI29" s="42">
        <v>21.2</v>
      </c>
      <c r="MJ29" s="664" t="s">
        <v>2099</v>
      </c>
      <c r="MK29" s="44">
        <v>1000</v>
      </c>
      <c r="ML29" s="680" t="s">
        <v>2239</v>
      </c>
      <c r="MM29" s="307"/>
      <c r="MN29" s="630" t="s">
        <v>1920</v>
      </c>
      <c r="MO29" s="42"/>
      <c r="MP29" s="688" t="s">
        <v>2099</v>
      </c>
      <c r="MQ29" s="44">
        <v>1000</v>
      </c>
    </row>
    <row r="30" spans="1:357">
      <c r="A30" s="756" t="s">
        <v>224</v>
      </c>
      <c r="B30" s="756"/>
      <c r="E30" s="570" t="s">
        <v>2489</v>
      </c>
      <c r="F30" s="53"/>
      <c r="G30" s="756" t="s">
        <v>224</v>
      </c>
      <c r="H30" s="756"/>
      <c r="K30" s="67" t="s">
        <v>2117</v>
      </c>
      <c r="L30" s="14">
        <v>50.01</v>
      </c>
      <c r="M30" s="758" t="s">
        <v>2490</v>
      </c>
      <c r="N30" s="758"/>
      <c r="Q30" s="67" t="s">
        <v>1897</v>
      </c>
      <c r="R30" s="14">
        <v>26</v>
      </c>
      <c r="S30" s="758" t="s">
        <v>2490</v>
      </c>
      <c r="T30" s="758"/>
      <c r="Y30" s="751" t="s">
        <v>327</v>
      </c>
      <c r="Z30" s="751"/>
      <c r="AC30" s="14" t="s">
        <v>2491</v>
      </c>
      <c r="AD30" s="14">
        <v>10</v>
      </c>
      <c r="AE30" s="758" t="s">
        <v>2490</v>
      </c>
      <c r="AF30" s="758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2717</v>
      </c>
      <c r="LW30" s="42">
        <v>46.4</v>
      </c>
      <c r="LX30" s="593"/>
      <c r="LY30" s="44"/>
      <c r="LZ30" s="610"/>
      <c r="MB30" s="626" t="s">
        <v>3428</v>
      </c>
      <c r="MC30" s="57">
        <v>10.9</v>
      </c>
      <c r="MD30" s="612" t="s">
        <v>2291</v>
      </c>
      <c r="ME30" s="44"/>
      <c r="MF30" s="670"/>
      <c r="MG30" s="649"/>
      <c r="MH30" s="630" t="s">
        <v>3458</v>
      </c>
      <c r="MI30" s="42">
        <v>12.9</v>
      </c>
      <c r="MJ30" s="209">
        <v>2382</v>
      </c>
      <c r="MK30" s="44" t="s">
        <v>3414</v>
      </c>
      <c r="ML30" s="655" t="s">
        <v>1282</v>
      </c>
      <c r="MM30" s="57">
        <f>SUM(MO6:MO9)</f>
        <v>0</v>
      </c>
      <c r="MN30" s="630" t="s">
        <v>1920</v>
      </c>
      <c r="MO30" s="42"/>
      <c r="MP30" s="209">
        <v>2382</v>
      </c>
      <c r="MQ30" s="44" t="s">
        <v>3414</v>
      </c>
      <c r="MR30" s="24">
        <v>45442</v>
      </c>
    </row>
    <row r="31" spans="1:357" ht="12.75" customHeight="1">
      <c r="A31" s="751" t="s">
        <v>327</v>
      </c>
      <c r="B31" s="751"/>
      <c r="E31" s="53"/>
      <c r="F31" s="53"/>
      <c r="G31" s="751" t="s">
        <v>327</v>
      </c>
      <c r="H31" s="751"/>
      <c r="M31" s="750" t="s">
        <v>390</v>
      </c>
      <c r="N31" s="750"/>
      <c r="Q31" s="67" t="s">
        <v>1960</v>
      </c>
      <c r="R31" s="14">
        <v>55</v>
      </c>
      <c r="S31" s="750" t="s">
        <v>390</v>
      </c>
      <c r="T31" s="750"/>
      <c r="W31" s="68" t="s">
        <v>2537</v>
      </c>
      <c r="X31" s="68">
        <v>0</v>
      </c>
      <c r="Y31" s="758" t="s">
        <v>2490</v>
      </c>
      <c r="Z31" s="758"/>
      <c r="AE31" s="750" t="s">
        <v>390</v>
      </c>
      <c r="AF31" s="750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57" t="s">
        <v>2546</v>
      </c>
      <c r="DP31" s="757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3347</v>
      </c>
      <c r="LW31" s="42">
        <v>53.72</v>
      </c>
      <c r="LX31" s="65" t="s">
        <v>2291</v>
      </c>
      <c r="LY31" s="44"/>
      <c r="MB31" s="626" t="s">
        <v>3443</v>
      </c>
      <c r="MC31" s="57">
        <v>14.9</v>
      </c>
      <c r="MD31" s="611" t="s">
        <v>2148</v>
      </c>
      <c r="MF31" s="670"/>
      <c r="MG31" s="649"/>
      <c r="MH31" s="630" t="s">
        <v>3470</v>
      </c>
      <c r="MI31" s="42">
        <v>50.74</v>
      </c>
      <c r="MJ31" s="209">
        <v>0</v>
      </c>
      <c r="MK31" s="44" t="s">
        <v>3412</v>
      </c>
      <c r="ML31" s="656" t="s">
        <v>2394</v>
      </c>
      <c r="MM31" s="57">
        <f>SUM(MO10:MO10)</f>
        <v>0</v>
      </c>
      <c r="MN31" s="630" t="s">
        <v>1920</v>
      </c>
      <c r="MO31" s="42"/>
      <c r="MP31" s="209">
        <v>0</v>
      </c>
      <c r="MQ31" s="44" t="s">
        <v>3412</v>
      </c>
    </row>
    <row r="32" spans="1:357">
      <c r="A32" s="758" t="s">
        <v>2490</v>
      </c>
      <c r="B32" s="758"/>
      <c r="C32" s="64"/>
      <c r="D32" s="64"/>
      <c r="E32" s="64"/>
      <c r="F32" s="64"/>
      <c r="G32" s="758" t="s">
        <v>2490</v>
      </c>
      <c r="H32" s="758"/>
      <c r="K32" s="68" t="s">
        <v>2580</v>
      </c>
      <c r="L32" s="68"/>
      <c r="M32" s="759" t="s">
        <v>2571</v>
      </c>
      <c r="N32" s="759"/>
      <c r="Q32" s="67" t="s">
        <v>2023</v>
      </c>
      <c r="R32" s="14">
        <v>77.239999999999995</v>
      </c>
      <c r="S32" s="759" t="s">
        <v>2571</v>
      </c>
      <c r="T32" s="759"/>
      <c r="Y32" s="750" t="s">
        <v>390</v>
      </c>
      <c r="Z32" s="750"/>
      <c r="AC32" s="577" t="s">
        <v>1458</v>
      </c>
      <c r="AD32" s="14">
        <v>350</v>
      </c>
      <c r="AE32" s="759" t="s">
        <v>2571</v>
      </c>
      <c r="AF32" s="759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60" t="s">
        <v>2476</v>
      </c>
      <c r="DB32" s="761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43" t="s">
        <v>2142</v>
      </c>
      <c r="IO32" s="743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SUM(LW6:LW10)</f>
        <v>42940.08</v>
      </c>
      <c r="LV32" s="147" t="s">
        <v>3345</v>
      </c>
      <c r="LW32" s="57">
        <v>70</v>
      </c>
      <c r="LZ32" s="616" t="s">
        <v>2239</v>
      </c>
      <c r="MA32" s="307"/>
      <c r="MB32" s="628" t="s">
        <v>3370</v>
      </c>
      <c r="MC32" s="57">
        <v>79.3</v>
      </c>
      <c r="MD32" s="650" t="s">
        <v>3431</v>
      </c>
      <c r="ME32" s="42">
        <v>182</v>
      </c>
      <c r="MF32" s="670"/>
      <c r="MG32" s="649"/>
      <c r="MH32" s="630" t="s">
        <v>3466</v>
      </c>
      <c r="MI32" s="42">
        <f>17.1+17.1</f>
        <v>34.200000000000003</v>
      </c>
      <c r="MJ32" s="663" t="s">
        <v>2236</v>
      </c>
      <c r="MK32" s="42"/>
      <c r="ML32" s="43" t="s">
        <v>2442</v>
      </c>
      <c r="MM32" s="42">
        <f>SUM(MO11:MO11)</f>
        <v>0</v>
      </c>
      <c r="MN32" s="630" t="s">
        <v>1920</v>
      </c>
      <c r="MO32" s="42"/>
      <c r="MP32" s="687" t="s">
        <v>2236</v>
      </c>
      <c r="MQ32" s="42"/>
    </row>
    <row r="33" spans="1:355">
      <c r="A33" s="750" t="s">
        <v>390</v>
      </c>
      <c r="B33" s="750"/>
      <c r="E33" s="578" t="s">
        <v>482</v>
      </c>
      <c r="F33" s="53"/>
      <c r="G33" s="750" t="s">
        <v>390</v>
      </c>
      <c r="H33" s="750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59" t="s">
        <v>2571</v>
      </c>
      <c r="Z33" s="759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8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SUM(LW11:LW11)</f>
        <v>50065.8</v>
      </c>
      <c r="LV33" s="43" t="s">
        <v>3351</v>
      </c>
      <c r="LW33" s="101">
        <v>16</v>
      </c>
      <c r="LX33" s="69" t="s">
        <v>2148</v>
      </c>
      <c r="LY33" s="42"/>
      <c r="LZ33" s="655" t="s">
        <v>1282</v>
      </c>
      <c r="MA33" s="57">
        <f>SUM(MC6:MC6)</f>
        <v>0</v>
      </c>
      <c r="MB33" s="628" t="s">
        <v>3441</v>
      </c>
      <c r="MC33" s="57">
        <v>69.2</v>
      </c>
      <c r="MF33" s="670"/>
      <c r="MG33" s="649"/>
      <c r="MH33" s="630" t="s">
        <v>3467</v>
      </c>
      <c r="MI33" s="42">
        <v>25.8</v>
      </c>
      <c r="ML33" s="588" t="s">
        <v>2579</v>
      </c>
      <c r="MM33" s="42">
        <f>SUM(MO12:MO20)</f>
        <v>47.79</v>
      </c>
      <c r="MN33" s="626" t="s">
        <v>3450</v>
      </c>
      <c r="MO33" s="57">
        <f>1294.38+250.7</f>
        <v>1545.0800000000002</v>
      </c>
      <c r="MP33" s="684" t="s">
        <v>3505</v>
      </c>
      <c r="MQ33" s="684">
        <v>6000</v>
      </c>
    </row>
    <row r="34" spans="1:355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5" t="s">
        <v>2442</v>
      </c>
      <c r="LU34" s="42">
        <f>SUM(LW12:LW12)</f>
        <v>330.77</v>
      </c>
      <c r="LV34" s="43" t="s">
        <v>2479</v>
      </c>
      <c r="LW34" s="45">
        <f>143+128+130+21+118</f>
        <v>540</v>
      </c>
      <c r="LX34" s="600"/>
      <c r="LY34" s="44"/>
      <c r="LZ34" s="656" t="s">
        <v>2394</v>
      </c>
      <c r="MA34" s="57">
        <f>SUM(MC7:MC7)</f>
        <v>2000</v>
      </c>
      <c r="MB34" s="628" t="s">
        <v>3426</v>
      </c>
      <c r="MC34" s="57">
        <v>34.799999999999997</v>
      </c>
      <c r="MD34" s="611" t="s">
        <v>2674</v>
      </c>
      <c r="MF34" s="617"/>
      <c r="MG34" s="617"/>
      <c r="MH34" s="630" t="s">
        <v>3468</v>
      </c>
      <c r="MI34" s="42">
        <v>99.76</v>
      </c>
      <c r="MJ34" s="673"/>
      <c r="MK34" s="44"/>
      <c r="ML34" s="627" t="s">
        <v>2488</v>
      </c>
      <c r="MM34" s="42">
        <f>SUM(MO33:MO34)</f>
        <v>1545.0800000000002</v>
      </c>
      <c r="MN34" s="626" t="s">
        <v>3399</v>
      </c>
      <c r="MO34" s="57"/>
      <c r="MP34" s="688" t="s">
        <v>1839</v>
      </c>
      <c r="MQ34" s="44">
        <v>30</v>
      </c>
    </row>
    <row r="35" spans="1:355" ht="14.25" customHeight="1">
      <c r="A35" s="764"/>
      <c r="B35" s="764"/>
      <c r="E35" s="573" t="s">
        <v>520</v>
      </c>
      <c r="F35" s="53">
        <v>250</v>
      </c>
      <c r="G35" s="764"/>
      <c r="H35" s="764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4" t="s">
        <v>2488</v>
      </c>
      <c r="LU35" s="42">
        <f>SUM(LW13:LW15)</f>
        <v>1500.08</v>
      </c>
      <c r="LV35" s="196">
        <v>31.86</v>
      </c>
      <c r="LW35" s="45"/>
      <c r="LZ35" s="588" t="s">
        <v>2579</v>
      </c>
      <c r="MA35" s="42">
        <f>SUM(MC8:MC14)</f>
        <v>724.87</v>
      </c>
      <c r="MB35" s="43" t="s">
        <v>3351</v>
      </c>
      <c r="MC35" s="101">
        <f>17</f>
        <v>17</v>
      </c>
      <c r="MD35" s="611" t="s">
        <v>3352</v>
      </c>
      <c r="MF35" s="617"/>
      <c r="MG35" s="617"/>
      <c r="MH35" s="630" t="s">
        <v>3477</v>
      </c>
      <c r="MI35" s="42">
        <v>38</v>
      </c>
      <c r="MJ35" s="664"/>
      <c r="MK35" s="44"/>
      <c r="ML35" s="628" t="s">
        <v>2535</v>
      </c>
      <c r="MM35" s="250">
        <f>SUM(MO35:MO36)</f>
        <v>0</v>
      </c>
      <c r="MN35" s="628" t="s">
        <v>3499</v>
      </c>
      <c r="MO35" s="57"/>
      <c r="MP35" s="688" t="s">
        <v>3507</v>
      </c>
      <c r="MQ35" s="44">
        <v>30</v>
      </c>
    </row>
    <row r="36" spans="1:355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65" t="s">
        <v>2171</v>
      </c>
      <c r="DT36" s="766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72" t="s">
        <v>2476</v>
      </c>
      <c r="LW36" s="197">
        <f>LS24+LU41-LY25</f>
        <v>230</v>
      </c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5" t="s">
        <v>399</v>
      </c>
      <c r="MF36" s="617"/>
      <c r="MG36" s="617"/>
      <c r="MH36" s="630" t="s">
        <v>3479</v>
      </c>
      <c r="MI36" s="42">
        <v>45.5</v>
      </c>
      <c r="MJ36" s="664" t="s">
        <v>2291</v>
      </c>
      <c r="MK36" s="44"/>
      <c r="ML36" s="630" t="s">
        <v>2429</v>
      </c>
      <c r="MM36" s="42">
        <f>SUM(MO21:MO32)</f>
        <v>0</v>
      </c>
      <c r="MN36" s="628" t="s">
        <v>3499</v>
      </c>
      <c r="MO36" s="57"/>
      <c r="MP36" s="688" t="s">
        <v>2291</v>
      </c>
      <c r="MQ36" s="44"/>
    </row>
    <row r="37" spans="1:355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SUM(LW16:LW22)</f>
        <v>717.48</v>
      </c>
      <c r="LV37" s="198">
        <v>10</v>
      </c>
      <c r="LW37" s="197" t="s">
        <v>2419</v>
      </c>
      <c r="LX37" s="69" t="s">
        <v>2674</v>
      </c>
      <c r="LZ37" s="627" t="s">
        <v>2488</v>
      </c>
      <c r="MA37" s="42">
        <f>SUM(MC27:MC31)</f>
        <v>1669.48</v>
      </c>
      <c r="MB37" s="671">
        <v>40.15</v>
      </c>
      <c r="MC37" s="45"/>
      <c r="MD37" s="615" t="s">
        <v>3388</v>
      </c>
      <c r="MF37" s="617"/>
      <c r="MG37" s="617"/>
      <c r="MH37" s="630" t="s">
        <v>3457</v>
      </c>
      <c r="MI37" s="42">
        <v>6.9</v>
      </c>
      <c r="MJ37" s="663" t="s">
        <v>2148</v>
      </c>
      <c r="ML37" s="630" t="s">
        <v>2573</v>
      </c>
      <c r="MM37" s="309">
        <f>SUM(MO27:MO32)</f>
        <v>0</v>
      </c>
      <c r="MN37" s="43" t="s">
        <v>3351</v>
      </c>
      <c r="MO37" s="101"/>
      <c r="MP37" s="687" t="s">
        <v>2148</v>
      </c>
    </row>
    <row r="38" spans="1:355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7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SUM(LW23:LW32)</f>
        <v>1291.0300000000002</v>
      </c>
      <c r="LV38" s="198">
        <v>60</v>
      </c>
      <c r="LW38" s="277" t="s">
        <v>3009</v>
      </c>
      <c r="LX38" s="69" t="s">
        <v>3352</v>
      </c>
      <c r="LZ38" s="628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5" t="s">
        <v>3389</v>
      </c>
      <c r="MF38" s="617"/>
      <c r="MG38" s="617"/>
      <c r="MH38" s="630" t="s">
        <v>3459</v>
      </c>
      <c r="MI38" s="42">
        <v>4.9000000000000004</v>
      </c>
      <c r="MJ38" s="664"/>
      <c r="MK38" s="42"/>
      <c r="MN38" s="43" t="s">
        <v>2479</v>
      </c>
      <c r="MO38" s="45"/>
      <c r="MP38" s="688"/>
      <c r="MQ38" s="42"/>
    </row>
    <row r="39" spans="1:355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57" t="s">
        <v>2546</v>
      </c>
      <c r="DJ39" s="757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SUM(LW27:LW32)</f>
        <v>500.96000000000004</v>
      </c>
      <c r="LV39" s="198">
        <v>10</v>
      </c>
      <c r="LW39" s="277" t="s">
        <v>3357</v>
      </c>
      <c r="LZ39" s="630" t="s">
        <v>2429</v>
      </c>
      <c r="MA39" s="42">
        <f>SUM(MC17:MC26)</f>
        <v>407.61999999999989</v>
      </c>
      <c r="MB39" s="198">
        <v>6</v>
      </c>
      <c r="MC39" s="197" t="s">
        <v>3366</v>
      </c>
      <c r="MF39" s="662"/>
      <c r="MH39" s="630" t="s">
        <v>3465</v>
      </c>
      <c r="MI39" s="42">
        <v>6.3</v>
      </c>
      <c r="ML39" s="152" t="s">
        <v>3476</v>
      </c>
      <c r="MM39" s="310"/>
      <c r="MN39" s="671">
        <v>34.83</v>
      </c>
      <c r="MO39" s="45"/>
    </row>
    <row r="40" spans="1:35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43" t="s">
        <v>2142</v>
      </c>
      <c r="II40" s="743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20</v>
      </c>
      <c r="LW40" s="277" t="s">
        <v>3334</v>
      </c>
      <c r="LZ40" s="630" t="s">
        <v>2573</v>
      </c>
      <c r="MA40" s="309">
        <f>SUM(MC19:MC26)</f>
        <v>361.61999999999995</v>
      </c>
      <c r="MB40" s="198">
        <v>60</v>
      </c>
      <c r="MC40" s="277" t="s">
        <v>2419</v>
      </c>
      <c r="MH40" s="630" t="s">
        <v>3480</v>
      </c>
      <c r="MI40" s="42">
        <v>6.95</v>
      </c>
      <c r="MJ40" s="663" t="s">
        <v>2674</v>
      </c>
      <c r="MN40" s="172" t="s">
        <v>2476</v>
      </c>
      <c r="MO40" s="22">
        <f>MK28+MM39-MQ28</f>
        <v>0</v>
      </c>
      <c r="MP40" s="687" t="s">
        <v>2674</v>
      </c>
    </row>
    <row r="41" spans="1:355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56" t="s">
        <v>2927</v>
      </c>
      <c r="KO41" s="756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3349</v>
      </c>
      <c r="LU41" s="310">
        <v>290</v>
      </c>
      <c r="LV41" s="198">
        <v>7</v>
      </c>
      <c r="LW41" s="277" t="s">
        <v>3335</v>
      </c>
      <c r="MB41" s="198">
        <v>5</v>
      </c>
      <c r="MC41" s="277" t="s">
        <v>3367</v>
      </c>
      <c r="MF41" s="661" t="s">
        <v>2239</v>
      </c>
      <c r="MG41" s="307"/>
      <c r="MH41" s="626" t="s">
        <v>3450</v>
      </c>
      <c r="MI41" s="57">
        <f>749.38+250.7</f>
        <v>1000.0799999999999</v>
      </c>
      <c r="MJ41" s="663" t="s">
        <v>3449</v>
      </c>
      <c r="MM41" s="56"/>
      <c r="MN41" s="198"/>
      <c r="MO41" s="22"/>
      <c r="MP41" s="687" t="s">
        <v>3449</v>
      </c>
    </row>
    <row r="42" spans="1:35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20</v>
      </c>
      <c r="LW42" s="277" t="s">
        <v>3341</v>
      </c>
      <c r="LZ42" s="152" t="s">
        <v>3424</v>
      </c>
      <c r="MA42" s="310">
        <v>200</v>
      </c>
      <c r="MB42" s="198">
        <v>20</v>
      </c>
      <c r="MC42" s="277" t="s">
        <v>3369</v>
      </c>
      <c r="MF42" s="655" t="s">
        <v>1282</v>
      </c>
      <c r="MG42" s="57">
        <f>SUM(MI6:MI10)</f>
        <v>7300.16</v>
      </c>
      <c r="MH42" s="626" t="s">
        <v>3478</v>
      </c>
      <c r="MI42" s="57">
        <v>14.9</v>
      </c>
      <c r="MJ42" s="660" t="s">
        <v>399</v>
      </c>
      <c r="MM42" s="56"/>
      <c r="MN42" s="198"/>
      <c r="MO42" s="277"/>
      <c r="MP42" s="684" t="s">
        <v>399</v>
      </c>
    </row>
    <row r="43" spans="1:355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7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50</v>
      </c>
      <c r="LW43" s="277" t="s">
        <v>3342</v>
      </c>
      <c r="LX43" s="49"/>
      <c r="MB43" s="198">
        <v>10</v>
      </c>
      <c r="MC43" s="277" t="s">
        <v>3409</v>
      </c>
      <c r="MF43" s="656" t="s">
        <v>2394</v>
      </c>
      <c r="MG43" s="57">
        <v>0</v>
      </c>
      <c r="MH43" s="628" t="s">
        <v>3464</v>
      </c>
      <c r="MI43" s="57">
        <v>118.59</v>
      </c>
      <c r="MJ43" s="660" t="s">
        <v>3388</v>
      </c>
      <c r="MN43" s="198"/>
      <c r="MO43" s="277"/>
      <c r="MP43" s="684" t="s">
        <v>3388</v>
      </c>
    </row>
    <row r="44" spans="1:355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20</v>
      </c>
      <c r="LW44" s="277" t="s">
        <v>3358</v>
      </c>
      <c r="MA44" s="56"/>
      <c r="MB44" s="198">
        <v>10</v>
      </c>
      <c r="MC44" s="277" t="s">
        <v>3258</v>
      </c>
      <c r="MF44" s="43" t="s">
        <v>2442</v>
      </c>
      <c r="MG44" s="42">
        <f>SUM(MI11:MI11)</f>
        <v>1526</v>
      </c>
      <c r="MH44" s="628" t="s">
        <v>3464</v>
      </c>
      <c r="MI44" s="57">
        <v>34.200000000000003</v>
      </c>
      <c r="MJ44" s="660" t="s">
        <v>3389</v>
      </c>
      <c r="MN44" s="198"/>
      <c r="MO44" s="277"/>
      <c r="MP44" s="684" t="s">
        <v>3389</v>
      </c>
    </row>
    <row r="45" spans="1:355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10</v>
      </c>
      <c r="LW45" s="277" t="s">
        <v>3346</v>
      </c>
      <c r="MA45" s="56"/>
      <c r="MB45" s="198">
        <v>10</v>
      </c>
      <c r="MC45" s="277" t="s">
        <v>3417</v>
      </c>
      <c r="MF45" s="588" t="s">
        <v>2579</v>
      </c>
      <c r="MG45" s="42">
        <f>SUM(MI12:MI18)</f>
        <v>899.24</v>
      </c>
      <c r="MH45" s="628" t="s">
        <v>3441</v>
      </c>
      <c r="MI45" s="57">
        <v>117.18</v>
      </c>
      <c r="MN45" s="688"/>
      <c r="MO45" s="243"/>
    </row>
    <row r="46" spans="1:355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65" t="s">
        <v>3344</v>
      </c>
      <c r="LW46" s="243">
        <v>3</v>
      </c>
      <c r="MB46" s="198">
        <v>10</v>
      </c>
      <c r="MC46" s="657" t="s">
        <v>3439</v>
      </c>
      <c r="MF46" s="627" t="s">
        <v>2488</v>
      </c>
      <c r="MG46" s="42">
        <f>SUM(MI41:MI42)</f>
        <v>1014.9799999999999</v>
      </c>
      <c r="MH46" s="628" t="s">
        <v>3481</v>
      </c>
      <c r="MI46" s="57">
        <f>208+49</f>
        <v>257</v>
      </c>
      <c r="MN46" s="688"/>
      <c r="MP46" s="684" t="s">
        <v>2968</v>
      </c>
    </row>
    <row r="47" spans="1:355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/>
      <c r="MB47" s="198">
        <v>10</v>
      </c>
      <c r="MC47" s="277" t="s">
        <v>3422</v>
      </c>
      <c r="MF47" s="628" t="s">
        <v>2535</v>
      </c>
      <c r="MG47" s="250">
        <f>SUM(MI43:MI46)</f>
        <v>526.97</v>
      </c>
      <c r="MH47" s="43" t="s">
        <v>3351</v>
      </c>
      <c r="MI47" s="101">
        <f>4+4+6</f>
        <v>14</v>
      </c>
      <c r="MN47" s="688"/>
      <c r="MO47" s="683"/>
      <c r="MP47" s="684" t="s">
        <v>2989</v>
      </c>
    </row>
    <row r="48" spans="1:355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MB48" s="612" t="s">
        <v>3401</v>
      </c>
      <c r="MC48" s="243">
        <v>10.9</v>
      </c>
      <c r="MF48" s="630" t="s">
        <v>2429</v>
      </c>
      <c r="MG48" s="42">
        <f>SUM(MI19:MI40)</f>
        <v>3772.0500000000006</v>
      </c>
      <c r="MH48" s="43" t="s">
        <v>2479</v>
      </c>
      <c r="MI48" s="45">
        <f>307+231+53+83</f>
        <v>674</v>
      </c>
      <c r="MN48" s="688"/>
      <c r="MO48" s="243"/>
    </row>
    <row r="49" spans="41:355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62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LV49" s="65"/>
      <c r="LW49" s="61"/>
      <c r="MB49" s="612" t="s">
        <v>3268</v>
      </c>
      <c r="MC49" s="615">
        <v>14.4</v>
      </c>
      <c r="MF49" s="630" t="s">
        <v>2573</v>
      </c>
      <c r="MG49" s="309">
        <f>SUM(MI25:MI40)</f>
        <v>530.91999999999996</v>
      </c>
      <c r="MH49" s="671">
        <v>34.83</v>
      </c>
      <c r="MI49" s="45"/>
      <c r="MN49" s="688"/>
      <c r="MO49" s="57"/>
    </row>
    <row r="50" spans="41:355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62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57"/>
      <c r="MB50" s="652" t="s">
        <v>3438</v>
      </c>
      <c r="MC50" s="57">
        <v>4.4800000000000004</v>
      </c>
      <c r="MH50" s="172" t="s">
        <v>2476</v>
      </c>
      <c r="MI50" s="22">
        <f>ME25+MG51-MK28</f>
        <v>110</v>
      </c>
      <c r="MO50" s="240"/>
    </row>
    <row r="51" spans="41:355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62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243"/>
      <c r="MB51" s="615" t="s">
        <v>3453</v>
      </c>
      <c r="MC51" s="180">
        <v>523.20000000000005</v>
      </c>
      <c r="MF51" s="152" t="s">
        <v>3476</v>
      </c>
      <c r="MG51" s="310">
        <v>100</v>
      </c>
      <c r="MH51" s="198">
        <v>20</v>
      </c>
      <c r="MI51" s="22" t="s">
        <v>2419</v>
      </c>
      <c r="MO51" s="683"/>
    </row>
    <row r="52" spans="41:355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62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MB52" s="672" t="s">
        <v>3446</v>
      </c>
      <c r="MC52" s="57">
        <f>3.5+2.2</f>
        <v>5.7</v>
      </c>
      <c r="MH52" s="198">
        <v>10</v>
      </c>
      <c r="MI52" s="277" t="s">
        <v>3482</v>
      </c>
    </row>
    <row r="53" spans="41:355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LW53" s="240"/>
      <c r="MB53" s="612" t="s">
        <v>3425</v>
      </c>
      <c r="MC53" s="243">
        <v>15.5</v>
      </c>
      <c r="MG53" s="56"/>
      <c r="MH53" s="198">
        <v>20</v>
      </c>
      <c r="MI53" s="277" t="s">
        <v>3483</v>
      </c>
    </row>
    <row r="54" spans="41:355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61"/>
      <c r="MB54" s="612" t="s">
        <v>3418</v>
      </c>
      <c r="MC54" s="610">
        <v>42.9</v>
      </c>
      <c r="MG54" s="56"/>
      <c r="MH54" s="198">
        <v>50</v>
      </c>
      <c r="MI54" s="277" t="s">
        <v>3503</v>
      </c>
    </row>
    <row r="55" spans="41:355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MC55" s="240"/>
      <c r="MH55" s="664" t="s">
        <v>3447</v>
      </c>
      <c r="MI55" s="243">
        <v>7.8</v>
      </c>
    </row>
    <row r="56" spans="41:355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0"/>
      <c r="MH56" s="664" t="s">
        <v>3469</v>
      </c>
      <c r="MI56" s="660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4" t="s">
        <v>3452</v>
      </c>
      <c r="MI57" s="662">
        <v>87.04</v>
      </c>
    </row>
    <row r="58" spans="41:355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72" t="s">
        <v>3502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4" t="s">
        <v>3492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I60" s="240"/>
    </row>
    <row r="61" spans="41:355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I61" s="662"/>
    </row>
    <row r="62" spans="41:355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55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55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3272</v>
      </c>
      <c r="KA65" s="14">
        <v>9.8000000000000007</v>
      </c>
    </row>
    <row r="66" spans="205:311">
      <c r="IJ66" s="182"/>
      <c r="IK66" s="160"/>
      <c r="IP66" s="183"/>
      <c r="JZ66" s="14" t="s">
        <v>3273</v>
      </c>
      <c r="KA66" s="14">
        <v>9.77</v>
      </c>
    </row>
    <row r="67" spans="205:311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11">
      <c r="HO69" s="20"/>
      <c r="IG69" s="20"/>
      <c r="IJ69" s="183"/>
      <c r="JZ69" s="253" t="s">
        <v>3276</v>
      </c>
      <c r="KA69" s="14">
        <v>69</v>
      </c>
    </row>
    <row r="70" spans="205:311">
      <c r="IJ70" s="183"/>
      <c r="JZ70" s="253" t="s">
        <v>3277</v>
      </c>
      <c r="KA70" s="14">
        <v>8</v>
      </c>
    </row>
    <row r="71" spans="205:311">
      <c r="IJ71" s="183"/>
      <c r="JZ71" s="312" t="s">
        <v>3278</v>
      </c>
      <c r="KA71" s="61">
        <v>29.7</v>
      </c>
    </row>
    <row r="72" spans="205:311">
      <c r="IJ72" s="183"/>
      <c r="JZ72" s="253" t="s">
        <v>3279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89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631" customFormat="1">
      <c r="A2" s="594"/>
      <c r="B2" s="9" t="s">
        <v>1541</v>
      </c>
      <c r="C2" s="9" t="s">
        <v>1204</v>
      </c>
      <c r="D2" s="9" t="s">
        <v>3393</v>
      </c>
      <c r="E2" s="634" t="s">
        <v>3379</v>
      </c>
      <c r="F2" s="9" t="s">
        <v>3375</v>
      </c>
      <c r="G2" s="35" t="s">
        <v>3390</v>
      </c>
    </row>
    <row r="3" spans="1:7">
      <c r="A3" s="594"/>
      <c r="B3" s="9" t="s">
        <v>3372</v>
      </c>
      <c r="C3" s="633" t="s">
        <v>3372</v>
      </c>
      <c r="D3" s="9" t="s">
        <v>3373</v>
      </c>
      <c r="E3" s="9" t="s">
        <v>3371</v>
      </c>
      <c r="F3" s="633" t="s">
        <v>3378</v>
      </c>
    </row>
    <row r="4" spans="1:7">
      <c r="B4" s="633" t="s">
        <v>3372</v>
      </c>
      <c r="C4" s="633" t="s">
        <v>3372</v>
      </c>
      <c r="D4" s="633" t="s">
        <v>3383</v>
      </c>
      <c r="E4" s="635" t="s">
        <v>3380</v>
      </c>
      <c r="F4" s="638" t="s">
        <v>550</v>
      </c>
      <c r="G4" s="594" t="s">
        <v>3384</v>
      </c>
    </row>
    <row r="5" spans="1:7">
      <c r="B5" s="633" t="s">
        <v>3372</v>
      </c>
      <c r="C5" s="633" t="s">
        <v>3372</v>
      </c>
      <c r="D5" s="638" t="s">
        <v>3374</v>
      </c>
      <c r="E5" s="633" t="s">
        <v>3381</v>
      </c>
      <c r="F5" s="9" t="s">
        <v>3391</v>
      </c>
      <c r="G5" t="s">
        <v>3394</v>
      </c>
    </row>
    <row r="6" spans="1:7">
      <c r="B6" s="638" t="s">
        <v>3395</v>
      </c>
      <c r="C6" s="633" t="s">
        <v>3383</v>
      </c>
      <c r="D6" s="633" t="s">
        <v>3373</v>
      </c>
      <c r="E6" s="635" t="s">
        <v>3392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633" t="s">
        <v>3386</v>
      </c>
      <c r="E9" s="633" t="s">
        <v>3377</v>
      </c>
      <c r="F9" s="9">
        <v>3.9</v>
      </c>
    </row>
    <row r="10" spans="1:7">
      <c r="B10" s="633"/>
      <c r="C10" s="633"/>
      <c r="D10" s="633" t="s">
        <v>3396</v>
      </c>
      <c r="E10" s="9" t="s">
        <v>3376</v>
      </c>
      <c r="F10" s="633" t="s">
        <v>3382</v>
      </c>
    </row>
    <row r="11" spans="1:7">
      <c r="B11" s="9" t="s">
        <v>3397</v>
      </c>
      <c r="C11" s="633" t="s">
        <v>3397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632" t="s">
        <v>3385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2024-06-01T15:41:01Z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