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2550149-3EF8-4427-AD6D-D89D1075413C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27" i="32" l="1"/>
  <c r="LQ28" i="32"/>
  <c r="LO35" i="32"/>
  <c r="LO32" i="32"/>
  <c r="LQ39" i="32" l="1"/>
  <c r="LO33" i="32" l="1"/>
  <c r="LO8" i="32" l="1"/>
  <c r="LO7" i="32"/>
  <c r="LS2" i="32" l="1"/>
  <c r="LQ41" i="32" l="1"/>
  <c r="LQ45" i="32" l="1"/>
  <c r="LO21" i="32" l="1"/>
  <c r="LO20" i="32"/>
  <c r="LQ24" i="32"/>
  <c r="LQ33" i="32"/>
  <c r="LO38" i="32" s="1"/>
  <c r="LO2" i="32" l="1"/>
  <c r="LS3" i="32"/>
  <c r="LQ13" i="32"/>
  <c r="LO34" i="32" s="1"/>
  <c r="LQ25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<sst xmlns="http://schemas.openxmlformats.org/spreadsheetml/2006/main" count="8021" uniqueCount="3307">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</sst>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3040</v>
      </c>
      <c r="C36" s="431"/>
      <c r="D36" s="316">
        <f>'HIS19'!KQ21</f>
        <v>1895.66</v>
      </c>
      <c r="E36" s="431"/>
      <c r="F36" s="438" t="s">
        <v>3040</v>
      </c>
      <c r="G36" s="431"/>
      <c r="H36" s="316">
        <f>'HIS19'!KQ22</f>
        <v>2121.2199999999998</v>
      </c>
      <c r="I36" s="431"/>
      <c r="J36" s="438" t="s">
        <v>3040</v>
      </c>
      <c r="K36" s="431"/>
      <c r="L36" s="316">
        <f>'HIS19'!KQ23</f>
        <v>2597.87</v>
      </c>
      <c r="M36" s="431"/>
      <c r="N36" s="438" t="s">
        <v>3040</v>
      </c>
      <c r="O36" s="431"/>
      <c r="P36" s="316">
        <f>'HIS19'!KQ24</f>
        <v>2650.71</v>
      </c>
      <c r="R36" s="438" t="s">
        <v>3040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3059</v>
      </c>
      <c r="C37"/>
      <c r="D37" s="316">
        <f>D36-D35</f>
        <v>-5.2876712328497888E-2</v>
      </c>
      <c r="E37"/>
      <c r="F37" s="438" t="s">
        <v>3059</v>
      </c>
      <c r="G37" s="401"/>
      <c r="H37" s="316">
        <f>H36-H35</f>
        <v>0.17890410958898428</v>
      </c>
      <c r="I37" s="401"/>
      <c r="J37" s="438" t="s">
        <v>3059</v>
      </c>
      <c r="K37" s="401"/>
      <c r="L37" s="316">
        <f>L36-L35</f>
        <v>6.1780821918091533E-2</v>
      </c>
      <c r="M37" s="401"/>
      <c r="N37" s="438" t="s">
        <v>3059</v>
      </c>
      <c r="O37" s="401"/>
      <c r="P37" s="316">
        <f>P36-P35</f>
        <v>-1.8767123287489085E-2</v>
      </c>
      <c r="R37" s="438" t="s">
        <v>3059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3140</v>
      </c>
      <c r="I32" s="631" t="s">
        <v>3140</v>
      </c>
      <c r="J32" s="631" t="s">
        <v>3140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3160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3172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3173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3174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3174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3169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3171</v>
      </c>
    </row>
    <row r="23" spans="2:9">
      <c r="B23" s="226"/>
      <c r="C23" s="63" t="s">
        <v>3170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3286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3287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7" t="s">
        <v>124</v>
      </c>
      <c r="C1" s="727"/>
      <c r="D1" s="731" t="s">
        <v>292</v>
      </c>
      <c r="E1" s="731"/>
      <c r="F1" s="731" t="s">
        <v>341</v>
      </c>
      <c r="G1" s="731"/>
      <c r="H1" s="728" t="s">
        <v>127</v>
      </c>
      <c r="I1" s="728"/>
      <c r="J1" s="729" t="s">
        <v>292</v>
      </c>
      <c r="K1" s="729"/>
      <c r="L1" s="730" t="s">
        <v>520</v>
      </c>
      <c r="M1" s="730"/>
      <c r="N1" s="728" t="s">
        <v>146</v>
      </c>
      <c r="O1" s="728"/>
      <c r="P1" s="729" t="s">
        <v>293</v>
      </c>
      <c r="Q1" s="729"/>
      <c r="R1" s="730" t="s">
        <v>522</v>
      </c>
      <c r="S1" s="730"/>
      <c r="T1" s="716" t="s">
        <v>193</v>
      </c>
      <c r="U1" s="716"/>
      <c r="V1" s="729" t="s">
        <v>292</v>
      </c>
      <c r="W1" s="729"/>
      <c r="X1" s="718" t="s">
        <v>524</v>
      </c>
      <c r="Y1" s="718"/>
      <c r="Z1" s="716" t="s">
        <v>241</v>
      </c>
      <c r="AA1" s="716"/>
      <c r="AB1" s="717" t="s">
        <v>292</v>
      </c>
      <c r="AC1" s="717"/>
      <c r="AD1" s="726" t="s">
        <v>524</v>
      </c>
      <c r="AE1" s="726"/>
      <c r="AF1" s="716" t="s">
        <v>367</v>
      </c>
      <c r="AG1" s="716"/>
      <c r="AH1" s="717" t="s">
        <v>292</v>
      </c>
      <c r="AI1" s="717"/>
      <c r="AJ1" s="718" t="s">
        <v>530</v>
      </c>
      <c r="AK1" s="718"/>
      <c r="AL1" s="716" t="s">
        <v>389</v>
      </c>
      <c r="AM1" s="716"/>
      <c r="AN1" s="724" t="s">
        <v>292</v>
      </c>
      <c r="AO1" s="724"/>
      <c r="AP1" s="722" t="s">
        <v>531</v>
      </c>
      <c r="AQ1" s="722"/>
      <c r="AR1" s="716" t="s">
        <v>416</v>
      </c>
      <c r="AS1" s="716"/>
      <c r="AV1" s="722" t="s">
        <v>285</v>
      </c>
      <c r="AW1" s="722"/>
      <c r="AX1" s="725" t="s">
        <v>998</v>
      </c>
      <c r="AY1" s="725"/>
      <c r="AZ1" s="725"/>
      <c r="BA1" s="207"/>
      <c r="BB1" s="720">
        <v>42942</v>
      </c>
      <c r="BC1" s="721"/>
      <c r="BD1" s="7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19" t="s">
        <v>233</v>
      </c>
      <c r="Y4" s="123">
        <f>Y3-Y6</f>
        <v>4.9669099999591708</v>
      </c>
      <c r="Z4" s="719" t="s">
        <v>262</v>
      </c>
      <c r="AA4" s="719"/>
      <c r="AD4" s="154" t="s">
        <v>233</v>
      </c>
      <c r="AE4" s="154">
        <f>AE3-AE5</f>
        <v>-52.526899999851594</v>
      </c>
      <c r="AF4" s="719" t="s">
        <v>262</v>
      </c>
      <c r="AG4" s="719"/>
      <c r="AH4" s="143"/>
      <c r="AI4" s="143"/>
      <c r="AJ4" s="154" t="s">
        <v>233</v>
      </c>
      <c r="AK4" s="154">
        <f>AK3-AK5</f>
        <v>94.988909999992757</v>
      </c>
      <c r="AL4" s="719" t="s">
        <v>262</v>
      </c>
      <c r="AM4" s="719"/>
      <c r="AP4" s="170" t="s">
        <v>233</v>
      </c>
      <c r="AQ4" s="174">
        <f>AQ3-AQ5</f>
        <v>33.841989999942598</v>
      </c>
      <c r="AR4" s="719" t="s">
        <v>262</v>
      </c>
      <c r="AS4" s="719"/>
      <c r="AX4" s="719" t="s">
        <v>564</v>
      </c>
      <c r="AY4" s="719"/>
      <c r="BB4" s="719" t="s">
        <v>567</v>
      </c>
      <c r="BC4" s="7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9"/>
      <c r="AG5" s="719"/>
      <c r="AH5" s="143"/>
      <c r="AI5" s="143"/>
      <c r="AJ5" s="154" t="s">
        <v>352</v>
      </c>
      <c r="AK5" s="162">
        <f>SUM(AK11:AK59)</f>
        <v>30858.011000000002</v>
      </c>
      <c r="AL5" s="719"/>
      <c r="AM5" s="7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9"/>
      <c r="AS5" s="719"/>
      <c r="AX5" s="719"/>
      <c r="AY5" s="719"/>
      <c r="BB5" s="719"/>
      <c r="BC5" s="719"/>
      <c r="BD5" s="723" t="s">
        <v>999</v>
      </c>
      <c r="BE5" s="723"/>
      <c r="BF5" s="723"/>
      <c r="BG5" s="723"/>
      <c r="BH5" s="723"/>
      <c r="BI5" s="723"/>
      <c r="BJ5" s="723"/>
      <c r="BK5" s="7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2" t="s">
        <v>264</v>
      </c>
      <c r="W23" s="7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4"/>
      <c r="W24" s="7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7" t="s">
        <v>909</v>
      </c>
      <c r="C1" s="727"/>
      <c r="D1" s="726" t="s">
        <v>515</v>
      </c>
      <c r="E1" s="726"/>
      <c r="F1" s="727" t="s">
        <v>513</v>
      </c>
      <c r="G1" s="727"/>
      <c r="H1" s="750" t="s">
        <v>549</v>
      </c>
      <c r="I1" s="750"/>
      <c r="J1" s="726" t="s">
        <v>515</v>
      </c>
      <c r="K1" s="726"/>
      <c r="L1" s="727" t="s">
        <v>908</v>
      </c>
      <c r="M1" s="727"/>
      <c r="N1" s="750" t="s">
        <v>549</v>
      </c>
      <c r="O1" s="750"/>
      <c r="P1" s="726" t="s">
        <v>515</v>
      </c>
      <c r="Q1" s="726"/>
      <c r="R1" s="727" t="s">
        <v>552</v>
      </c>
      <c r="S1" s="727"/>
      <c r="T1" s="750" t="s">
        <v>549</v>
      </c>
      <c r="U1" s="750"/>
      <c r="V1" s="726" t="s">
        <v>515</v>
      </c>
      <c r="W1" s="726"/>
      <c r="X1" s="727" t="s">
        <v>907</v>
      </c>
      <c r="Y1" s="727"/>
      <c r="Z1" s="750" t="s">
        <v>549</v>
      </c>
      <c r="AA1" s="750"/>
      <c r="AB1" s="726" t="s">
        <v>515</v>
      </c>
      <c r="AC1" s="726"/>
      <c r="AD1" s="727" t="s">
        <v>591</v>
      </c>
      <c r="AE1" s="727"/>
      <c r="AF1" s="750" t="s">
        <v>549</v>
      </c>
      <c r="AG1" s="750"/>
      <c r="AH1" s="726" t="s">
        <v>515</v>
      </c>
      <c r="AI1" s="726"/>
      <c r="AJ1" s="727" t="s">
        <v>906</v>
      </c>
      <c r="AK1" s="727"/>
      <c r="AL1" s="750" t="s">
        <v>626</v>
      </c>
      <c r="AM1" s="750"/>
      <c r="AN1" s="726" t="s">
        <v>627</v>
      </c>
      <c r="AO1" s="726"/>
      <c r="AP1" s="727" t="s">
        <v>621</v>
      </c>
      <c r="AQ1" s="727"/>
      <c r="AR1" s="750" t="s">
        <v>549</v>
      </c>
      <c r="AS1" s="750"/>
      <c r="AT1" s="726" t="s">
        <v>515</v>
      </c>
      <c r="AU1" s="726"/>
      <c r="AV1" s="727" t="s">
        <v>905</v>
      </c>
      <c r="AW1" s="727"/>
      <c r="AX1" s="750" t="s">
        <v>549</v>
      </c>
      <c r="AY1" s="750"/>
      <c r="AZ1" s="726" t="s">
        <v>515</v>
      </c>
      <c r="BA1" s="726"/>
      <c r="BB1" s="727" t="s">
        <v>653</v>
      </c>
      <c r="BC1" s="727"/>
      <c r="BD1" s="750" t="s">
        <v>549</v>
      </c>
      <c r="BE1" s="750"/>
      <c r="BF1" s="726" t="s">
        <v>515</v>
      </c>
      <c r="BG1" s="726"/>
      <c r="BH1" s="727" t="s">
        <v>904</v>
      </c>
      <c r="BI1" s="727"/>
      <c r="BJ1" s="750" t="s">
        <v>549</v>
      </c>
      <c r="BK1" s="750"/>
      <c r="BL1" s="726" t="s">
        <v>515</v>
      </c>
      <c r="BM1" s="726"/>
      <c r="BN1" s="727" t="s">
        <v>921</v>
      </c>
      <c r="BO1" s="727"/>
      <c r="BP1" s="750" t="s">
        <v>549</v>
      </c>
      <c r="BQ1" s="750"/>
      <c r="BR1" s="726" t="s">
        <v>515</v>
      </c>
      <c r="BS1" s="726"/>
      <c r="BT1" s="727" t="s">
        <v>903</v>
      </c>
      <c r="BU1" s="727"/>
      <c r="BV1" s="750" t="s">
        <v>704</v>
      </c>
      <c r="BW1" s="750"/>
      <c r="BX1" s="726" t="s">
        <v>705</v>
      </c>
      <c r="BY1" s="726"/>
      <c r="BZ1" s="727" t="s">
        <v>703</v>
      </c>
      <c r="CA1" s="727"/>
      <c r="CB1" s="750" t="s">
        <v>730</v>
      </c>
      <c r="CC1" s="750"/>
      <c r="CD1" s="726" t="s">
        <v>731</v>
      </c>
      <c r="CE1" s="726"/>
      <c r="CF1" s="727" t="s">
        <v>902</v>
      </c>
      <c r="CG1" s="727"/>
      <c r="CH1" s="750" t="s">
        <v>730</v>
      </c>
      <c r="CI1" s="750"/>
      <c r="CJ1" s="726" t="s">
        <v>731</v>
      </c>
      <c r="CK1" s="726"/>
      <c r="CL1" s="727" t="s">
        <v>748</v>
      </c>
      <c r="CM1" s="727"/>
      <c r="CN1" s="750" t="s">
        <v>730</v>
      </c>
      <c r="CO1" s="750"/>
      <c r="CP1" s="726" t="s">
        <v>731</v>
      </c>
      <c r="CQ1" s="726"/>
      <c r="CR1" s="727" t="s">
        <v>901</v>
      </c>
      <c r="CS1" s="727"/>
      <c r="CT1" s="750" t="s">
        <v>730</v>
      </c>
      <c r="CU1" s="750"/>
      <c r="CV1" s="754" t="s">
        <v>731</v>
      </c>
      <c r="CW1" s="754"/>
      <c r="CX1" s="727" t="s">
        <v>769</v>
      </c>
      <c r="CY1" s="727"/>
      <c r="CZ1" s="750" t="s">
        <v>730</v>
      </c>
      <c r="DA1" s="750"/>
      <c r="DB1" s="754" t="s">
        <v>731</v>
      </c>
      <c r="DC1" s="754"/>
      <c r="DD1" s="727" t="s">
        <v>900</v>
      </c>
      <c r="DE1" s="727"/>
      <c r="DF1" s="750" t="s">
        <v>816</v>
      </c>
      <c r="DG1" s="750"/>
      <c r="DH1" s="754" t="s">
        <v>817</v>
      </c>
      <c r="DI1" s="754"/>
      <c r="DJ1" s="727" t="s">
        <v>809</v>
      </c>
      <c r="DK1" s="727"/>
      <c r="DL1" s="750" t="s">
        <v>816</v>
      </c>
      <c r="DM1" s="750"/>
      <c r="DN1" s="754" t="s">
        <v>731</v>
      </c>
      <c r="DO1" s="754"/>
      <c r="DP1" s="727" t="s">
        <v>899</v>
      </c>
      <c r="DQ1" s="727"/>
      <c r="DR1" s="750" t="s">
        <v>816</v>
      </c>
      <c r="DS1" s="750"/>
      <c r="DT1" s="754" t="s">
        <v>731</v>
      </c>
      <c r="DU1" s="754"/>
      <c r="DV1" s="727" t="s">
        <v>898</v>
      </c>
      <c r="DW1" s="727"/>
      <c r="DX1" s="750" t="s">
        <v>816</v>
      </c>
      <c r="DY1" s="750"/>
      <c r="DZ1" s="754" t="s">
        <v>731</v>
      </c>
      <c r="EA1" s="754"/>
      <c r="EB1" s="727" t="s">
        <v>897</v>
      </c>
      <c r="EC1" s="727"/>
      <c r="ED1" s="750" t="s">
        <v>816</v>
      </c>
      <c r="EE1" s="750"/>
      <c r="EF1" s="754" t="s">
        <v>731</v>
      </c>
      <c r="EG1" s="754"/>
      <c r="EH1" s="727" t="s">
        <v>883</v>
      </c>
      <c r="EI1" s="727"/>
      <c r="EJ1" s="750" t="s">
        <v>816</v>
      </c>
      <c r="EK1" s="750"/>
      <c r="EL1" s="754" t="s">
        <v>936</v>
      </c>
      <c r="EM1" s="754"/>
      <c r="EN1" s="727" t="s">
        <v>922</v>
      </c>
      <c r="EO1" s="727"/>
      <c r="EP1" s="750" t="s">
        <v>816</v>
      </c>
      <c r="EQ1" s="750"/>
      <c r="ER1" s="754" t="s">
        <v>950</v>
      </c>
      <c r="ES1" s="754"/>
      <c r="ET1" s="727" t="s">
        <v>937</v>
      </c>
      <c r="EU1" s="727"/>
      <c r="EV1" s="750" t="s">
        <v>816</v>
      </c>
      <c r="EW1" s="750"/>
      <c r="EX1" s="754" t="s">
        <v>530</v>
      </c>
      <c r="EY1" s="754"/>
      <c r="EZ1" s="727" t="s">
        <v>952</v>
      </c>
      <c r="FA1" s="7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7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6" t="s">
        <v>782</v>
      </c>
      <c r="CU19" s="7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5" t="s">
        <v>1546</v>
      </c>
      <c r="FF21" s="755"/>
      <c r="FG21" s="7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P1" zoomScaleNormal="100" workbookViewId="0">
      <selection activeCell="LT36" sqref="LT3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334" width="5" style="340" bestFit="1" customWidth="1"/>
    <col min="335" max="16384" width="14.5703125" style="340"/>
  </cols>
  <sheetData>
    <row r="1" spans="1:334">
      <c r="A1" s="760" t="s">
        <v>1209</v>
      </c>
      <c r="B1" s="760"/>
      <c r="C1" s="724" t="s">
        <v>292</v>
      </c>
      <c r="D1" s="724"/>
      <c r="E1" s="722" t="s">
        <v>1010</v>
      </c>
      <c r="F1" s="722"/>
      <c r="G1" s="760" t="s">
        <v>1210</v>
      </c>
      <c r="H1" s="760"/>
      <c r="I1" s="724" t="s">
        <v>292</v>
      </c>
      <c r="J1" s="724"/>
      <c r="K1" s="722" t="s">
        <v>1011</v>
      </c>
      <c r="L1" s="722"/>
      <c r="M1" s="760" t="s">
        <v>1211</v>
      </c>
      <c r="N1" s="760"/>
      <c r="O1" s="724" t="s">
        <v>292</v>
      </c>
      <c r="P1" s="724"/>
      <c r="Q1" s="722" t="s">
        <v>1057</v>
      </c>
      <c r="R1" s="722"/>
      <c r="S1" s="760" t="s">
        <v>1212</v>
      </c>
      <c r="T1" s="760"/>
      <c r="U1" s="724" t="s">
        <v>292</v>
      </c>
      <c r="V1" s="724"/>
      <c r="W1" s="722" t="s">
        <v>627</v>
      </c>
      <c r="X1" s="722"/>
      <c r="Y1" s="760" t="s">
        <v>1213</v>
      </c>
      <c r="Z1" s="760"/>
      <c r="AA1" s="724" t="s">
        <v>292</v>
      </c>
      <c r="AB1" s="724"/>
      <c r="AC1" s="722" t="s">
        <v>1084</v>
      </c>
      <c r="AD1" s="722"/>
      <c r="AE1" s="760" t="s">
        <v>1214</v>
      </c>
      <c r="AF1" s="760"/>
      <c r="AG1" s="724" t="s">
        <v>292</v>
      </c>
      <c r="AH1" s="724"/>
      <c r="AI1" s="722" t="s">
        <v>1134</v>
      </c>
      <c r="AJ1" s="722"/>
      <c r="AK1" s="760" t="s">
        <v>1217</v>
      </c>
      <c r="AL1" s="760"/>
      <c r="AM1" s="724" t="s">
        <v>1132</v>
      </c>
      <c r="AN1" s="724"/>
      <c r="AO1" s="722" t="s">
        <v>1133</v>
      </c>
      <c r="AP1" s="722"/>
      <c r="AQ1" s="760" t="s">
        <v>1218</v>
      </c>
      <c r="AR1" s="760"/>
      <c r="AS1" s="724" t="s">
        <v>1132</v>
      </c>
      <c r="AT1" s="724"/>
      <c r="AU1" s="722" t="s">
        <v>1178</v>
      </c>
      <c r="AV1" s="722"/>
      <c r="AW1" s="760" t="s">
        <v>1215</v>
      </c>
      <c r="AX1" s="760"/>
      <c r="AY1" s="722" t="s">
        <v>1241</v>
      </c>
      <c r="AZ1" s="722"/>
      <c r="BA1" s="760" t="s">
        <v>1215</v>
      </c>
      <c r="BB1" s="760"/>
      <c r="BC1" s="724" t="s">
        <v>816</v>
      </c>
      <c r="BD1" s="724"/>
      <c r="BE1" s="722" t="s">
        <v>1208</v>
      </c>
      <c r="BF1" s="722"/>
      <c r="BG1" s="760" t="s">
        <v>1216</v>
      </c>
      <c r="BH1" s="760"/>
      <c r="BI1" s="724" t="s">
        <v>816</v>
      </c>
      <c r="BJ1" s="724"/>
      <c r="BK1" s="722" t="s">
        <v>1208</v>
      </c>
      <c r="BL1" s="722"/>
      <c r="BM1" s="760" t="s">
        <v>1226</v>
      </c>
      <c r="BN1" s="760"/>
      <c r="BO1" s="724" t="s">
        <v>816</v>
      </c>
      <c r="BP1" s="724"/>
      <c r="BQ1" s="722" t="s">
        <v>1244</v>
      </c>
      <c r="BR1" s="722"/>
      <c r="BS1" s="760" t="s">
        <v>1243</v>
      </c>
      <c r="BT1" s="760"/>
      <c r="BU1" s="724" t="s">
        <v>816</v>
      </c>
      <c r="BV1" s="724"/>
      <c r="BW1" s="722" t="s">
        <v>1248</v>
      </c>
      <c r="BX1" s="722"/>
      <c r="BY1" s="760" t="s">
        <v>1270</v>
      </c>
      <c r="BZ1" s="760"/>
      <c r="CA1" s="724" t="s">
        <v>816</v>
      </c>
      <c r="CB1" s="724"/>
      <c r="CC1" s="722" t="s">
        <v>1244</v>
      </c>
      <c r="CD1" s="722"/>
      <c r="CE1" s="760" t="s">
        <v>1291</v>
      </c>
      <c r="CF1" s="760"/>
      <c r="CG1" s="724" t="s">
        <v>816</v>
      </c>
      <c r="CH1" s="724"/>
      <c r="CI1" s="722" t="s">
        <v>1248</v>
      </c>
      <c r="CJ1" s="722"/>
      <c r="CK1" s="760" t="s">
        <v>1307</v>
      </c>
      <c r="CL1" s="760"/>
      <c r="CM1" s="724" t="s">
        <v>816</v>
      </c>
      <c r="CN1" s="724"/>
      <c r="CO1" s="722" t="s">
        <v>1244</v>
      </c>
      <c r="CP1" s="722"/>
      <c r="CQ1" s="760" t="s">
        <v>1335</v>
      </c>
      <c r="CR1" s="760"/>
      <c r="CS1" s="758" t="s">
        <v>816</v>
      </c>
      <c r="CT1" s="758"/>
      <c r="CU1" s="722" t="s">
        <v>1391</v>
      </c>
      <c r="CV1" s="722"/>
      <c r="CW1" s="760" t="s">
        <v>1374</v>
      </c>
      <c r="CX1" s="760"/>
      <c r="CY1" s="758" t="s">
        <v>816</v>
      </c>
      <c r="CZ1" s="758"/>
      <c r="DA1" s="722" t="s">
        <v>1597</v>
      </c>
      <c r="DB1" s="722"/>
      <c r="DC1" s="760" t="s">
        <v>1394</v>
      </c>
      <c r="DD1" s="760"/>
      <c r="DE1" s="758" t="s">
        <v>816</v>
      </c>
      <c r="DF1" s="758"/>
      <c r="DG1" s="722" t="s">
        <v>1491</v>
      </c>
      <c r="DH1" s="722"/>
      <c r="DI1" s="760" t="s">
        <v>1594</v>
      </c>
      <c r="DJ1" s="760"/>
      <c r="DK1" s="758" t="s">
        <v>816</v>
      </c>
      <c r="DL1" s="758"/>
      <c r="DM1" s="722" t="s">
        <v>1391</v>
      </c>
      <c r="DN1" s="722"/>
      <c r="DO1" s="760" t="s">
        <v>1595</v>
      </c>
      <c r="DP1" s="760"/>
      <c r="DQ1" s="758" t="s">
        <v>816</v>
      </c>
      <c r="DR1" s="758"/>
      <c r="DS1" s="722" t="s">
        <v>1590</v>
      </c>
      <c r="DT1" s="722"/>
      <c r="DU1" s="760" t="s">
        <v>1596</v>
      </c>
      <c r="DV1" s="760"/>
      <c r="DW1" s="758" t="s">
        <v>816</v>
      </c>
      <c r="DX1" s="758"/>
      <c r="DY1" s="722" t="s">
        <v>1616</v>
      </c>
      <c r="DZ1" s="722"/>
      <c r="EA1" s="761" t="s">
        <v>1611</v>
      </c>
      <c r="EB1" s="761"/>
      <c r="EC1" s="758" t="s">
        <v>816</v>
      </c>
      <c r="ED1" s="758"/>
      <c r="EE1" s="722" t="s">
        <v>1590</v>
      </c>
      <c r="EF1" s="722"/>
      <c r="EG1" s="457"/>
      <c r="EH1" s="761" t="s">
        <v>1641</v>
      </c>
      <c r="EI1" s="761"/>
      <c r="EJ1" s="758" t="s">
        <v>816</v>
      </c>
      <c r="EK1" s="758"/>
      <c r="EL1" s="722" t="s">
        <v>1674</v>
      </c>
      <c r="EM1" s="722"/>
      <c r="EN1" s="761" t="s">
        <v>1666</v>
      </c>
      <c r="EO1" s="761"/>
      <c r="EP1" s="758" t="s">
        <v>816</v>
      </c>
      <c r="EQ1" s="758"/>
      <c r="ER1" s="722" t="s">
        <v>1714</v>
      </c>
      <c r="ES1" s="722"/>
      <c r="ET1" s="761" t="s">
        <v>1707</v>
      </c>
      <c r="EU1" s="761"/>
      <c r="EV1" s="758" t="s">
        <v>816</v>
      </c>
      <c r="EW1" s="758"/>
      <c r="EX1" s="722" t="s">
        <v>1616</v>
      </c>
      <c r="EY1" s="722"/>
      <c r="EZ1" s="761" t="s">
        <v>1742</v>
      </c>
      <c r="FA1" s="761"/>
      <c r="FB1" s="758" t="s">
        <v>816</v>
      </c>
      <c r="FC1" s="758"/>
      <c r="FD1" s="722" t="s">
        <v>1597</v>
      </c>
      <c r="FE1" s="722"/>
      <c r="FF1" s="761" t="s">
        <v>1781</v>
      </c>
      <c r="FG1" s="761"/>
      <c r="FH1" s="758" t="s">
        <v>816</v>
      </c>
      <c r="FI1" s="758"/>
      <c r="FJ1" s="722" t="s">
        <v>1391</v>
      </c>
      <c r="FK1" s="722"/>
      <c r="FL1" s="761" t="s">
        <v>1816</v>
      </c>
      <c r="FM1" s="761"/>
      <c r="FN1" s="758" t="s">
        <v>816</v>
      </c>
      <c r="FO1" s="758"/>
      <c r="FP1" s="722" t="s">
        <v>1863</v>
      </c>
      <c r="FQ1" s="722"/>
      <c r="FR1" s="761" t="s">
        <v>1852</v>
      </c>
      <c r="FS1" s="761"/>
      <c r="FT1" s="758" t="s">
        <v>816</v>
      </c>
      <c r="FU1" s="758"/>
      <c r="FV1" s="722" t="s">
        <v>1863</v>
      </c>
      <c r="FW1" s="722"/>
      <c r="FX1" s="761" t="s">
        <v>1965</v>
      </c>
      <c r="FY1" s="761"/>
      <c r="FZ1" s="758" t="s">
        <v>816</v>
      </c>
      <c r="GA1" s="758"/>
      <c r="GB1" s="722" t="s">
        <v>1616</v>
      </c>
      <c r="GC1" s="722"/>
      <c r="GD1" s="761" t="s">
        <v>1966</v>
      </c>
      <c r="GE1" s="761"/>
      <c r="GF1" s="758" t="s">
        <v>816</v>
      </c>
      <c r="GG1" s="758"/>
      <c r="GH1" s="722" t="s">
        <v>1590</v>
      </c>
      <c r="GI1" s="722"/>
      <c r="GJ1" s="761" t="s">
        <v>1975</v>
      </c>
      <c r="GK1" s="761"/>
      <c r="GL1" s="758" t="s">
        <v>816</v>
      </c>
      <c r="GM1" s="758"/>
      <c r="GN1" s="722" t="s">
        <v>1590</v>
      </c>
      <c r="GO1" s="722"/>
      <c r="GP1" s="761" t="s">
        <v>2017</v>
      </c>
      <c r="GQ1" s="761"/>
      <c r="GR1" s="758" t="s">
        <v>816</v>
      </c>
      <c r="GS1" s="758"/>
      <c r="GT1" s="722" t="s">
        <v>1674</v>
      </c>
      <c r="GU1" s="722"/>
      <c r="GV1" s="761" t="s">
        <v>2046</v>
      </c>
      <c r="GW1" s="761"/>
      <c r="GX1" s="758" t="s">
        <v>816</v>
      </c>
      <c r="GY1" s="758"/>
      <c r="GZ1" s="722" t="s">
        <v>2085</v>
      </c>
      <c r="HA1" s="722"/>
      <c r="HB1" s="761" t="s">
        <v>2105</v>
      </c>
      <c r="HC1" s="761"/>
      <c r="HD1" s="758" t="s">
        <v>816</v>
      </c>
      <c r="HE1" s="758"/>
      <c r="HF1" s="722" t="s">
        <v>1714</v>
      </c>
      <c r="HG1" s="722"/>
      <c r="HH1" s="761" t="s">
        <v>2118</v>
      </c>
      <c r="HI1" s="761"/>
      <c r="HJ1" s="758" t="s">
        <v>816</v>
      </c>
      <c r="HK1" s="758"/>
      <c r="HL1" s="722" t="s">
        <v>1391</v>
      </c>
      <c r="HM1" s="722"/>
      <c r="HN1" s="761" t="s">
        <v>2164</v>
      </c>
      <c r="HO1" s="761"/>
      <c r="HP1" s="758" t="s">
        <v>816</v>
      </c>
      <c r="HQ1" s="758"/>
      <c r="HR1" s="722" t="s">
        <v>1391</v>
      </c>
      <c r="HS1" s="722"/>
      <c r="HT1" s="761" t="s">
        <v>2199</v>
      </c>
      <c r="HU1" s="761"/>
      <c r="HV1" s="758" t="s">
        <v>816</v>
      </c>
      <c r="HW1" s="758"/>
      <c r="HX1" s="722" t="s">
        <v>1616</v>
      </c>
      <c r="HY1" s="722"/>
      <c r="HZ1" s="761" t="s">
        <v>2244</v>
      </c>
      <c r="IA1" s="761"/>
      <c r="IB1" s="758" t="s">
        <v>816</v>
      </c>
      <c r="IC1" s="758"/>
      <c r="ID1" s="722" t="s">
        <v>1714</v>
      </c>
      <c r="IE1" s="722"/>
      <c r="IF1" s="761" t="s">
        <v>2309</v>
      </c>
      <c r="IG1" s="761"/>
      <c r="IH1" s="758" t="s">
        <v>816</v>
      </c>
      <c r="II1" s="758"/>
      <c r="IJ1" s="722" t="s">
        <v>1590</v>
      </c>
      <c r="IK1" s="722"/>
      <c r="IL1" s="761" t="s">
        <v>2378</v>
      </c>
      <c r="IM1" s="761"/>
      <c r="IN1" s="758" t="s">
        <v>816</v>
      </c>
      <c r="IO1" s="758"/>
      <c r="IP1" s="722" t="s">
        <v>1616</v>
      </c>
      <c r="IQ1" s="722"/>
      <c r="IR1" s="761" t="s">
        <v>2556</v>
      </c>
      <c r="IS1" s="761"/>
      <c r="IT1" s="758" t="s">
        <v>816</v>
      </c>
      <c r="IU1" s="758"/>
      <c r="IV1" s="722" t="s">
        <v>1747</v>
      </c>
      <c r="IW1" s="722"/>
      <c r="IX1" s="761" t="s">
        <v>2555</v>
      </c>
      <c r="IY1" s="761"/>
      <c r="IZ1" s="758" t="s">
        <v>816</v>
      </c>
      <c r="JA1" s="758"/>
      <c r="JB1" s="722" t="s">
        <v>1863</v>
      </c>
      <c r="JC1" s="722"/>
      <c r="JD1" s="761" t="s">
        <v>2596</v>
      </c>
      <c r="JE1" s="761"/>
      <c r="JF1" s="758" t="s">
        <v>816</v>
      </c>
      <c r="JG1" s="758"/>
      <c r="JH1" s="722" t="s">
        <v>1747</v>
      </c>
      <c r="JI1" s="722"/>
      <c r="JJ1" s="761" t="s">
        <v>2639</v>
      </c>
      <c r="JK1" s="761"/>
      <c r="JL1" s="458" t="s">
        <v>816</v>
      </c>
      <c r="JM1" s="458"/>
      <c r="JN1" s="457" t="s">
        <v>1747</v>
      </c>
      <c r="JO1" s="457"/>
      <c r="JP1" s="761" t="s">
        <v>2691</v>
      </c>
      <c r="JQ1" s="761"/>
      <c r="JR1" s="458" t="s">
        <v>816</v>
      </c>
      <c r="JS1" s="458"/>
      <c r="JT1" s="457" t="s">
        <v>1674</v>
      </c>
      <c r="JU1" s="457"/>
      <c r="JV1" s="761" t="s">
        <v>2736</v>
      </c>
      <c r="JW1" s="761"/>
      <c r="JX1" s="458" t="s">
        <v>816</v>
      </c>
      <c r="JY1" s="458"/>
      <c r="JZ1" s="457" t="s">
        <v>3011</v>
      </c>
      <c r="KA1" s="457"/>
      <c r="KB1" s="761" t="s">
        <v>2837</v>
      </c>
      <c r="KC1" s="761"/>
      <c r="KD1" s="458" t="s">
        <v>816</v>
      </c>
      <c r="KE1" s="458"/>
      <c r="KF1" s="457" t="s">
        <v>1391</v>
      </c>
      <c r="KG1" s="457"/>
      <c r="KH1" s="761" t="s">
        <v>2884</v>
      </c>
      <c r="KI1" s="761"/>
      <c r="KJ1" s="458" t="s">
        <v>816</v>
      </c>
      <c r="KK1" s="458"/>
      <c r="KL1" s="457" t="s">
        <v>1590</v>
      </c>
      <c r="KM1" s="457"/>
      <c r="KN1" s="761" t="s">
        <v>2997</v>
      </c>
      <c r="KO1" s="761"/>
      <c r="KP1" s="458" t="s">
        <v>816</v>
      </c>
      <c r="KQ1" s="458"/>
      <c r="KR1" s="457" t="s">
        <v>1590</v>
      </c>
      <c r="KS1" s="457"/>
      <c r="KT1" s="761" t="s">
        <v>3064</v>
      </c>
      <c r="KU1" s="761"/>
      <c r="KV1" s="458" t="s">
        <v>816</v>
      </c>
      <c r="KW1" s="458"/>
      <c r="KX1" s="614" t="s">
        <v>1590</v>
      </c>
      <c r="KY1" s="457"/>
      <c r="KZ1" s="761" t="s">
        <v>3121</v>
      </c>
      <c r="LA1" s="761"/>
      <c r="LB1" s="616" t="s">
        <v>816</v>
      </c>
      <c r="LC1" s="616"/>
      <c r="LD1" s="614" t="s">
        <v>1747</v>
      </c>
      <c r="LE1" s="614"/>
      <c r="LF1" s="761" t="s">
        <v>3184</v>
      </c>
      <c r="LG1" s="761"/>
      <c r="LH1" s="650" t="s">
        <v>816</v>
      </c>
      <c r="LI1" s="650"/>
      <c r="LJ1" s="648" t="s">
        <v>1747</v>
      </c>
      <c r="LK1" s="648"/>
      <c r="LL1" s="761" t="s">
        <v>3229</v>
      </c>
      <c r="LM1" s="761"/>
      <c r="LN1" s="681" t="s">
        <v>816</v>
      </c>
      <c r="LO1" s="701"/>
      <c r="LP1" s="679" t="s">
        <v>1747</v>
      </c>
      <c r="LQ1" s="679"/>
      <c r="LR1" s="761" t="s">
        <v>3230</v>
      </c>
      <c r="LS1" s="761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2985</v>
      </c>
      <c r="KI2" s="259">
        <f>KI4+KI3-SUM(KI5:KI6)</f>
        <v>80796.44</v>
      </c>
      <c r="KJ2" s="340" t="s">
        <v>3015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2985</v>
      </c>
      <c r="KO2" s="449">
        <f>SUM(KO3:KO4)-KO9</f>
        <v>44555.639999999956</v>
      </c>
      <c r="KP2" s="340" t="s">
        <v>3015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3003</v>
      </c>
      <c r="KU2" s="259">
        <v>-50000</v>
      </c>
      <c r="KV2" s="340" t="s">
        <v>3015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3027</v>
      </c>
      <c r="LA2" s="311">
        <f>SUM(LA7:LA33)</f>
        <v>325738.49000000005</v>
      </c>
      <c r="LB2" s="619" t="s">
        <v>3015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3027</v>
      </c>
      <c r="LG2" s="311">
        <f>SUM(LG6:LG32)</f>
        <v>315756.62</v>
      </c>
      <c r="LH2" s="651" t="s">
        <v>3015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3027</v>
      </c>
      <c r="LM2" s="311">
        <f>SUM(LM6:LM35)</f>
        <v>356020.91</v>
      </c>
      <c r="LN2" s="682" t="s">
        <v>3015</v>
      </c>
      <c r="LO2" s="395">
        <f>SUM(LO4:LO28)</f>
        <v>8828.2910000000011</v>
      </c>
      <c r="LP2" s="203" t="s">
        <v>296</v>
      </c>
      <c r="LQ2" s="713">
        <f>LO2+LM2-LS2</f>
        <v>13809.201000000001</v>
      </c>
      <c r="LR2" s="682" t="s">
        <v>3027</v>
      </c>
      <c r="LS2" s="311">
        <f>SUM(LS8:LS36)</f>
        <v>351040</v>
      </c>
    </row>
    <row r="3" spans="1:334">
      <c r="A3" s="769" t="s">
        <v>991</v>
      </c>
      <c r="B3" s="769"/>
      <c r="E3" s="170" t="s">
        <v>233</v>
      </c>
      <c r="F3" s="174">
        <f>F2-F4</f>
        <v>17</v>
      </c>
      <c r="G3" s="769" t="s">
        <v>991</v>
      </c>
      <c r="H3" s="76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3003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3027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7809.1910000000007</v>
      </c>
      <c r="LR3" s="692" t="s">
        <v>3259</v>
      </c>
      <c r="LS3" s="259">
        <f>-50000-135000-71200</f>
        <v>-256200</v>
      </c>
    </row>
    <row r="4" spans="1:334" ht="12.75" customHeight="1" thickBot="1">
      <c r="A4" s="769"/>
      <c r="B4" s="769"/>
      <c r="E4" s="170" t="s">
        <v>352</v>
      </c>
      <c r="F4" s="174">
        <f>SUM(F14:F57)</f>
        <v>12750</v>
      </c>
      <c r="G4" s="769"/>
      <c r="H4" s="76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3019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3019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3019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3020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3019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3010</v>
      </c>
      <c r="KI4" s="311">
        <f>SUM(KI5:KI36)</f>
        <v>337796.44</v>
      </c>
      <c r="KJ4" s="340" t="s">
        <v>3019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3012</v>
      </c>
      <c r="KO4" s="311">
        <f>SUM(KO9:KO38)</f>
        <v>291555.63999999996</v>
      </c>
      <c r="KP4" s="340" t="s">
        <v>3019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3019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3019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3091</v>
      </c>
      <c r="LG4" s="453" t="s">
        <v>3090</v>
      </c>
      <c r="LH4" s="651" t="s">
        <v>3019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3091</v>
      </c>
      <c r="LM4" s="453" t="s">
        <v>3090</v>
      </c>
      <c r="LN4" s="682" t="s">
        <v>3019</v>
      </c>
      <c r="LO4" s="277"/>
      <c r="LP4" s="682" t="s">
        <v>1203</v>
      </c>
      <c r="LQ4" s="455">
        <f>LQ2-LQ5</f>
        <v>4.1000000002895831E-2</v>
      </c>
      <c r="LR4" s="492" t="s">
        <v>3260</v>
      </c>
      <c r="LS4" s="712">
        <f>SUM(LS2:LS3)</f>
        <v>94840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3019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3019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3019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3019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3067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3091</v>
      </c>
      <c r="LA5" s="453" t="s">
        <v>3090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SUM(LQ6:LQ51)</f>
        <v>13809.159999999998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3033</v>
      </c>
      <c r="KS6" s="444">
        <v>2000</v>
      </c>
      <c r="KT6" s="452">
        <v>20000</v>
      </c>
      <c r="KU6" s="453">
        <v>45370</v>
      </c>
      <c r="KV6" s="589" t="s">
        <v>3077</v>
      </c>
      <c r="KW6" s="202">
        <v>6.66</v>
      </c>
      <c r="KX6" s="445" t="s">
        <v>3087</v>
      </c>
      <c r="KY6" s="260">
        <v>50</v>
      </c>
      <c r="KZ6" s="452">
        <v>10000</v>
      </c>
      <c r="LA6" s="453">
        <v>45440</v>
      </c>
      <c r="LB6" s="624" t="s">
        <v>3180</v>
      </c>
      <c r="LC6" s="202">
        <v>200</v>
      </c>
      <c r="LD6" s="445" t="s">
        <v>3097</v>
      </c>
      <c r="LE6" s="260" t="s">
        <v>3096</v>
      </c>
      <c r="LF6" s="490" t="s">
        <v>2988</v>
      </c>
      <c r="LG6" s="454">
        <v>272000</v>
      </c>
      <c r="LH6" s="674"/>
      <c r="LI6" s="466"/>
      <c r="LJ6" s="445" t="s">
        <v>3097</v>
      </c>
      <c r="LK6" s="260" t="s">
        <v>3218</v>
      </c>
      <c r="LL6" s="490" t="s">
        <v>2988</v>
      </c>
      <c r="LM6" s="454">
        <v>282000</v>
      </c>
      <c r="LN6" s="715" t="s">
        <v>2859</v>
      </c>
      <c r="LO6" s="277">
        <v>70600</v>
      </c>
      <c r="LP6" s="445" t="s">
        <v>3097</v>
      </c>
      <c r="LQ6" s="261" t="s">
        <v>3218</v>
      </c>
      <c r="LR6" s="598" t="s">
        <v>3091</v>
      </c>
      <c r="LS6" s="453" t="s">
        <v>3090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2982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3076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2988</v>
      </c>
      <c r="LA7" s="454">
        <v>262000</v>
      </c>
      <c r="LB7" s="624"/>
      <c r="LC7" s="633"/>
      <c r="LD7" s="445" t="s">
        <v>3130</v>
      </c>
      <c r="LE7" s="260">
        <f>1000+2000+5000</f>
        <v>8000</v>
      </c>
      <c r="LF7" s="619" t="s">
        <v>2897</v>
      </c>
      <c r="LG7" s="259">
        <v>-70600</v>
      </c>
      <c r="LH7" s="657" t="s">
        <v>3208</v>
      </c>
      <c r="LI7" s="202" t="s">
        <v>3207</v>
      </c>
      <c r="LJ7" s="445" t="s">
        <v>3246</v>
      </c>
      <c r="LK7" s="444">
        <v>1900.02</v>
      </c>
      <c r="LL7" s="651" t="s">
        <v>2897</v>
      </c>
      <c r="LM7" s="259">
        <v>-70600</v>
      </c>
      <c r="LN7" s="715" t="s">
        <v>3296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3159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2981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3030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3076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3076</v>
      </c>
      <c r="LC8" s="320"/>
      <c r="LD8" s="445" t="s">
        <v>1002</v>
      </c>
      <c r="LE8" s="444">
        <f>1900.01</f>
        <v>1900.01</v>
      </c>
      <c r="LF8" s="619" t="s">
        <v>3000</v>
      </c>
      <c r="LG8" s="259">
        <v>-115915</v>
      </c>
      <c r="LH8" s="657" t="s">
        <v>3195</v>
      </c>
      <c r="LI8" s="633">
        <v>3.4</v>
      </c>
      <c r="LJ8" s="446" t="s">
        <v>2359</v>
      </c>
      <c r="LK8" s="444">
        <v>14.55</v>
      </c>
      <c r="LL8" s="651" t="s">
        <v>3000</v>
      </c>
      <c r="LM8" s="259" t="s">
        <v>3194</v>
      </c>
      <c r="LN8" s="715" t="s">
        <v>3296</v>
      </c>
      <c r="LO8" s="395">
        <f>-(48322.06)</f>
        <v>-48322.06</v>
      </c>
      <c r="LP8" s="445" t="s">
        <v>3274</v>
      </c>
      <c r="LQ8" s="202">
        <v>4000</v>
      </c>
      <c r="LR8" s="490" t="s">
        <v>2988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2988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3013</v>
      </c>
      <c r="KS9" s="340">
        <v>487</v>
      </c>
      <c r="KT9" s="452">
        <v>20000</v>
      </c>
      <c r="KU9" s="453">
        <v>45412</v>
      </c>
      <c r="KV9" s="586" t="s">
        <v>3078</v>
      </c>
      <c r="KW9" s="331">
        <v>3129.11</v>
      </c>
      <c r="KX9" s="300" t="s">
        <v>3084</v>
      </c>
      <c r="KY9" s="340">
        <f>11+4</f>
        <v>15</v>
      </c>
      <c r="KZ9" s="340" t="s">
        <v>3000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2989</v>
      </c>
      <c r="LG9" s="318">
        <v>-82000</v>
      </c>
      <c r="LH9" s="672" t="s">
        <v>3196</v>
      </c>
      <c r="LI9" s="633">
        <v>793.69</v>
      </c>
      <c r="LJ9" s="446" t="s">
        <v>2475</v>
      </c>
      <c r="LK9" s="444">
        <v>378.81</v>
      </c>
      <c r="LL9" s="655" t="s">
        <v>2989</v>
      </c>
      <c r="LM9" s="318">
        <v>-88000</v>
      </c>
      <c r="LN9" s="694" t="s">
        <v>3294</v>
      </c>
      <c r="LO9" s="702">
        <v>10967.27</v>
      </c>
      <c r="LP9" s="445" t="s">
        <v>3275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3254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3001</v>
      </c>
      <c r="KM10" s="340">
        <f>82.58+102.97</f>
        <v>185.55</v>
      </c>
      <c r="KN10" s="340" t="s">
        <v>2897</v>
      </c>
      <c r="KO10" s="259">
        <v>-70600</v>
      </c>
      <c r="KP10" s="204" t="s">
        <v>3242</v>
      </c>
      <c r="KQ10" s="395">
        <v>35.14</v>
      </c>
      <c r="KR10" s="300" t="s">
        <v>3051</v>
      </c>
      <c r="KS10" s="340">
        <v>6.48</v>
      </c>
      <c r="KT10" s="490" t="s">
        <v>2988</v>
      </c>
      <c r="KU10" s="454">
        <f>SUM(KT4:KT9)</f>
        <v>247000</v>
      </c>
      <c r="KV10" s="340" t="s">
        <v>2833</v>
      </c>
      <c r="KW10" s="395">
        <v>73</v>
      </c>
      <c r="KX10" s="300" t="s">
        <v>3085</v>
      </c>
      <c r="KY10" s="204">
        <v>20</v>
      </c>
      <c r="KZ10" s="285" t="s">
        <v>2989</v>
      </c>
      <c r="LA10" s="318">
        <v>-82000</v>
      </c>
      <c r="LB10" s="620" t="s">
        <v>3240</v>
      </c>
      <c r="LC10" s="395">
        <v>26.18</v>
      </c>
      <c r="LD10" s="446" t="s">
        <v>3182</v>
      </c>
      <c r="LE10" s="444">
        <v>119.42</v>
      </c>
      <c r="LF10" s="621" t="s">
        <v>2570</v>
      </c>
      <c r="LG10" s="259">
        <v>-4000</v>
      </c>
      <c r="LH10" s="672" t="s">
        <v>3200</v>
      </c>
      <c r="LI10" s="633">
        <v>793.69</v>
      </c>
      <c r="LJ10" s="300" t="s">
        <v>3085</v>
      </c>
      <c r="LK10" s="633">
        <v>30</v>
      </c>
      <c r="LL10" s="656" t="s">
        <v>2570</v>
      </c>
      <c r="LM10" s="259">
        <v>-4000</v>
      </c>
      <c r="LN10" s="695" t="s">
        <v>3266</v>
      </c>
      <c r="LO10" s="515">
        <v>-10184.01</v>
      </c>
      <c r="LP10" s="446" t="s">
        <v>3273</v>
      </c>
      <c r="LQ10" s="202">
        <v>136.5</v>
      </c>
      <c r="LR10" s="691" t="s">
        <v>3252</v>
      </c>
      <c r="LS10" s="259">
        <v>-131103</v>
      </c>
      <c r="LT10" s="463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2961</v>
      </c>
      <c r="KM11" s="444">
        <f>165.2+34.2</f>
        <v>199.39999999999998</v>
      </c>
      <c r="KN11" s="340" t="s">
        <v>2993</v>
      </c>
      <c r="KO11" s="259">
        <v>-127017</v>
      </c>
      <c r="KP11" s="204" t="s">
        <v>3243</v>
      </c>
      <c r="KQ11" s="340">
        <v>200</v>
      </c>
      <c r="KR11" s="587" t="s">
        <v>3039</v>
      </c>
      <c r="KS11" s="444">
        <v>141.03</v>
      </c>
      <c r="KT11" s="340" t="s">
        <v>2897</v>
      </c>
      <c r="KU11" s="259">
        <v>-70600</v>
      </c>
      <c r="KV11" s="591" t="s">
        <v>3244</v>
      </c>
      <c r="KW11" s="395">
        <v>288</v>
      </c>
      <c r="KX11" s="300" t="s">
        <v>3114</v>
      </c>
      <c r="KY11" s="609">
        <v>39.9</v>
      </c>
      <c r="KZ11" s="319" t="s">
        <v>2570</v>
      </c>
      <c r="LA11" s="259">
        <v>-4000</v>
      </c>
      <c r="LB11" s="620" t="s">
        <v>3086</v>
      </c>
      <c r="LC11" s="395">
        <v>5.3</v>
      </c>
      <c r="LD11" s="446" t="s">
        <v>3144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3216</v>
      </c>
      <c r="LK11" s="633">
        <f>517.75+263.25</f>
        <v>781</v>
      </c>
      <c r="LL11" s="656" t="s">
        <v>2432</v>
      </c>
      <c r="LM11" s="259">
        <v>0</v>
      </c>
      <c r="LN11" s="695" t="s">
        <v>3264</v>
      </c>
      <c r="LO11" s="515">
        <v>-37.99</v>
      </c>
      <c r="LP11" s="446" t="s">
        <v>3298</v>
      </c>
      <c r="LQ11" s="261">
        <v>3082.59</v>
      </c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2970</v>
      </c>
      <c r="KP12" s="217"/>
      <c r="KQ12" s="395"/>
      <c r="KR12" s="300" t="s">
        <v>3062</v>
      </c>
      <c r="KS12" s="204">
        <v>15.2</v>
      </c>
      <c r="KT12" s="340" t="s">
        <v>3000</v>
      </c>
      <c r="KU12" s="259">
        <v>-123206</v>
      </c>
      <c r="KV12" s="204" t="s">
        <v>3241</v>
      </c>
      <c r="KW12" s="395">
        <f>32.02+3.51</f>
        <v>35.53</v>
      </c>
      <c r="KX12" s="300" t="s">
        <v>3108</v>
      </c>
      <c r="KY12" s="609">
        <v>113.21</v>
      </c>
      <c r="KZ12" s="319" t="s">
        <v>3002</v>
      </c>
      <c r="LA12" s="259">
        <v>1548</v>
      </c>
      <c r="LB12" s="645" t="s">
        <v>3177</v>
      </c>
      <c r="LC12" s="395">
        <v>10</v>
      </c>
      <c r="LD12" s="446" t="s">
        <v>2359</v>
      </c>
      <c r="LE12" s="240">
        <v>3200</v>
      </c>
      <c r="LF12" s="621" t="s">
        <v>3079</v>
      </c>
      <c r="LG12" s="259">
        <v>209004</v>
      </c>
      <c r="LH12" s="651" t="s">
        <v>3076</v>
      </c>
      <c r="LI12" s="320"/>
      <c r="LJ12" s="300" t="s">
        <v>3210</v>
      </c>
      <c r="LK12" s="633">
        <v>9.5</v>
      </c>
      <c r="LL12" s="656" t="s">
        <v>3079</v>
      </c>
      <c r="LM12" s="259">
        <v>132010</v>
      </c>
      <c r="LN12" s="695" t="s">
        <v>3265</v>
      </c>
      <c r="LO12" s="515">
        <v>-21.1</v>
      </c>
      <c r="LP12" s="300" t="s">
        <v>3251</v>
      </c>
      <c r="LQ12" s="261">
        <v>30</v>
      </c>
      <c r="LR12" s="686" t="s">
        <v>2989</v>
      </c>
      <c r="LS12" s="318">
        <v>-92000</v>
      </c>
      <c r="LT12" s="463">
        <v>45346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2989</v>
      </c>
      <c r="KO13" s="318">
        <v>-82000</v>
      </c>
      <c r="KP13" s="340" t="s">
        <v>2820</v>
      </c>
      <c r="KQ13" s="395"/>
      <c r="KR13" s="300" t="s">
        <v>3053</v>
      </c>
      <c r="KS13" s="340">
        <v>43.2</v>
      </c>
      <c r="KT13" s="285" t="s">
        <v>2989</v>
      </c>
      <c r="KU13" s="318">
        <v>-82000</v>
      </c>
      <c r="KV13" s="594" t="s">
        <v>3086</v>
      </c>
      <c r="KW13" s="395">
        <v>15</v>
      </c>
      <c r="KX13" s="300" t="s">
        <v>3115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3145</v>
      </c>
      <c r="LE13" s="633">
        <v>734.4</v>
      </c>
      <c r="LF13" s="621" t="s">
        <v>2904</v>
      </c>
      <c r="LG13" s="259">
        <v>101429</v>
      </c>
      <c r="LH13" s="651" t="s">
        <v>3245</v>
      </c>
      <c r="LI13" s="395">
        <v>52.000999999999998</v>
      </c>
      <c r="LJ13" s="300" t="s">
        <v>3220</v>
      </c>
      <c r="LK13" s="633">
        <v>79</v>
      </c>
      <c r="LL13" s="656" t="s">
        <v>2904</v>
      </c>
      <c r="LM13" s="259">
        <v>101434</v>
      </c>
      <c r="LN13" s="696" t="s">
        <v>3267</v>
      </c>
      <c r="LO13" s="697">
        <v>-28.82</v>
      </c>
      <c r="LP13" s="300" t="s">
        <v>3257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73" t="s">
        <v>1504</v>
      </c>
      <c r="DP14" s="7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1" t="s">
        <v>2149</v>
      </c>
      <c r="HK14" s="76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3068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3021</v>
      </c>
      <c r="KQ14" s="395">
        <f>205.48+73.97+65.75</f>
        <v>345.2</v>
      </c>
      <c r="KR14" s="254" t="s">
        <v>3038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3106</v>
      </c>
      <c r="KY14" s="596">
        <f>221.76+48.93</f>
        <v>270.69</v>
      </c>
      <c r="KZ14" s="590" t="s">
        <v>3079</v>
      </c>
      <c r="LA14" s="259">
        <v>233004</v>
      </c>
      <c r="LB14" s="217"/>
      <c r="LC14" s="395"/>
      <c r="LD14" s="300" t="s">
        <v>3146</v>
      </c>
      <c r="LE14" s="633">
        <f>3.06*0</f>
        <v>0</v>
      </c>
      <c r="LF14" s="623" t="s">
        <v>2876</v>
      </c>
      <c r="LG14" s="357"/>
      <c r="LH14" s="652" t="s">
        <v>3239</v>
      </c>
      <c r="LI14" s="395">
        <v>10.24</v>
      </c>
      <c r="LJ14" s="300" t="s">
        <v>3224</v>
      </c>
      <c r="LK14" s="633">
        <v>21.2</v>
      </c>
      <c r="LL14" s="654" t="s">
        <v>2876</v>
      </c>
      <c r="LM14" s="357"/>
      <c r="LN14" s="682" t="s">
        <v>3076</v>
      </c>
      <c r="LO14" s="395"/>
      <c r="LP14" s="300" t="s">
        <v>3278</v>
      </c>
      <c r="LQ14" s="261">
        <v>38.380000000000003</v>
      </c>
      <c r="LR14" s="687" t="s">
        <v>3256</v>
      </c>
      <c r="LS14" s="259">
        <v>272007</v>
      </c>
      <c r="LT14" s="463">
        <v>45347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7" t="s">
        <v>2834</v>
      </c>
      <c r="KE15" s="75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3004</v>
      </c>
      <c r="KQ15" s="395">
        <f>1.52</f>
        <v>1.52</v>
      </c>
      <c r="KR15" s="254" t="s">
        <v>2416</v>
      </c>
      <c r="KS15" s="204">
        <v>194.04</v>
      </c>
      <c r="KT15" s="319" t="s">
        <v>3002</v>
      </c>
      <c r="KU15" s="259">
        <v>0</v>
      </c>
      <c r="KV15" s="217" t="s">
        <v>2788</v>
      </c>
      <c r="KW15" s="395"/>
      <c r="KX15" s="254" t="s">
        <v>3132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3114</v>
      </c>
      <c r="LE15" s="633">
        <v>14.9</v>
      </c>
      <c r="LF15" s="617" t="s">
        <v>2991</v>
      </c>
      <c r="LG15" s="318">
        <v>-132</v>
      </c>
      <c r="LH15" s="217" t="s">
        <v>2788</v>
      </c>
      <c r="LI15" s="395">
        <v>9.14</v>
      </c>
      <c r="LJ15" s="300" t="s">
        <v>3223</v>
      </c>
      <c r="LK15" s="633">
        <v>34.380000000000003</v>
      </c>
      <c r="LL15" s="655" t="s">
        <v>2991</v>
      </c>
      <c r="LM15" s="318">
        <v>-76</v>
      </c>
      <c r="LN15" s="682" t="s">
        <v>2833</v>
      </c>
      <c r="LO15" s="395">
        <v>62.000999999999998</v>
      </c>
      <c r="LP15" s="300" t="s">
        <v>3085</v>
      </c>
      <c r="LQ15" s="261">
        <v>20</v>
      </c>
      <c r="LR15" s="687" t="s">
        <v>2904</v>
      </c>
      <c r="LS15" s="259">
        <v>100127</v>
      </c>
      <c r="LT15" s="463">
        <v>45345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3253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2971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3026</v>
      </c>
      <c r="KQ16" s="340">
        <f>30000*(1-0.9807)</f>
        <v>578.99999999999955</v>
      </c>
      <c r="KR16" s="254" t="s">
        <v>3050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3107</v>
      </c>
      <c r="KY16" s="609">
        <f>82.2+45.07</f>
        <v>127.27000000000001</v>
      </c>
      <c r="KZ16" s="325" t="s">
        <v>2876</v>
      </c>
      <c r="LA16" s="357"/>
      <c r="LB16" s="617" t="s">
        <v>3065</v>
      </c>
      <c r="LC16" s="395">
        <f>205.48+73.97+65.75+0.51</f>
        <v>345.71</v>
      </c>
      <c r="LD16" s="300" t="s">
        <v>3165</v>
      </c>
      <c r="LE16" s="633">
        <v>69.900000000000006</v>
      </c>
      <c r="LF16" s="623" t="s">
        <v>3073</v>
      </c>
      <c r="LG16" s="467">
        <v>10</v>
      </c>
      <c r="LH16" s="658" t="s">
        <v>2834</v>
      </c>
      <c r="LI16" s="658"/>
      <c r="LJ16" s="300" t="s">
        <v>3217</v>
      </c>
      <c r="LK16" s="633">
        <v>50</v>
      </c>
      <c r="LL16" s="654" t="s">
        <v>3073</v>
      </c>
      <c r="LM16" s="467">
        <v>11</v>
      </c>
      <c r="LN16" s="683" t="s">
        <v>3272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2963</v>
      </c>
      <c r="KM17" s="320">
        <f>1388.33-KM18</f>
        <v>1240.58</v>
      </c>
      <c r="KN17" s="319" t="s">
        <v>2987</v>
      </c>
      <c r="KO17" s="259">
        <v>129000</v>
      </c>
      <c r="KP17" s="204" t="s">
        <v>3041</v>
      </c>
      <c r="KQ17" s="340">
        <f>20000*(1-0.9803)</f>
        <v>394.00000000000102</v>
      </c>
      <c r="KR17" s="243" t="s">
        <v>2998</v>
      </c>
      <c r="KS17" s="320">
        <f>1363.36-KS18</f>
        <v>1223.29</v>
      </c>
      <c r="KT17" s="319" t="s">
        <v>2987</v>
      </c>
      <c r="KU17" s="259">
        <v>199369</v>
      </c>
      <c r="KV17" s="217"/>
      <c r="KW17" s="395"/>
      <c r="KX17" s="254" t="s">
        <v>3122</v>
      </c>
      <c r="KY17" s="613">
        <v>52.42</v>
      </c>
      <c r="KZ17" s="285" t="s">
        <v>2991</v>
      </c>
      <c r="LA17" s="318">
        <v>-143</v>
      </c>
      <c r="LB17" s="217" t="s">
        <v>3004</v>
      </c>
      <c r="LC17" s="395">
        <f>33.25+1.5</f>
        <v>34.75</v>
      </c>
      <c r="LD17" s="300" t="s">
        <v>3084</v>
      </c>
      <c r="LE17" s="620">
        <f>5+1.69</f>
        <v>6.6899999999999995</v>
      </c>
      <c r="LF17" s="660" t="s">
        <v>3187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3187</v>
      </c>
      <c r="LM17" s="259">
        <v>-11827</v>
      </c>
      <c r="LN17" s="683" t="s">
        <v>3086</v>
      </c>
      <c r="LO17" s="395">
        <v>3</v>
      </c>
      <c r="LP17" s="256" t="s">
        <v>1969</v>
      </c>
      <c r="LQ17" s="261">
        <v>38.799999999999997</v>
      </c>
      <c r="LR17" s="686" t="s">
        <v>2991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73" t="s">
        <v>1474</v>
      </c>
      <c r="DJ18" s="774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2969</v>
      </c>
      <c r="KM18" s="326">
        <v>147.75</v>
      </c>
      <c r="KN18" s="325" t="s">
        <v>2876</v>
      </c>
      <c r="KO18" s="357"/>
      <c r="KP18" s="217" t="s">
        <v>3023</v>
      </c>
      <c r="KQ18" s="327">
        <v>939.02</v>
      </c>
      <c r="KR18" s="143" t="s">
        <v>2999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3131</v>
      </c>
      <c r="KY18" s="609">
        <v>32</v>
      </c>
      <c r="KZ18" s="552" t="s">
        <v>3073</v>
      </c>
      <c r="LA18" s="467">
        <v>-78.540000000000006</v>
      </c>
      <c r="LB18" s="620" t="s">
        <v>3134</v>
      </c>
      <c r="LC18" s="619">
        <v>32.479999999999997</v>
      </c>
      <c r="LD18" s="254" t="s">
        <v>3143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3213</v>
      </c>
      <c r="LK18" s="675">
        <v>66</v>
      </c>
      <c r="LL18" s="443">
        <v>176526</v>
      </c>
      <c r="LM18" s="653"/>
      <c r="LN18" s="690" t="s">
        <v>3249</v>
      </c>
      <c r="LO18" s="395">
        <v>36</v>
      </c>
      <c r="LP18" s="243" t="s">
        <v>3283</v>
      </c>
      <c r="LQ18" s="682">
        <v>1000</v>
      </c>
      <c r="LR18" s="683" t="s">
        <v>3187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2964</v>
      </c>
      <c r="KM19" s="326">
        <f>1413.64/10</f>
        <v>141.364</v>
      </c>
      <c r="KN19" s="285" t="s">
        <v>2990</v>
      </c>
      <c r="KO19" s="341">
        <v>-114.8</v>
      </c>
      <c r="KP19" s="217" t="s">
        <v>3005</v>
      </c>
      <c r="KQ19" s="327">
        <v>14.02</v>
      </c>
      <c r="KR19" s="143" t="s">
        <v>3036</v>
      </c>
      <c r="KS19" s="286">
        <v>170.22</v>
      </c>
      <c r="KT19" s="285" t="s">
        <v>2991</v>
      </c>
      <c r="KU19" s="318">
        <v>-479</v>
      </c>
      <c r="KV19" s="285" t="s">
        <v>3065</v>
      </c>
      <c r="KW19" s="395">
        <f>212.33+76.44+67.94</f>
        <v>356.71</v>
      </c>
      <c r="KX19" s="254" t="s">
        <v>3123</v>
      </c>
      <c r="KY19" s="613">
        <f>466.26+15.92</f>
        <v>482.18</v>
      </c>
      <c r="KZ19" s="204" t="s">
        <v>3045</v>
      </c>
      <c r="LA19" s="259">
        <f>KZ20-0.99*195000</f>
        <v>-1722</v>
      </c>
      <c r="LB19" s="620" t="s">
        <v>3133</v>
      </c>
      <c r="LC19" s="619">
        <v>21.18</v>
      </c>
      <c r="LD19" s="254" t="s">
        <v>3155</v>
      </c>
      <c r="LE19" s="640">
        <v>83.17</v>
      </c>
      <c r="LF19" s="620" t="s">
        <v>2664</v>
      </c>
      <c r="LG19" s="175">
        <v>2600</v>
      </c>
      <c r="LH19" s="655" t="s">
        <v>3231</v>
      </c>
      <c r="LI19" s="395">
        <f>212+76+43</f>
        <v>331</v>
      </c>
      <c r="LJ19" s="256" t="s">
        <v>3215</v>
      </c>
      <c r="LK19" s="633">
        <v>491.7</v>
      </c>
      <c r="LL19" s="652" t="s">
        <v>2664</v>
      </c>
      <c r="LM19" s="259">
        <v>2600</v>
      </c>
      <c r="LN19" s="682" t="s">
        <v>3295</v>
      </c>
      <c r="LO19" s="395"/>
      <c r="LP19" s="243" t="s">
        <v>1862</v>
      </c>
      <c r="LQ19" s="709"/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2995</v>
      </c>
      <c r="KK20" s="395">
        <v>33</v>
      </c>
      <c r="KL20" s="143" t="s">
        <v>3037</v>
      </c>
      <c r="KM20" s="286">
        <v>198.07</v>
      </c>
      <c r="KN20" s="285" t="s">
        <v>2991</v>
      </c>
      <c r="KO20" s="318">
        <v>-425</v>
      </c>
      <c r="KR20" s="143" t="s">
        <v>2459</v>
      </c>
      <c r="KS20" s="202">
        <v>82.42</v>
      </c>
      <c r="KT20" s="204" t="s">
        <v>3045</v>
      </c>
      <c r="KU20" s="259">
        <f>KT21-0.99*195000</f>
        <v>-468</v>
      </c>
      <c r="KV20" s="217" t="s">
        <v>3004</v>
      </c>
      <c r="KW20" s="395">
        <f>34.33+1.58+0.5</f>
        <v>36.409999999999997</v>
      </c>
      <c r="KX20" s="254" t="s">
        <v>3120</v>
      </c>
      <c r="KY20" s="610">
        <v>20.05</v>
      </c>
      <c r="KZ20" s="443">
        <v>191328</v>
      </c>
      <c r="LA20" s="197"/>
      <c r="LB20" s="636" t="s">
        <v>3151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3202</v>
      </c>
      <c r="LI20" s="395">
        <f>34.38+0.62+0.58</f>
        <v>35.58</v>
      </c>
      <c r="LJ20" s="243" t="s">
        <v>2998</v>
      </c>
      <c r="LK20" s="395">
        <f>1291.31-LK21</f>
        <v>1154.33</v>
      </c>
      <c r="LL20" s="656" t="s">
        <v>2665</v>
      </c>
      <c r="LM20" s="259">
        <v>695</v>
      </c>
      <c r="LN20" s="686" t="s">
        <v>3262</v>
      </c>
      <c r="LO20" s="395">
        <f>212.33+76.44+67.94</f>
        <v>356.71</v>
      </c>
      <c r="LP20" s="243" t="s">
        <v>2998</v>
      </c>
      <c r="LQ20" s="395"/>
      <c r="LR20" s="683" t="s">
        <v>2664</v>
      </c>
      <c r="LS20" s="259">
        <v>1</v>
      </c>
      <c r="LT20" s="463">
        <v>45345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66" t="s">
        <v>507</v>
      </c>
      <c r="N21" s="766"/>
      <c r="Q21" s="166" t="s">
        <v>365</v>
      </c>
      <c r="S21" s="766" t="s">
        <v>507</v>
      </c>
      <c r="T21" s="766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3046</v>
      </c>
      <c r="KQ21" s="340">
        <v>1895.66</v>
      </c>
      <c r="KR21" s="143" t="s">
        <v>3014</v>
      </c>
      <c r="KS21" s="202">
        <v>30</v>
      </c>
      <c r="KT21" s="443">
        <v>192582</v>
      </c>
      <c r="KU21" s="197"/>
      <c r="KV21" s="588" t="s">
        <v>3098</v>
      </c>
      <c r="KW21" s="340">
        <v>546.92999999999995</v>
      </c>
      <c r="KX21" s="254" t="s">
        <v>3124</v>
      </c>
      <c r="KY21" s="613">
        <v>399.3</v>
      </c>
      <c r="KZ21" s="204" t="s">
        <v>2664</v>
      </c>
      <c r="LA21" s="259">
        <v>2600</v>
      </c>
      <c r="LB21" s="628" t="s">
        <v>3152</v>
      </c>
      <c r="LC21" s="619">
        <f>611.37+8.86</f>
        <v>620.23</v>
      </c>
      <c r="LD21" s="243" t="s">
        <v>2998</v>
      </c>
      <c r="LE21" s="395">
        <f>1314-LE22</f>
        <v>1179</v>
      </c>
      <c r="LF21" s="621" t="s">
        <v>2666</v>
      </c>
      <c r="LG21" s="647">
        <v>1832</v>
      </c>
      <c r="LH21" s="671" t="s">
        <v>3201</v>
      </c>
      <c r="LI21" s="395">
        <v>676.21</v>
      </c>
      <c r="LJ21" s="143" t="s">
        <v>2999</v>
      </c>
      <c r="LK21" s="286">
        <v>136.97999999999999</v>
      </c>
      <c r="LL21" s="656" t="s">
        <v>2666</v>
      </c>
      <c r="LM21" s="334">
        <v>282</v>
      </c>
      <c r="LN21" s="217" t="s">
        <v>3248</v>
      </c>
      <c r="LO21" s="395">
        <f>34.36+1.52+0.5</f>
        <v>36.380000000000003</v>
      </c>
      <c r="LP21" s="143" t="s">
        <v>2999</v>
      </c>
      <c r="LQ21" s="286"/>
      <c r="LR21" s="687" t="s">
        <v>2665</v>
      </c>
      <c r="LS21" s="259">
        <v>851</v>
      </c>
      <c r="LT21" s="463">
        <v>45348</v>
      </c>
      <c r="LU21" s="259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66" t="s">
        <v>507</v>
      </c>
      <c r="Z22" s="766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0" t="s">
        <v>2134</v>
      </c>
      <c r="IU22" s="760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3047</v>
      </c>
      <c r="KQ22" s="444">
        <v>2121.2199999999998</v>
      </c>
      <c r="KR22" s="143" t="s">
        <v>3007</v>
      </c>
      <c r="KS22" s="202">
        <v>100</v>
      </c>
      <c r="KT22" s="204" t="s">
        <v>2664</v>
      </c>
      <c r="KU22" s="259">
        <v>2600</v>
      </c>
      <c r="KV22" s="588" t="s">
        <v>3099</v>
      </c>
      <c r="KW22" s="340">
        <v>297.89999999999998</v>
      </c>
      <c r="KX22" s="254" t="s">
        <v>3125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3083</v>
      </c>
      <c r="LC22" s="619">
        <v>93.25</v>
      </c>
      <c r="LD22" s="143" t="s">
        <v>2999</v>
      </c>
      <c r="LE22" s="286">
        <v>135</v>
      </c>
      <c r="LF22" s="621" t="s">
        <v>2937</v>
      </c>
      <c r="LG22" s="259">
        <v>10</v>
      </c>
      <c r="LH22" s="652" t="s">
        <v>3193</v>
      </c>
      <c r="LI22" s="651">
        <v>9.26</v>
      </c>
      <c r="LJ22" s="143" t="s">
        <v>3066</v>
      </c>
      <c r="LK22" s="261">
        <v>42.95</v>
      </c>
      <c r="LL22" s="656" t="s">
        <v>2937</v>
      </c>
      <c r="LM22" s="259">
        <v>10</v>
      </c>
      <c r="LN22" s="683" t="s">
        <v>3270</v>
      </c>
      <c r="LO22" s="395">
        <v>288.38</v>
      </c>
      <c r="LP22" s="143" t="s">
        <v>3299</v>
      </c>
      <c r="LQ22" s="261">
        <v>153</v>
      </c>
      <c r="LR22" s="687" t="s">
        <v>2666</v>
      </c>
      <c r="LS22" s="334">
        <v>1058</v>
      </c>
      <c r="LT22" s="463">
        <v>45348</v>
      </c>
      <c r="LU22" s="334"/>
    </row>
    <row r="23" spans="1:333">
      <c r="A23" s="766" t="s">
        <v>507</v>
      </c>
      <c r="B23" s="766"/>
      <c r="E23" s="164" t="s">
        <v>237</v>
      </c>
      <c r="F23" s="166"/>
      <c r="G23" s="766" t="s">
        <v>507</v>
      </c>
      <c r="H23" s="766"/>
      <c r="K23" s="242" t="s">
        <v>1019</v>
      </c>
      <c r="L23" s="340">
        <v>0</v>
      </c>
      <c r="M23" s="764"/>
      <c r="N23" s="764"/>
      <c r="Q23" s="166" t="s">
        <v>1056</v>
      </c>
      <c r="S23" s="764"/>
      <c r="T23" s="764"/>
      <c r="W23" s="242" t="s">
        <v>1027</v>
      </c>
      <c r="X23" s="204">
        <v>0</v>
      </c>
      <c r="Y23" s="765" t="s">
        <v>990</v>
      </c>
      <c r="Z23" s="765"/>
      <c r="AE23" s="766" t="s">
        <v>507</v>
      </c>
      <c r="AF23" s="766"/>
      <c r="AK23" s="766" t="s">
        <v>507</v>
      </c>
      <c r="AL23" s="766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0" t="s">
        <v>2134</v>
      </c>
      <c r="HK23" s="76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60" t="s">
        <v>2134</v>
      </c>
      <c r="HW23" s="760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3048</v>
      </c>
      <c r="KQ23" s="444">
        <v>2597.87</v>
      </c>
      <c r="KR23" s="143" t="s">
        <v>3063</v>
      </c>
      <c r="KS23" s="274">
        <v>109.75</v>
      </c>
      <c r="KT23" s="319" t="s">
        <v>2665</v>
      </c>
      <c r="KU23" s="259">
        <v>1238</v>
      </c>
      <c r="KV23" s="593" t="s">
        <v>3083</v>
      </c>
      <c r="KW23" s="592">
        <f>5000*(1-0.9813)</f>
        <v>93.500000000000256</v>
      </c>
      <c r="KX23" s="243" t="s">
        <v>2998</v>
      </c>
      <c r="KY23" s="320">
        <f>1338.94-KY24</f>
        <v>1196.72</v>
      </c>
      <c r="KZ23" s="319" t="s">
        <v>2666</v>
      </c>
      <c r="LA23" s="334">
        <v>1072</v>
      </c>
      <c r="LB23" s="639" t="s">
        <v>3153</v>
      </c>
      <c r="LC23" s="638">
        <v>93</v>
      </c>
      <c r="LD23" s="143" t="s">
        <v>3179</v>
      </c>
      <c r="LE23" s="286">
        <v>176.86</v>
      </c>
      <c r="LF23" s="617" t="s">
        <v>3044</v>
      </c>
      <c r="LG23" s="259">
        <v>160</v>
      </c>
      <c r="LH23" s="668" t="s">
        <v>3083</v>
      </c>
      <c r="LI23" s="667">
        <v>93.25</v>
      </c>
      <c r="LJ23" s="143" t="s">
        <v>2459</v>
      </c>
      <c r="LK23" s="202">
        <v>40.950000000000003</v>
      </c>
      <c r="LL23" s="655" t="s">
        <v>3044</v>
      </c>
      <c r="LM23" s="259">
        <v>210</v>
      </c>
      <c r="LN23" s="683" t="s">
        <v>3250</v>
      </c>
      <c r="LO23" s="202">
        <v>3.95</v>
      </c>
      <c r="LP23" s="143" t="s">
        <v>2459</v>
      </c>
      <c r="LQ23" s="202">
        <v>23.1</v>
      </c>
      <c r="LR23" s="687" t="s">
        <v>2937</v>
      </c>
      <c r="LS23" s="259">
        <v>10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4"/>
      <c r="N24" s="764"/>
      <c r="Q24" s="242" t="s">
        <v>1029</v>
      </c>
      <c r="R24" s="340">
        <v>0</v>
      </c>
      <c r="S24" s="764"/>
      <c r="T24" s="764"/>
      <c r="W24" s="242" t="s">
        <v>1050</v>
      </c>
      <c r="X24" s="340">
        <v>910.17</v>
      </c>
      <c r="Y24" s="764"/>
      <c r="Z24" s="764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4"/>
      <c r="CL24" s="764"/>
      <c r="CO24" s="257" t="s">
        <v>1286</v>
      </c>
      <c r="CP24" s="204">
        <v>153.41</v>
      </c>
      <c r="CQ24" s="764" t="s">
        <v>1327</v>
      </c>
      <c r="CR24" s="764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2970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2976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3049</v>
      </c>
      <c r="KQ24" s="444">
        <v>2650.71</v>
      </c>
      <c r="KR24" s="143" t="s">
        <v>3006</v>
      </c>
      <c r="KS24" s="274">
        <v>131.87</v>
      </c>
      <c r="KT24" s="319" t="s">
        <v>2666</v>
      </c>
      <c r="KU24" s="334">
        <v>41061</v>
      </c>
      <c r="KV24" s="606" t="s">
        <v>3105</v>
      </c>
      <c r="KW24" s="327">
        <f>5000*2*(1-0.98105)</f>
        <v>189.50000000000023</v>
      </c>
      <c r="KX24" s="143" t="s">
        <v>2999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3206</v>
      </c>
      <c r="LI24" s="395">
        <v>92.25</v>
      </c>
      <c r="LJ24" s="143" t="s">
        <v>3221</v>
      </c>
      <c r="LK24" s="274">
        <v>152.15</v>
      </c>
      <c r="LL24" s="657" t="s">
        <v>2389</v>
      </c>
      <c r="LM24" s="259">
        <v>1000</v>
      </c>
      <c r="LN24" s="683" t="s">
        <v>3269</v>
      </c>
      <c r="LO24" s="202">
        <v>91.25</v>
      </c>
      <c r="LP24" s="143" t="s">
        <v>3258</v>
      </c>
      <c r="LQ24" s="202">
        <f>200+339</f>
        <v>539</v>
      </c>
      <c r="LR24" s="686" t="s">
        <v>3044</v>
      </c>
      <c r="LS24" s="259">
        <v>150</v>
      </c>
      <c r="LT24" s="463">
        <v>45338</v>
      </c>
    </row>
    <row r="25" spans="1:333">
      <c r="A25" s="764"/>
      <c r="B25" s="764"/>
      <c r="E25" s="197" t="s">
        <v>362</v>
      </c>
      <c r="F25" s="170"/>
      <c r="G25" s="764"/>
      <c r="H25" s="764"/>
      <c r="K25" s="242" t="s">
        <v>1018</v>
      </c>
      <c r="L25" s="340">
        <f>910+40</f>
        <v>950</v>
      </c>
      <c r="M25" s="764"/>
      <c r="N25" s="764"/>
      <c r="Q25" s="242" t="s">
        <v>1026</v>
      </c>
      <c r="R25" s="340">
        <v>0</v>
      </c>
      <c r="S25" s="764"/>
      <c r="T25" s="764"/>
      <c r="W25" s="143" t="s">
        <v>1085</v>
      </c>
      <c r="X25" s="340">
        <v>110.58</v>
      </c>
      <c r="Y25" s="764"/>
      <c r="Z25" s="764"/>
      <c r="AE25" s="764"/>
      <c r="AF25" s="764"/>
      <c r="AK25" s="764"/>
      <c r="AL25" s="76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4"/>
      <c r="AX25" s="764"/>
      <c r="AY25" s="143"/>
      <c r="AZ25" s="204"/>
      <c r="BA25" s="764"/>
      <c r="BB25" s="764"/>
      <c r="BE25" s="143" t="s">
        <v>1195</v>
      </c>
      <c r="BF25" s="204">
        <f>6.5*2</f>
        <v>13</v>
      </c>
      <c r="BG25" s="764"/>
      <c r="BH25" s="764"/>
      <c r="BK25" s="257" t="s">
        <v>1195</v>
      </c>
      <c r="BL25" s="204">
        <f>6.5*2</f>
        <v>13</v>
      </c>
      <c r="BM25" s="764"/>
      <c r="BN25" s="764"/>
      <c r="BQ25" s="257" t="s">
        <v>1195</v>
      </c>
      <c r="BR25" s="204">
        <v>13</v>
      </c>
      <c r="BS25" s="764"/>
      <c r="BT25" s="764"/>
      <c r="BW25" s="257" t="s">
        <v>1195</v>
      </c>
      <c r="BX25" s="204">
        <v>13</v>
      </c>
      <c r="BY25" s="764"/>
      <c r="BZ25" s="764"/>
      <c r="CC25" s="257" t="s">
        <v>1195</v>
      </c>
      <c r="CD25" s="204">
        <v>13</v>
      </c>
      <c r="CE25" s="764"/>
      <c r="CF25" s="764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79" t="s">
        <v>1536</v>
      </c>
      <c r="DZ25" s="780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0" t="s">
        <v>2134</v>
      </c>
      <c r="IC25" s="760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2977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3104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3066</v>
      </c>
      <c r="KY25" s="286">
        <v>176.15</v>
      </c>
      <c r="KZ25" s="285" t="s">
        <v>3044</v>
      </c>
      <c r="LA25" s="259">
        <v>90</v>
      </c>
      <c r="LB25" s="642"/>
      <c r="LC25" s="642"/>
      <c r="LD25" s="143" t="s">
        <v>3135</v>
      </c>
      <c r="LE25" s="202">
        <v>30</v>
      </c>
      <c r="LF25" s="630" t="s">
        <v>2941</v>
      </c>
      <c r="LG25" s="259"/>
      <c r="LH25" s="683"/>
      <c r="LI25" s="682"/>
      <c r="LJ25" s="143" t="s">
        <v>3222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3292</v>
      </c>
      <c r="LQ25" s="274">
        <f>3.87</f>
        <v>3.87</v>
      </c>
      <c r="LR25" s="688" t="s">
        <v>2389</v>
      </c>
      <c r="LS25" s="259">
        <v>1000</v>
      </c>
      <c r="LT25" s="463">
        <v>45342</v>
      </c>
    </row>
    <row r="26" spans="1:333">
      <c r="A26" s="764"/>
      <c r="B26" s="764"/>
      <c r="F26" s="194"/>
      <c r="G26" s="764"/>
      <c r="H26" s="764"/>
      <c r="M26" s="768" t="s">
        <v>506</v>
      </c>
      <c r="N26" s="768"/>
      <c r="Q26" s="242" t="s">
        <v>1019</v>
      </c>
      <c r="R26" s="340">
        <v>0</v>
      </c>
      <c r="S26" s="768" t="s">
        <v>506</v>
      </c>
      <c r="T26" s="768"/>
      <c r="W26" s="143" t="s">
        <v>1051</v>
      </c>
      <c r="X26" s="340">
        <v>60.75</v>
      </c>
      <c r="Y26" s="764"/>
      <c r="Z26" s="764"/>
      <c r="AC26" s="218" t="s">
        <v>1092</v>
      </c>
      <c r="AD26" s="218"/>
      <c r="AE26" s="768" t="s">
        <v>506</v>
      </c>
      <c r="AF26" s="76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60" t="s">
        <v>2134</v>
      </c>
      <c r="HQ26" s="760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2968</v>
      </c>
      <c r="KM26" s="202">
        <f>80+115</f>
        <v>195</v>
      </c>
      <c r="KN26" s="486" t="s">
        <v>2992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3044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3136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1195</v>
      </c>
      <c r="LQ26" s="202">
        <v>10</v>
      </c>
      <c r="LR26" s="685" t="s">
        <v>2360</v>
      </c>
      <c r="LS26" s="202"/>
    </row>
    <row r="27" spans="1:333" ht="12.75" customHeight="1">
      <c r="A27" s="764"/>
      <c r="B27" s="764"/>
      <c r="E27" s="193" t="s">
        <v>360</v>
      </c>
      <c r="F27" s="194"/>
      <c r="G27" s="764"/>
      <c r="H27" s="764"/>
      <c r="K27" s="143" t="s">
        <v>1017</v>
      </c>
      <c r="L27" s="340">
        <f>60</f>
        <v>60</v>
      </c>
      <c r="M27" s="768" t="s">
        <v>992</v>
      </c>
      <c r="N27" s="768"/>
      <c r="Q27" s="242" t="s">
        <v>1073</v>
      </c>
      <c r="R27" s="204">
        <v>200</v>
      </c>
      <c r="S27" s="768" t="s">
        <v>992</v>
      </c>
      <c r="T27" s="768"/>
      <c r="W27" s="143" t="s">
        <v>1016</v>
      </c>
      <c r="X27" s="340">
        <v>61.35</v>
      </c>
      <c r="Y27" s="768" t="s">
        <v>506</v>
      </c>
      <c r="Z27" s="768"/>
      <c r="AC27" s="218" t="s">
        <v>1088</v>
      </c>
      <c r="AD27" s="218">
        <f>53+207+63</f>
        <v>323</v>
      </c>
      <c r="AE27" s="768" t="s">
        <v>992</v>
      </c>
      <c r="AF27" s="76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3014</v>
      </c>
      <c r="KY27" s="202">
        <v>30</v>
      </c>
      <c r="KZ27" s="340" t="s">
        <v>3119</v>
      </c>
      <c r="LA27" s="340">
        <f>240-15.97</f>
        <v>224.03</v>
      </c>
      <c r="LB27" s="642"/>
      <c r="LC27" s="642"/>
      <c r="LD27" s="143" t="s">
        <v>3129</v>
      </c>
      <c r="LE27" s="274">
        <v>151.85</v>
      </c>
      <c r="LF27" s="641" t="s">
        <v>3166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56" t="s">
        <v>2834</v>
      </c>
      <c r="LO27" s="756"/>
      <c r="LP27" s="143" t="s">
        <v>2673</v>
      </c>
      <c r="LQ27" s="202">
        <f>13.57+9*2</f>
        <v>31.57</v>
      </c>
      <c r="LR27" s="693" t="s">
        <v>3285</v>
      </c>
      <c r="LS27" s="259">
        <v>1000</v>
      </c>
    </row>
    <row r="28" spans="1:333">
      <c r="A28" s="768" t="s">
        <v>506</v>
      </c>
      <c r="B28" s="768"/>
      <c r="E28" s="193" t="s">
        <v>282</v>
      </c>
      <c r="F28" s="194"/>
      <c r="G28" s="768" t="s">
        <v>506</v>
      </c>
      <c r="H28" s="768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68" t="s">
        <v>992</v>
      </c>
      <c r="Z28" s="768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60" t="s">
        <v>2134</v>
      </c>
      <c r="JA28" s="76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3070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3191</v>
      </c>
      <c r="LK28" s="202">
        <v>20</v>
      </c>
      <c r="LL28" s="657" t="s">
        <v>2941</v>
      </c>
      <c r="LM28" s="259"/>
      <c r="LN28" s="698"/>
      <c r="LP28" s="143" t="s">
        <v>2308</v>
      </c>
      <c r="LQ28" s="202">
        <f>18+16+10+11.54+17.39+17.41</f>
        <v>90.34</v>
      </c>
      <c r="LR28" s="688" t="s">
        <v>3301</v>
      </c>
      <c r="LS28" s="259">
        <v>5000</v>
      </c>
    </row>
    <row r="29" spans="1:333">
      <c r="A29" s="768" t="s">
        <v>992</v>
      </c>
      <c r="B29" s="768"/>
      <c r="E29" s="193" t="s">
        <v>372</v>
      </c>
      <c r="F29" s="194"/>
      <c r="G29" s="768" t="s">
        <v>992</v>
      </c>
      <c r="H29" s="768"/>
      <c r="K29" s="143" t="s">
        <v>1015</v>
      </c>
      <c r="L29" s="340">
        <v>64</v>
      </c>
      <c r="M29" s="764" t="s">
        <v>385</v>
      </c>
      <c r="N29" s="764"/>
      <c r="S29" s="764" t="s">
        <v>385</v>
      </c>
      <c r="T29" s="764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64" t="s">
        <v>385</v>
      </c>
      <c r="AF29" s="76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3205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3060</v>
      </c>
      <c r="KS29" s="202">
        <v>400.92</v>
      </c>
      <c r="KT29" s="477" t="s">
        <v>3035</v>
      </c>
      <c r="KU29" s="202">
        <v>1202.04</v>
      </c>
      <c r="KV29" s="604"/>
      <c r="KW29" s="603"/>
      <c r="KX29" s="143" t="s">
        <v>3100</v>
      </c>
      <c r="KY29" s="202">
        <v>57.3</v>
      </c>
      <c r="KZ29" s="325" t="s">
        <v>2407</v>
      </c>
      <c r="LA29" s="202"/>
      <c r="LB29" s="635"/>
      <c r="LC29" s="635"/>
      <c r="LD29" s="143" t="s">
        <v>3149</v>
      </c>
      <c r="LE29" s="202">
        <v>67.8</v>
      </c>
      <c r="LF29" s="634" t="s">
        <v>3176</v>
      </c>
      <c r="LG29" s="259">
        <f>52.8*2</f>
        <v>105.6</v>
      </c>
      <c r="LJ29" s="297" t="s">
        <v>3235</v>
      </c>
      <c r="LK29" s="202">
        <v>5</v>
      </c>
      <c r="LL29" s="664"/>
      <c r="LM29" s="202"/>
      <c r="LP29" s="297" t="s">
        <v>3306</v>
      </c>
      <c r="LQ29" s="202">
        <v>20</v>
      </c>
      <c r="LR29" s="688" t="s">
        <v>2941</v>
      </c>
      <c r="LS29" s="259"/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7" t="s">
        <v>1001</v>
      </c>
      <c r="N30" s="767"/>
      <c r="Q30" s="143" t="s">
        <v>1052</v>
      </c>
      <c r="R30" s="340">
        <v>26</v>
      </c>
      <c r="S30" s="767" t="s">
        <v>1001</v>
      </c>
      <c r="T30" s="767"/>
      <c r="Y30" s="764" t="s">
        <v>385</v>
      </c>
      <c r="Z30" s="764"/>
      <c r="AC30" s="340" t="s">
        <v>1090</v>
      </c>
      <c r="AD30" s="340">
        <v>10</v>
      </c>
      <c r="AE30" s="767" t="s">
        <v>1001</v>
      </c>
      <c r="AF30" s="767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3032</v>
      </c>
      <c r="KA30" s="202">
        <f>64+30.9</f>
        <v>94.9</v>
      </c>
      <c r="KB30" s="340" t="s">
        <v>93</v>
      </c>
      <c r="KD30" s="312" t="s">
        <v>2978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2960</v>
      </c>
      <c r="KM30" s="335">
        <v>44.55</v>
      </c>
      <c r="KN30" s="325" t="s">
        <v>2407</v>
      </c>
      <c r="KO30" s="202"/>
      <c r="KP30" s="528"/>
      <c r="KQ30" s="528"/>
      <c r="KR30" s="297" t="s">
        <v>3022</v>
      </c>
      <c r="KS30" s="202">
        <f>5+0.99</f>
        <v>5.99</v>
      </c>
      <c r="KT30" s="477" t="s">
        <v>3043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3188</v>
      </c>
      <c r="LG30" s="259">
        <v>28.82</v>
      </c>
      <c r="LH30" s="649" t="s">
        <v>2653</v>
      </c>
      <c r="LI30" s="649"/>
      <c r="LJ30" s="297" t="s">
        <v>3190</v>
      </c>
      <c r="LK30" s="202">
        <v>10.6</v>
      </c>
      <c r="LL30" s="666"/>
      <c r="LM30" s="202"/>
      <c r="LN30" s="680" t="s">
        <v>2653</v>
      </c>
      <c r="LO30" s="703"/>
      <c r="LP30" s="297" t="s">
        <v>3281</v>
      </c>
      <c r="LQ30" s="202">
        <v>387.83</v>
      </c>
      <c r="LR30" s="685" t="s">
        <v>2407</v>
      </c>
      <c r="LS30" s="202"/>
      <c r="LT30" s="202"/>
    </row>
    <row r="31" spans="1:333" ht="12.75" customHeight="1">
      <c r="A31" s="764" t="s">
        <v>385</v>
      </c>
      <c r="B31" s="764"/>
      <c r="E31" s="170"/>
      <c r="F31" s="170"/>
      <c r="G31" s="764" t="s">
        <v>385</v>
      </c>
      <c r="H31" s="764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7" t="s">
        <v>1001</v>
      </c>
      <c r="Z31" s="767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72" t="s">
        <v>1438</v>
      </c>
      <c r="DP31" s="772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2996</v>
      </c>
      <c r="KO31" s="202">
        <v>3.54</v>
      </c>
      <c r="KQ31" s="285"/>
      <c r="KR31" s="297" t="s">
        <v>3054</v>
      </c>
      <c r="KS31" s="202">
        <v>43.9</v>
      </c>
      <c r="KT31" s="325" t="s">
        <v>3052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3227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3268</v>
      </c>
      <c r="LQ31" s="202">
        <v>80</v>
      </c>
      <c r="LR31" s="708" t="s">
        <v>3291</v>
      </c>
      <c r="LS31" s="682">
        <v>8</v>
      </c>
      <c r="LT31" s="202"/>
    </row>
    <row r="32" spans="1:333">
      <c r="A32" s="767" t="s">
        <v>1001</v>
      </c>
      <c r="B32" s="767"/>
      <c r="C32" s="244"/>
      <c r="D32" s="244"/>
      <c r="E32" s="244"/>
      <c r="F32" s="244"/>
      <c r="G32" s="767" t="s">
        <v>1001</v>
      </c>
      <c r="H32" s="767"/>
      <c r="K32" s="241" t="s">
        <v>1021</v>
      </c>
      <c r="L32" s="241"/>
      <c r="M32" s="770" t="s">
        <v>1034</v>
      </c>
      <c r="N32" s="770"/>
      <c r="Q32" s="143" t="s">
        <v>1016</v>
      </c>
      <c r="R32" s="340">
        <v>77.239999999999995</v>
      </c>
      <c r="S32" s="770" t="s">
        <v>1034</v>
      </c>
      <c r="T32" s="770"/>
      <c r="Y32" s="765" t="s">
        <v>243</v>
      </c>
      <c r="Z32" s="765"/>
      <c r="AC32" s="196" t="s">
        <v>1012</v>
      </c>
      <c r="AD32" s="340">
        <v>350</v>
      </c>
      <c r="AE32" s="770" t="s">
        <v>1034</v>
      </c>
      <c r="AF32" s="77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5" t="s">
        <v>1411</v>
      </c>
      <c r="DB32" s="7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60" t="s">
        <v>2134</v>
      </c>
      <c r="IO32" s="760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3302</v>
      </c>
      <c r="KM32" s="335">
        <v>36.5</v>
      </c>
      <c r="KN32" s="340" t="s">
        <v>2962</v>
      </c>
      <c r="KO32" s="202">
        <v>58.2</v>
      </c>
      <c r="KR32" s="297" t="s">
        <v>3074</v>
      </c>
      <c r="KS32" s="202">
        <v>24.5</v>
      </c>
      <c r="KT32" s="325"/>
      <c r="KU32" s="202"/>
      <c r="KV32" s="620"/>
      <c r="KW32" s="619"/>
      <c r="KX32" s="297" t="s">
        <v>3102</v>
      </c>
      <c r="KY32" s="202">
        <v>40</v>
      </c>
      <c r="KZ32" s="612"/>
      <c r="LD32" s="297" t="s">
        <v>3167</v>
      </c>
      <c r="LE32" s="202">
        <v>40</v>
      </c>
      <c r="LF32" s="646"/>
      <c r="LH32" s="312" t="s">
        <v>2984</v>
      </c>
      <c r="LI32" s="260">
        <f>SUM(LK20:LK20)</f>
        <v>1154.33</v>
      </c>
      <c r="LJ32" s="297" t="s">
        <v>3236</v>
      </c>
      <c r="LK32" s="335">
        <v>43.76</v>
      </c>
      <c r="LL32" s="676" t="s">
        <v>3214</v>
      </c>
      <c r="LM32" s="202">
        <v>37.99</v>
      </c>
      <c r="LN32" s="312" t="s">
        <v>2984</v>
      </c>
      <c r="LO32" s="261">
        <f>SUM(LQ18:LQ20)</f>
        <v>1000</v>
      </c>
      <c r="LP32" s="297" t="s">
        <v>3255</v>
      </c>
      <c r="LQ32" s="202">
        <v>78.650000000000006</v>
      </c>
      <c r="LT32" s="202"/>
    </row>
    <row r="33" spans="1:333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0" t="s">
        <v>1034</v>
      </c>
      <c r="Z33" s="77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3031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3305</v>
      </c>
      <c r="KM33" s="335">
        <v>50.1</v>
      </c>
      <c r="KN33" s="325" t="s">
        <v>2973</v>
      </c>
      <c r="KO33" s="202">
        <v>16.3</v>
      </c>
      <c r="KR33" s="297" t="s">
        <v>3055</v>
      </c>
      <c r="KS33" s="335">
        <v>48.11</v>
      </c>
      <c r="KT33" s="325"/>
      <c r="KU33" s="202"/>
      <c r="KV33" s="620"/>
      <c r="KW33" s="619"/>
      <c r="KX33" s="297" t="s">
        <v>3089</v>
      </c>
      <c r="KY33" s="202">
        <v>10</v>
      </c>
      <c r="KZ33" s="597"/>
      <c r="LA33" s="202"/>
      <c r="LD33" s="297" t="s">
        <v>3150</v>
      </c>
      <c r="LE33" s="202">
        <f>530+3</f>
        <v>533</v>
      </c>
      <c r="LF33" s="623" t="s">
        <v>3009</v>
      </c>
      <c r="LH33" s="446" t="s">
        <v>2972</v>
      </c>
      <c r="LI33" s="259">
        <f>SUM(LK8:LK9)</f>
        <v>393.36</v>
      </c>
      <c r="LJ33" s="297" t="s">
        <v>3219</v>
      </c>
      <c r="LK33" s="335">
        <f>15.1+24.6</f>
        <v>39.700000000000003</v>
      </c>
      <c r="LL33" s="676" t="s">
        <v>3234</v>
      </c>
      <c r="LM33" s="202">
        <v>10184</v>
      </c>
      <c r="LN33" s="446" t="s">
        <v>2972</v>
      </c>
      <c r="LO33" s="202">
        <f>SUM(LQ10:LQ11)</f>
        <v>3219.09</v>
      </c>
      <c r="LP33" s="297" t="s">
        <v>3290</v>
      </c>
      <c r="LQ33" s="202">
        <f>9.79+12.29</f>
        <v>22.08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2994</v>
      </c>
      <c r="KM34" s="335">
        <v>121.7</v>
      </c>
      <c r="KN34" s="325" t="s">
        <v>2974</v>
      </c>
      <c r="KO34" s="202">
        <v>52.8</v>
      </c>
      <c r="KR34" s="297" t="s">
        <v>3056</v>
      </c>
      <c r="KS34" s="335">
        <v>60.23</v>
      </c>
      <c r="KT34" s="325"/>
      <c r="KU34" s="202"/>
      <c r="KV34" s="609"/>
      <c r="KW34" s="608"/>
      <c r="KX34" s="297" t="s">
        <v>3088</v>
      </c>
      <c r="KY34" s="202">
        <v>13.5</v>
      </c>
      <c r="KZ34" s="325" t="s">
        <v>3009</v>
      </c>
      <c r="LD34" s="297" t="s">
        <v>3156</v>
      </c>
      <c r="LE34" s="202">
        <v>42.9</v>
      </c>
      <c r="LF34" s="623" t="s">
        <v>3154</v>
      </c>
      <c r="LH34" s="301" t="s">
        <v>3189</v>
      </c>
      <c r="LI34" s="259">
        <f>SUM(LK10:LK16)</f>
        <v>1005.08</v>
      </c>
      <c r="LJ34" s="297" t="s">
        <v>3209</v>
      </c>
      <c r="LK34" s="335">
        <v>50.36</v>
      </c>
      <c r="LL34" s="663" t="s">
        <v>3188</v>
      </c>
      <c r="LM34" s="202">
        <v>28.82</v>
      </c>
      <c r="LN34" s="301" t="s">
        <v>3189</v>
      </c>
      <c r="LO34" s="202">
        <f>SUM(LQ12:LQ15)</f>
        <v>1348.41</v>
      </c>
      <c r="LP34" s="297" t="s">
        <v>3279</v>
      </c>
      <c r="LQ34" s="335">
        <v>32</v>
      </c>
      <c r="LT34" s="202"/>
      <c r="LU34" s="706"/>
    </row>
    <row r="35" spans="1:333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2975</v>
      </c>
      <c r="KO35" s="202">
        <v>57.6</v>
      </c>
      <c r="KP35" s="460" t="s">
        <v>2653</v>
      </c>
      <c r="KQ35" s="460"/>
      <c r="KR35" s="297" t="s">
        <v>3304</v>
      </c>
      <c r="KS35" s="335">
        <v>40.4</v>
      </c>
      <c r="KT35" s="325" t="s">
        <v>3009</v>
      </c>
      <c r="KV35" s="608"/>
      <c r="KW35" s="608"/>
      <c r="KX35" s="297" t="s">
        <v>3103</v>
      </c>
      <c r="KY35" s="202">
        <f>12.5+36</f>
        <v>48.5</v>
      </c>
      <c r="KZ35" s="325" t="s">
        <v>3081</v>
      </c>
      <c r="LA35" s="285"/>
      <c r="LB35" s="618" t="s">
        <v>2653</v>
      </c>
      <c r="LC35" s="618"/>
      <c r="LD35" s="297" t="s">
        <v>3157</v>
      </c>
      <c r="LE35" s="202">
        <v>36.9</v>
      </c>
      <c r="LF35" s="619" t="s">
        <v>506</v>
      </c>
      <c r="LH35" s="256" t="s">
        <v>2980</v>
      </c>
      <c r="LI35" s="331">
        <f>SUM(LK17:LK19)</f>
        <v>685.72</v>
      </c>
      <c r="LJ35" s="297" t="s">
        <v>3211</v>
      </c>
      <c r="LK35" s="335">
        <v>172.3</v>
      </c>
      <c r="LL35" s="657" t="s">
        <v>3204</v>
      </c>
      <c r="LM35" s="202">
        <v>21.1</v>
      </c>
      <c r="LN35" s="256" t="s">
        <v>3297</v>
      </c>
      <c r="LO35" s="395">
        <f>SUM(LQ16:LQ17)</f>
        <v>151.37</v>
      </c>
      <c r="LP35" s="297" t="s">
        <v>3302</v>
      </c>
      <c r="LQ35" s="335">
        <v>36.799999999999997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77" t="s">
        <v>1536</v>
      </c>
      <c r="DT36" s="778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3069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3205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3058</v>
      </c>
      <c r="KS36" s="335">
        <f>30.8+1.8+1</f>
        <v>33.6</v>
      </c>
      <c r="KT36" s="325" t="s">
        <v>3008</v>
      </c>
      <c r="KU36" s="285"/>
      <c r="KV36" s="609"/>
      <c r="KW36" s="608"/>
      <c r="KX36" s="297" t="s">
        <v>3092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3175</v>
      </c>
      <c r="LE36" s="335">
        <v>12</v>
      </c>
      <c r="LF36" s="619" t="s">
        <v>3018</v>
      </c>
      <c r="LH36" s="448" t="s">
        <v>2835</v>
      </c>
      <c r="LI36" s="259">
        <f>SUM(LK21:LK27)</f>
        <v>648.76</v>
      </c>
      <c r="LJ36" s="297" t="s">
        <v>3228</v>
      </c>
      <c r="LK36" s="335">
        <v>37.4</v>
      </c>
      <c r="LL36" s="654" t="s">
        <v>3009</v>
      </c>
      <c r="LN36" s="448" t="s">
        <v>2835</v>
      </c>
      <c r="LO36" s="202">
        <f>SUM(LQ21:LQ28)</f>
        <v>850.88000000000011</v>
      </c>
      <c r="LP36" s="297" t="s">
        <v>3293</v>
      </c>
      <c r="LQ36" s="335">
        <v>38.9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2984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2984</v>
      </c>
      <c r="KQ37" s="260">
        <f>SUM(KS17:KS17)</f>
        <v>1223.29</v>
      </c>
      <c r="KR37" s="297" t="s">
        <v>3075</v>
      </c>
      <c r="KS37" s="335">
        <f>7.5+7.5</f>
        <v>15</v>
      </c>
      <c r="KT37" s="325" t="s">
        <v>3073</v>
      </c>
      <c r="KX37" s="297" t="s">
        <v>3111</v>
      </c>
      <c r="KY37" s="202">
        <v>707.68</v>
      </c>
      <c r="KZ37" s="340" t="s">
        <v>506</v>
      </c>
      <c r="LB37" s="312" t="s">
        <v>2984</v>
      </c>
      <c r="LC37" s="260">
        <f>SUM(LE20:LE21)</f>
        <v>11479</v>
      </c>
      <c r="LD37" s="297" t="s">
        <v>3161</v>
      </c>
      <c r="LE37" s="335">
        <f>34.12+23.77</f>
        <v>57.89</v>
      </c>
      <c r="LF37" s="619" t="s">
        <v>3017</v>
      </c>
      <c r="LH37" s="297" t="s">
        <v>2128</v>
      </c>
      <c r="LI37" s="259">
        <f>SUM(LK28:LK37)</f>
        <v>481.59999999999997</v>
      </c>
      <c r="LJ37" s="297" t="s">
        <v>3226</v>
      </c>
      <c r="LK37" s="335">
        <v>6.5</v>
      </c>
      <c r="LL37" s="654" t="s">
        <v>3154</v>
      </c>
      <c r="LN37" s="297" t="s">
        <v>2128</v>
      </c>
      <c r="LO37" s="202">
        <f>SUM(LQ29:LQ38)</f>
        <v>696.26</v>
      </c>
      <c r="LP37" s="297" t="s">
        <v>1862</v>
      </c>
      <c r="LQ37" s="335"/>
      <c r="LR37" s="685" t="s">
        <v>3009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2972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2979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3280</v>
      </c>
      <c r="KY38" s="202">
        <f>1264.52+12.65</f>
        <v>1277.17</v>
      </c>
      <c r="KZ38" s="340" t="s">
        <v>3018</v>
      </c>
      <c r="LB38" s="446" t="s">
        <v>2972</v>
      </c>
      <c r="LC38" s="259">
        <f>SUM(LE9:LE12)</f>
        <v>3622.06</v>
      </c>
      <c r="LD38" s="297" t="s">
        <v>3162</v>
      </c>
      <c r="LE38" s="335">
        <f>7.5*2+38.7</f>
        <v>53.7</v>
      </c>
      <c r="LF38" s="619" t="s">
        <v>3016</v>
      </c>
      <c r="LH38" s="297" t="s">
        <v>2857</v>
      </c>
      <c r="LI38" s="551">
        <f>SUM(LK30:LK37)</f>
        <v>456.59999999999997</v>
      </c>
      <c r="LJ38" s="217" t="s">
        <v>3205</v>
      </c>
      <c r="LK38" s="274">
        <f>97+232+92</f>
        <v>421</v>
      </c>
      <c r="LL38" s="651" t="s">
        <v>506</v>
      </c>
      <c r="LN38" s="297" t="s">
        <v>2857</v>
      </c>
      <c r="LO38" s="704">
        <f>SUM(LQ32:LQ38)</f>
        <v>208.43000000000004</v>
      </c>
      <c r="LP38" s="297" t="s">
        <v>1862</v>
      </c>
      <c r="LQ38" s="335"/>
      <c r="LR38" s="685" t="s">
        <v>3288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2" t="s">
        <v>1438</v>
      </c>
      <c r="DJ39" s="77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2979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2980</v>
      </c>
      <c r="KQ39" s="331">
        <f>SUM(KS14:KS16)</f>
        <v>325.95000000000005</v>
      </c>
      <c r="KR39" s="217" t="s">
        <v>3205</v>
      </c>
      <c r="KS39" s="274">
        <v>547</v>
      </c>
      <c r="KT39" s="340" t="s">
        <v>506</v>
      </c>
      <c r="KX39" s="297" t="s">
        <v>3137</v>
      </c>
      <c r="KY39" s="335">
        <v>31.96</v>
      </c>
      <c r="KZ39" s="340" t="s">
        <v>3017</v>
      </c>
      <c r="LB39" s="301" t="s">
        <v>2979</v>
      </c>
      <c r="LC39" s="259">
        <f>SUM(LE13:LE17)</f>
        <v>825.89</v>
      </c>
      <c r="LD39" s="297" t="s">
        <v>3164</v>
      </c>
      <c r="LE39" s="335">
        <v>32.5</v>
      </c>
      <c r="LF39" s="617" t="s">
        <v>2956</v>
      </c>
      <c r="LJ39" s="538">
        <v>22.09</v>
      </c>
      <c r="LK39" s="274"/>
      <c r="LL39" s="651" t="s">
        <v>3018</v>
      </c>
      <c r="LP39" s="217" t="s">
        <v>3205</v>
      </c>
      <c r="LQ39" s="274">
        <f>356+144</f>
        <v>500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60" t="s">
        <v>2134</v>
      </c>
      <c r="II40" s="760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2980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3018</v>
      </c>
      <c r="KX40" s="297" t="s">
        <v>3117</v>
      </c>
      <c r="KY40" s="202">
        <f>21.3+22.3</f>
        <v>43.6</v>
      </c>
      <c r="KZ40" s="340" t="s">
        <v>3016</v>
      </c>
      <c r="LB40" s="254" t="s">
        <v>2980</v>
      </c>
      <c r="LC40" s="331">
        <f>SUM(LE18:LE19)</f>
        <v>135.16</v>
      </c>
      <c r="LD40" s="217" t="s">
        <v>3205</v>
      </c>
      <c r="LE40" s="274">
        <f>385+59</f>
        <v>444</v>
      </c>
      <c r="LH40" s="309" t="s">
        <v>3225</v>
      </c>
      <c r="LI40" s="561">
        <v>300</v>
      </c>
      <c r="LJ40" s="539" t="s">
        <v>1411</v>
      </c>
      <c r="LK40" s="540">
        <f>LG23+LI40-LM23</f>
        <v>250</v>
      </c>
      <c r="LL40" s="651" t="s">
        <v>3017</v>
      </c>
      <c r="LN40" s="309" t="s">
        <v>3263</v>
      </c>
      <c r="LO40" s="705">
        <v>600</v>
      </c>
      <c r="LP40" s="538">
        <v>35.700000000000003</v>
      </c>
      <c r="LQ40" s="274"/>
      <c r="LR40" s="682" t="s">
        <v>3018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2978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3017</v>
      </c>
      <c r="KX41" s="297" t="s">
        <v>3118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3185</v>
      </c>
      <c r="LL41" s="651" t="s">
        <v>3016</v>
      </c>
      <c r="LP41" s="539"/>
      <c r="LQ41" s="540">
        <f>LM23+LO40-LS24</f>
        <v>660</v>
      </c>
      <c r="LR41" s="682" t="s">
        <v>3017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3016</v>
      </c>
      <c r="KV42" s="460" t="s">
        <v>2653</v>
      </c>
      <c r="KW42" s="460"/>
      <c r="KX42" s="297" t="s">
        <v>3303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3186</v>
      </c>
      <c r="LL42" s="655" t="s">
        <v>2956</v>
      </c>
      <c r="LO42" s="286"/>
      <c r="LP42" s="543">
        <v>600</v>
      </c>
      <c r="LQ42" s="540" t="s">
        <v>3277</v>
      </c>
      <c r="LR42" s="682" t="s">
        <v>3016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3024</v>
      </c>
      <c r="KT43" s="285" t="s">
        <v>2956</v>
      </c>
      <c r="KV43" s="445" t="s">
        <v>1927</v>
      </c>
      <c r="KW43" s="260">
        <f>SUM(KY6:KY7)</f>
        <v>1950.12</v>
      </c>
      <c r="KX43" s="297" t="s">
        <v>3138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3142</v>
      </c>
      <c r="LI43" s="655"/>
      <c r="LJ43" s="543">
        <v>30</v>
      </c>
      <c r="LK43" s="548" t="s">
        <v>3192</v>
      </c>
      <c r="LO43" s="286"/>
      <c r="LP43" s="543">
        <v>40</v>
      </c>
      <c r="LQ43" s="556" t="s">
        <v>3282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3028</v>
      </c>
      <c r="KQ44" s="561">
        <v>100</v>
      </c>
      <c r="KR44" s="543">
        <v>10</v>
      </c>
      <c r="KS44" s="548" t="s">
        <v>3071</v>
      </c>
      <c r="KV44" s="312" t="s">
        <v>2984</v>
      </c>
      <c r="KW44" s="260">
        <f>SUM(KY23:KY23)</f>
        <v>1196.72</v>
      </c>
      <c r="KX44" s="297" t="s">
        <v>3139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543">
        <v>10</v>
      </c>
      <c r="LQ44" s="556" t="s">
        <v>1012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3072</v>
      </c>
      <c r="KT45" s="340" t="s">
        <v>2954</v>
      </c>
      <c r="KV45" s="446" t="s">
        <v>2972</v>
      </c>
      <c r="KW45" s="259">
        <v>0</v>
      </c>
      <c r="KX45" s="297" t="s">
        <v>3127</v>
      </c>
      <c r="KY45" s="335">
        <f>40.5+66.1</f>
        <v>106.6</v>
      </c>
      <c r="LB45" s="309" t="s">
        <v>3168</v>
      </c>
      <c r="LC45" s="561">
        <v>200</v>
      </c>
      <c r="LD45" s="543">
        <v>20</v>
      </c>
      <c r="LE45" s="548" t="s">
        <v>3183</v>
      </c>
      <c r="LJ45" s="543">
        <v>13</v>
      </c>
      <c r="LK45" s="548" t="s">
        <v>3212</v>
      </c>
      <c r="LL45" s="651" t="s">
        <v>2955</v>
      </c>
      <c r="LP45" s="699" t="s">
        <v>3261</v>
      </c>
      <c r="LQ45" s="491">
        <f>212.55-160-14.41</f>
        <v>38.140000000000015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2983</v>
      </c>
      <c r="KQ46" s="285"/>
      <c r="KR46" s="340" t="s">
        <v>3029</v>
      </c>
      <c r="KS46" s="340">
        <v>120</v>
      </c>
      <c r="KT46" s="340" t="s">
        <v>2955</v>
      </c>
      <c r="KV46" s="301" t="s">
        <v>2979</v>
      </c>
      <c r="KW46" s="259">
        <f>SUM(KY8:KY13)</f>
        <v>1272.93</v>
      </c>
      <c r="KX46" s="297" t="s">
        <v>3126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3247</v>
      </c>
      <c r="LP46" s="700" t="s">
        <v>3271</v>
      </c>
      <c r="LQ46" s="682">
        <v>300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3205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3025</v>
      </c>
      <c r="KS47" s="340">
        <v>82.45</v>
      </c>
      <c r="KV47" s="254" t="s">
        <v>2980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3094</v>
      </c>
      <c r="LC47" s="617"/>
      <c r="LD47" s="543">
        <v>7</v>
      </c>
      <c r="LE47" s="548" t="s">
        <v>3158</v>
      </c>
      <c r="LJ47" s="543">
        <v>50</v>
      </c>
      <c r="LK47" s="218" t="s">
        <v>2983</v>
      </c>
      <c r="LP47" s="682" t="s">
        <v>3276</v>
      </c>
      <c r="LQ47" s="682">
        <v>27.5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2986</v>
      </c>
      <c r="KR48" s="562" t="s">
        <v>3034</v>
      </c>
      <c r="KS48" s="491">
        <v>50</v>
      </c>
      <c r="KV48" s="448" t="s">
        <v>2835</v>
      </c>
      <c r="KW48" s="259">
        <f>SUM(KY24:KY31)</f>
        <v>699.97</v>
      </c>
      <c r="KX48" s="217" t="s">
        <v>3205</v>
      </c>
      <c r="KY48" s="274">
        <f>194+179+2</f>
        <v>375</v>
      </c>
      <c r="LB48" s="619" t="s">
        <v>3095</v>
      </c>
      <c r="LC48" s="617"/>
      <c r="LD48" s="543">
        <v>30</v>
      </c>
      <c r="LE48" s="548" t="s">
        <v>3181</v>
      </c>
      <c r="LJ48" s="543">
        <v>40</v>
      </c>
      <c r="LK48" s="218" t="s">
        <v>3238</v>
      </c>
      <c r="LP48" s="711" t="s">
        <v>3289</v>
      </c>
      <c r="LQ48" s="710" t="s">
        <v>3284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8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2967</v>
      </c>
      <c r="KM49" s="340">
        <v>7.2</v>
      </c>
      <c r="KR49" s="340" t="s">
        <v>3057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3141</v>
      </c>
      <c r="LE49" s="491">
        <f>7.77+2.71</f>
        <v>10.48</v>
      </c>
      <c r="LJ49" s="657" t="s">
        <v>3232</v>
      </c>
      <c r="LK49" s="202">
        <v>28.72</v>
      </c>
      <c r="LP49" s="711" t="s">
        <v>3300</v>
      </c>
      <c r="LQ49" s="261">
        <v>17.5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81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2965</v>
      </c>
      <c r="KM50" s="340">
        <v>32.4</v>
      </c>
      <c r="KR50" s="217" t="s">
        <v>3042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3148</v>
      </c>
      <c r="LE50" s="619">
        <v>6.3</v>
      </c>
      <c r="LJ50" s="676" t="s">
        <v>3233</v>
      </c>
      <c r="LK50" s="202">
        <v>39.75</v>
      </c>
      <c r="LQ50" s="491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8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2966</v>
      </c>
      <c r="KM51" s="456">
        <v>1746</v>
      </c>
      <c r="KR51" s="562" t="s">
        <v>3061</v>
      </c>
      <c r="KS51" s="491">
        <v>19.07</v>
      </c>
      <c r="KX51" s="543">
        <v>20</v>
      </c>
      <c r="KY51" s="556" t="s">
        <v>3080</v>
      </c>
      <c r="LD51" s="562" t="s">
        <v>3147</v>
      </c>
      <c r="LE51" s="491">
        <v>6.8</v>
      </c>
      <c r="LJ51" s="562" t="s">
        <v>3198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8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3101</v>
      </c>
      <c r="KW52" s="561">
        <v>200</v>
      </c>
      <c r="KX52" s="543">
        <v>10</v>
      </c>
      <c r="KY52" s="548" t="s">
        <v>3082</v>
      </c>
      <c r="LD52" s="619" t="s">
        <v>3163</v>
      </c>
      <c r="LE52" s="619">
        <f>53.6+6.5</f>
        <v>60.1</v>
      </c>
      <c r="LJ52" s="651" t="s">
        <v>3197</v>
      </c>
      <c r="LK52" s="202">
        <v>680</v>
      </c>
      <c r="LQ52" s="339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3178</v>
      </c>
      <c r="LE53" s="619">
        <v>70</v>
      </c>
      <c r="LJ53" s="670" t="s">
        <v>3199</v>
      </c>
      <c r="LK53" s="491">
        <v>262</v>
      </c>
      <c r="LQ53" s="683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3128</v>
      </c>
      <c r="LE54" s="620"/>
      <c r="LJ54" s="651" t="s">
        <v>3203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3113</v>
      </c>
      <c r="LJ55" s="677" t="s">
        <v>3237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3112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3103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3109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3110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3116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3093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2024-02-26T12:15:51Z</dcterms:modified>
</cp:coreProperties>
</file>