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DAE6B36-DF87-4787-A419-D951485EFD13}" xr6:coauthVersionLast="47" xr6:coauthVersionMax="47" xr10:uidLastSave="{00000000-0000-0000-0000-000000000000}"/>
  <bookViews>
    <workbookView xWindow="0" yWindow="0" windowWidth="13875" windowHeight="21600" firstSheet="1" activeTab="1" xr2:uid="{D4D1A54F-01AE-4300-8644-B16194D9355C}"/>
  </bookViews>
  <sheets>
    <sheet name="Fli2pm 200k" sheetId="6" state="hidden" r:id="rId1"/>
    <sheet name="FLI2PF" sheetId="5" r:id="rId2"/>
    <sheet name="FWD" sheetId="8" r:id="rId3"/>
    <sheet name="overlap ptf" sheetId="4" r:id="rId4"/>
    <sheet name="FLI2" sheetId="1" r:id="rId5"/>
    <sheet name="xirr test" sheetId="3" r:id="rId6"/>
    <sheet name="LTIS" sheetId="2" state="hidden" r:id="rId7"/>
    <sheet name="Taiping" sheetId="7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J5" i="5"/>
  <c r="K7" i="4" l="1"/>
  <c r="D9" i="5" l="1"/>
  <c r="D3" i="8" l="1"/>
  <c r="D29" i="8" s="1"/>
  <c r="K5" i="5"/>
  <c r="J5" i="8"/>
  <c r="I5" i="8"/>
  <c r="I3" i="8"/>
  <c r="D9" i="8"/>
  <c r="D4" i="8"/>
  <c r="D10" i="8" l="1"/>
  <c r="A4" i="8"/>
  <c r="G6" i="8"/>
  <c r="A5" i="8"/>
  <c r="K4" i="8" l="1"/>
  <c r="K3" i="8"/>
  <c r="K5" i="8"/>
  <c r="D17" i="8"/>
  <c r="D25" i="8"/>
  <c r="D18" i="8"/>
  <c r="D26" i="8"/>
  <c r="D19" i="8"/>
  <c r="D27" i="8"/>
  <c r="D12" i="8"/>
  <c r="D22" i="8"/>
  <c r="D15" i="8"/>
  <c r="D23" i="8"/>
  <c r="D16" i="8"/>
  <c r="B16" i="8" s="1"/>
  <c r="D20" i="8"/>
  <c r="D28" i="8"/>
  <c r="D13" i="8"/>
  <c r="D21" i="8"/>
  <c r="D14" i="8"/>
  <c r="D24" i="8"/>
  <c r="D3" i="7"/>
  <c r="A3" i="7" s="1"/>
  <c r="D5" i="7"/>
  <c r="D6" i="7"/>
  <c r="D7" i="7"/>
  <c r="A12" i="7" s="1"/>
  <c r="D8" i="7"/>
  <c r="D9" i="7"/>
  <c r="D11" i="7"/>
  <c r="B12" i="7"/>
  <c r="D12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B30" i="7"/>
  <c r="D30" i="7"/>
  <c r="A19" i="7" l="1"/>
  <c r="A6" i="7"/>
  <c r="A25" i="7"/>
  <c r="A17" i="7"/>
  <c r="A11" i="7"/>
  <c r="K6" i="8"/>
  <c r="D6" i="8" s="1"/>
  <c r="B29" i="8" s="1"/>
  <c r="A13" i="8"/>
  <c r="A22" i="8"/>
  <c r="A9" i="7"/>
  <c r="A21" i="7"/>
  <c r="A15" i="7"/>
  <c r="A8" i="7"/>
  <c r="A14" i="7"/>
  <c r="A7" i="7"/>
  <c r="A23" i="7"/>
  <c r="A29" i="7"/>
  <c r="A5" i="7"/>
  <c r="A27" i="7"/>
  <c r="A30" i="7"/>
  <c r="A28" i="7"/>
  <c r="A26" i="7"/>
  <c r="A24" i="7"/>
  <c r="A22" i="7"/>
  <c r="A20" i="7"/>
  <c r="A18" i="7"/>
  <c r="A16" i="7"/>
  <c r="A4" i="7"/>
  <c r="A14" i="8" l="1"/>
  <c r="A7" i="8"/>
  <c r="A9" i="8"/>
  <c r="A27" i="8"/>
  <c r="A17" i="8"/>
  <c r="A21" i="8"/>
  <c r="A23" i="8"/>
  <c r="A18" i="8"/>
  <c r="A8" i="8"/>
  <c r="A10" i="8"/>
  <c r="B10" i="8" s="1"/>
  <c r="A15" i="8"/>
  <c r="A16" i="8"/>
  <c r="A28" i="8"/>
  <c r="A29" i="8"/>
  <c r="A19" i="8"/>
  <c r="A25" i="8"/>
  <c r="A20" i="8"/>
  <c r="A6" i="8"/>
  <c r="A24" i="8"/>
  <c r="A26" i="8"/>
  <c r="A12" i="8"/>
  <c r="G12" i="4"/>
  <c r="K11" i="4"/>
  <c r="G23" i="4" l="1"/>
  <c r="G8" i="4"/>
  <c r="G9" i="4" s="1"/>
  <c r="G27" i="4"/>
  <c r="G21" i="4"/>
  <c r="F6" i="4"/>
  <c r="K10" i="4" s="1"/>
  <c r="F32" i="4" s="1"/>
  <c r="D4" i="4"/>
  <c r="D3" i="5"/>
  <c r="D9" i="6"/>
  <c r="D4" i="6"/>
  <c r="I3" i="6"/>
  <c r="D3" i="6"/>
  <c r="G6" i="6" s="1"/>
  <c r="D11" i="6" s="1"/>
  <c r="G3" i="2"/>
  <c r="F7" i="4"/>
  <c r="D7" i="4" s="1"/>
  <c r="F17" i="4"/>
  <c r="D17" i="4" s="1"/>
  <c r="D4" i="5"/>
  <c r="D6" i="2" l="1"/>
  <c r="D12" i="2"/>
  <c r="B30" i="2"/>
  <c r="D30" i="2"/>
  <c r="D16" i="2"/>
  <c r="D20" i="2"/>
  <c r="D24" i="2"/>
  <c r="D28" i="2"/>
  <c r="D29" i="2"/>
  <c r="D17" i="2"/>
  <c r="D21" i="2"/>
  <c r="D25" i="2"/>
  <c r="D14" i="2"/>
  <c r="D18" i="2"/>
  <c r="D22" i="2"/>
  <c r="D26" i="2"/>
  <c r="D15" i="2"/>
  <c r="D19" i="2"/>
  <c r="D23" i="2"/>
  <c r="D27" i="2"/>
  <c r="D21" i="6"/>
  <c r="D6" i="6"/>
  <c r="A7" i="6" s="1"/>
  <c r="D12" i="6"/>
  <c r="A12" i="6" s="1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K6" i="6"/>
  <c r="D19" i="6"/>
  <c r="D27" i="6"/>
  <c r="D14" i="6"/>
  <c r="K3" i="6"/>
  <c r="A4" i="6"/>
  <c r="D15" i="6"/>
  <c r="A5" i="6"/>
  <c r="G31" i="4"/>
  <c r="D31" i="4" s="1"/>
  <c r="A10" i="6" l="1"/>
  <c r="B6" i="4"/>
  <c r="B7" i="4"/>
  <c r="B28" i="6"/>
  <c r="A11" i="6"/>
  <c r="A23" i="6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1" i="5" l="1"/>
  <c r="B11" i="5" s="1"/>
  <c r="D24" i="5"/>
  <c r="D27" i="5"/>
  <c r="D25" i="5"/>
  <c r="D26" i="5"/>
  <c r="D19" i="5"/>
  <c r="D21" i="5"/>
  <c r="D14" i="5"/>
  <c r="B14" i="5" s="1"/>
  <c r="D22" i="5"/>
  <c r="D23" i="5"/>
  <c r="D12" i="5"/>
  <c r="B12" i="5" s="1"/>
  <c r="D20" i="5"/>
  <c r="D18" i="5"/>
  <c r="D13" i="5"/>
  <c r="B13" i="5" s="1"/>
  <c r="D15" i="5"/>
  <c r="B15" i="5" s="1"/>
  <c r="D17" i="5"/>
  <c r="D16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C27" i="3"/>
  <c r="F1" i="3" s="1"/>
  <c r="B9" i="5" l="1"/>
  <c r="B28" i="5"/>
  <c r="A9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D5" i="2"/>
  <c r="D4" i="2"/>
  <c r="D7" i="2"/>
  <c r="D8" i="2"/>
  <c r="D9" i="2"/>
  <c r="D3" i="2"/>
  <c r="A29" i="2" l="1"/>
  <c r="A30" i="2"/>
  <c r="A12" i="2"/>
  <c r="B12" i="2"/>
  <c r="A14" i="2"/>
  <c r="A16" i="2"/>
  <c r="A22" i="2"/>
  <c r="A8" i="2"/>
  <c r="A4" i="2"/>
  <c r="A28" i="2"/>
  <c r="A20" i="2"/>
  <c r="A6" i="2"/>
  <c r="A27" i="2"/>
  <c r="A23" i="2"/>
  <c r="A26" i="2"/>
  <c r="A25" i="2"/>
  <c r="A9" i="2"/>
  <c r="A19" i="2"/>
  <c r="A18" i="2"/>
  <c r="A21" i="2"/>
  <c r="A17" i="2"/>
  <c r="A5" i="2"/>
  <c r="A7" i="2"/>
  <c r="A3" i="2"/>
  <c r="A15" i="2"/>
  <c r="A11" i="2"/>
  <c r="A24" i="2"/>
  <c r="C3" i="1"/>
  <c r="C5" i="1" l="1"/>
  <c r="C7" i="1"/>
  <c r="F10" i="1"/>
  <c r="A10" i="1" l="1"/>
</calcChain>
</file>

<file path=xl/sharedStrings.xml><?xml version="1.0" encoding="utf-8"?>
<sst xmlns="http://schemas.openxmlformats.org/spreadsheetml/2006/main" count="115" uniqueCount="81">
  <si>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</si>
  <si>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</si>
  <si>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</si>
  <si>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</si>
  <si>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</si>
  <si>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</si>
  <si>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</si>
  <si>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</si>
  <si>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</si>
  <si>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</si>
  <si>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</si>
  <si>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</si>
  <si>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</si>
  <si>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</si>
  <si>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</si>
  <si>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</si>
  <si>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</si>
  <si>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</si>
  <si>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</si>
  <si>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</si>
  <si>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</si>
  <si>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</si>
  <si>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</si>
  <si>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</si>
  <si>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</si>
  <si>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</si>
  <si>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</si>
  <si>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</si>
  <si>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</si>
  <si>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</si>
  <si>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</si>
  <si>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</si>
  <si>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</si>
  <si>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</si>
  <si>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</si>
  <si>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</si>
  <si>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</si>
  <si>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</si>
  <si>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</si>
  <si>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</si>
  <si>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</si>
  <si>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</si>
  <si>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</si>
  <si>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</si>
  <si>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</si>
  <si>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</si>
  <si>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</si>
  <si>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</si>
  <si>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</si>
  <si>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</si>
  <si>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</si>
  <si>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</si>
  <si>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!!退保^</t>
  </si>
  <si>
    <t>&lt;XIRR&gt;</t>
  </si>
  <si>
    <t>ICBC 12M TD excess return (or 2.4 ppa on 100k)</t>
  </si>
  <si>
    <t>excess profit over 12M</t>
  </si>
  <si>
    <t>annual FCF received, while keeping 210k liquid  in FLI2PF and LTIS</t>
  </si>
  <si>
    <t>watermark of cum outlay since Aug24</t>
  </si>
  <si>
    <t>FWD down payment</t>
  </si>
  <si>
    <t>FWD upfront</t>
  </si>
  <si>
    <t>first payout FWD</t>
  </si>
  <si>
    <t>surrender FWD #251k to wipe out $190k loan</t>
  </si>
  <si>
    <t>36M int cost</t>
  </si>
  <si>
    <t>total prem - FWD</t>
  </si>
  <si>
    <t xml:space="preserve">Oct26-Sep27 LIR </t>
  </si>
  <si>
    <t>FWD DYOC</t>
  </si>
  <si>
    <t>FWD xirr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</si>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</sst>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tabSelected="1" workbookViewId="0">
      <selection activeCell="H9" sqref="H9"/>
    </sheetView>
  </sheetViews>
  <sheetFormatPr defaultRowHeight="15" x14ac:dyDescent="0.25"/>
  <cols>
    <col min="1" max="1" width="4.7109375" style="31" bestFit="1" customWidth="1"/>
    <col min="2" max="2" width="10" style="31" bestFit="1" customWidth="1"/>
    <col min="3" max="3" width="7.42578125" style="34" bestFit="1" customWidth="1"/>
    <col min="4" max="4" width="10.85546875" style="51" bestFit="1" customWidth="1"/>
    <col min="5" max="5" width="17.140625" style="31" customWidth="1"/>
    <col min="6" max="6" width="1.5703125" style="31" customWidth="1"/>
    <col min="7" max="7" width="17.7109375" style="31" bestFit="1" customWidth="1"/>
    <col min="8" max="16384" width="9.140625" style="31"/>
  </cols>
  <sheetData>
    <row r="2" spans="1:12" x14ac:dyDescent="0.25">
      <c r="C2" s="47"/>
      <c r="D2" s="50" t="s">
        <v>2</v>
      </c>
    </row>
    <row r="3" spans="1:12" x14ac:dyDescent="0.25">
      <c r="A3" s="32"/>
      <c r="B3" s="33"/>
      <c r="C3" s="48">
        <v>45597</v>
      </c>
      <c r="D3" s="50">
        <f>-24%*H6</f>
        <v>-76189.919999999998</v>
      </c>
      <c r="E3" s="31" t="s">
        <v>68</v>
      </c>
      <c r="I3" s="33"/>
      <c r="J3" s="31">
        <f>9/12</f>
        <v>0.75</v>
      </c>
      <c r="K3" s="33">
        <v>2.53E-2</v>
      </c>
      <c r="L3" s="35">
        <f>$H$9*J3*K3</f>
        <v>4578.0618180000001</v>
      </c>
    </row>
    <row r="4" spans="1:12" x14ac:dyDescent="0.25">
      <c r="A4" s="32"/>
      <c r="B4" s="33"/>
      <c r="C4" s="48">
        <v>45658</v>
      </c>
      <c r="D4" s="50">
        <f>H4*H6</f>
        <v>4349.1746000000003</v>
      </c>
      <c r="E4" s="31" t="s">
        <v>24</v>
      </c>
      <c r="G4" s="40" t="s">
        <v>22</v>
      </c>
      <c r="H4" s="42">
        <v>1.37E-2</v>
      </c>
      <c r="J4" s="31">
        <v>1</v>
      </c>
      <c r="K4" s="33">
        <v>2.3300000000000001E-2</v>
      </c>
      <c r="L4" s="35">
        <f t="shared" ref="L4:L5" si="0">$H$9*J4*K4</f>
        <v>5621.5462640000005</v>
      </c>
    </row>
    <row r="5" spans="1:12" x14ac:dyDescent="0.25">
      <c r="A5" s="32"/>
      <c r="B5" s="33"/>
      <c r="C5" s="48"/>
      <c r="D5" s="50"/>
      <c r="G5" s="43" t="s">
        <v>76</v>
      </c>
      <c r="H5" s="44">
        <v>3.2759999999999997E-2</v>
      </c>
      <c r="J5" s="31">
        <f>6/12</f>
        <v>0.5</v>
      </c>
      <c r="K5" s="33">
        <f>H8</f>
        <v>0.03</v>
      </c>
      <c r="L5" s="35">
        <f t="shared" si="0"/>
        <v>3619.0212000000001</v>
      </c>
    </row>
    <row r="6" spans="1:12" x14ac:dyDescent="0.25">
      <c r="A6" s="32"/>
      <c r="B6" s="33"/>
      <c r="C6" s="48">
        <v>46023</v>
      </c>
      <c r="D6" s="50">
        <f>-SUM(L3:L5)</f>
        <v>-13818.629282000002</v>
      </c>
      <c r="E6" s="31" t="s">
        <v>80</v>
      </c>
      <c r="G6" s="40" t="s">
        <v>13</v>
      </c>
      <c r="H6" s="41">
        <v>317458</v>
      </c>
      <c r="K6" s="36"/>
      <c r="L6" s="35"/>
    </row>
    <row r="7" spans="1:12" x14ac:dyDescent="0.25">
      <c r="A7" s="52" t="s">
        <v>73</v>
      </c>
      <c r="B7" s="53"/>
      <c r="C7" s="48"/>
      <c r="D7" s="50"/>
      <c r="G7" s="40"/>
      <c r="H7" s="41"/>
    </row>
    <row r="8" spans="1:12" x14ac:dyDescent="0.25">
      <c r="A8" s="46" t="s">
        <v>70</v>
      </c>
      <c r="B8" s="31" t="s">
        <v>71</v>
      </c>
      <c r="C8" s="48"/>
      <c r="D8" s="50"/>
      <c r="G8" s="40" t="s">
        <v>78</v>
      </c>
      <c r="H8" s="42">
        <v>0.03</v>
      </c>
    </row>
    <row r="9" spans="1:12" x14ac:dyDescent="0.25">
      <c r="A9" s="32">
        <f>B9-D3</f>
        <v>930.46939800000109</v>
      </c>
      <c r="B9" s="32">
        <f>SUM($D$3:D9)</f>
        <v>-75259.450601999997</v>
      </c>
      <c r="C9" s="48">
        <v>46447</v>
      </c>
      <c r="D9" s="50">
        <f>H5*$H$6</f>
        <v>10399.924079999999</v>
      </c>
      <c r="E9" s="31" t="s">
        <v>25</v>
      </c>
      <c r="G9" s="40" t="s">
        <v>21</v>
      </c>
      <c r="H9" s="41">
        <f>H6+D3</f>
        <v>241268.08000000002</v>
      </c>
    </row>
    <row r="10" spans="1:12" x14ac:dyDescent="0.25">
      <c r="A10" s="32"/>
      <c r="B10" s="49" t="s">
        <v>75</v>
      </c>
      <c r="C10" s="48"/>
      <c r="D10" s="50"/>
      <c r="E10" s="37"/>
      <c r="F10" s="37"/>
      <c r="G10" s="40" t="s">
        <v>19</v>
      </c>
      <c r="H10" s="42">
        <v>0.02</v>
      </c>
    </row>
    <row r="11" spans="1:12" x14ac:dyDescent="0.25">
      <c r="A11" s="32"/>
      <c r="B11" s="39">
        <f>-D11/$D$3</f>
        <v>7.3166666666666658E-2</v>
      </c>
      <c r="C11" s="48">
        <v>46813</v>
      </c>
      <c r="D11" s="50">
        <f t="shared" ref="D11:D27" si="1">$H$5*$H$6-$H$10*$H$9</f>
        <v>5574.5624799999987</v>
      </c>
      <c r="I11" s="38"/>
      <c r="J11" s="38"/>
    </row>
    <row r="12" spans="1:12" x14ac:dyDescent="0.25">
      <c r="A12" s="32"/>
      <c r="B12" s="39">
        <f>-D12/$D$3</f>
        <v>7.3166666666666658E-2</v>
      </c>
      <c r="C12" s="48">
        <v>47178</v>
      </c>
      <c r="D12" s="50">
        <f t="shared" si="1"/>
        <v>5574.5624799999987</v>
      </c>
      <c r="G12" s="38"/>
      <c r="H12" s="38"/>
      <c r="I12" s="38"/>
      <c r="J12" s="38"/>
    </row>
    <row r="13" spans="1:12" x14ac:dyDescent="0.25">
      <c r="A13" s="32"/>
      <c r="B13" s="39">
        <f>-D13/$D$3</f>
        <v>7.3166666666666658E-2</v>
      </c>
      <c r="C13" s="48">
        <v>47543</v>
      </c>
      <c r="D13" s="50">
        <f t="shared" si="1"/>
        <v>5574.5624799999987</v>
      </c>
      <c r="G13" s="38"/>
      <c r="H13" s="38"/>
      <c r="I13" s="38"/>
      <c r="J13" s="38"/>
    </row>
    <row r="14" spans="1:12" x14ac:dyDescent="0.25">
      <c r="A14" s="32"/>
      <c r="B14" s="39">
        <f t="shared" ref="B14:B15" si="2">-D14/$D$3</f>
        <v>7.3166666666666658E-2</v>
      </c>
      <c r="C14" s="48">
        <v>47908</v>
      </c>
      <c r="D14" s="50">
        <f t="shared" si="1"/>
        <v>5574.5624799999987</v>
      </c>
    </row>
    <row r="15" spans="1:12" x14ac:dyDescent="0.25">
      <c r="A15" s="32"/>
      <c r="B15" s="39">
        <f t="shared" si="2"/>
        <v>7.3166666666666658E-2</v>
      </c>
      <c r="C15" s="48">
        <v>48274</v>
      </c>
      <c r="D15" s="50">
        <f t="shared" si="1"/>
        <v>5574.5624799999987</v>
      </c>
    </row>
    <row r="16" spans="1:12" x14ac:dyDescent="0.25">
      <c r="A16" s="32"/>
      <c r="B16" s="45" t="s">
        <v>72</v>
      </c>
      <c r="C16" s="48">
        <v>48639</v>
      </c>
      <c r="D16" s="50">
        <f t="shared" si="1"/>
        <v>5574.5624799999987</v>
      </c>
    </row>
    <row r="17" spans="1:8" x14ac:dyDescent="0.25">
      <c r="A17" s="32"/>
      <c r="B17" s="33"/>
      <c r="C17" s="48">
        <v>49004</v>
      </c>
      <c r="D17" s="50">
        <f t="shared" si="1"/>
        <v>5574.5624799999987</v>
      </c>
    </row>
    <row r="18" spans="1:8" x14ac:dyDescent="0.25">
      <c r="A18" s="32"/>
      <c r="B18" s="33"/>
      <c r="C18" s="48">
        <v>49369</v>
      </c>
      <c r="D18" s="50">
        <f t="shared" si="1"/>
        <v>5574.5624799999987</v>
      </c>
    </row>
    <row r="19" spans="1:8" x14ac:dyDescent="0.25">
      <c r="A19" s="32"/>
      <c r="B19" s="33"/>
      <c r="C19" s="48">
        <v>49735</v>
      </c>
      <c r="D19" s="50">
        <f t="shared" si="1"/>
        <v>5574.5624799999987</v>
      </c>
    </row>
    <row r="20" spans="1:8" x14ac:dyDescent="0.25">
      <c r="A20" s="32"/>
      <c r="B20" s="33"/>
      <c r="C20" s="48">
        <v>50100</v>
      </c>
      <c r="D20" s="50">
        <f t="shared" si="1"/>
        <v>5574.5624799999987</v>
      </c>
    </row>
    <row r="21" spans="1:8" x14ac:dyDescent="0.25">
      <c r="A21" s="32"/>
      <c r="B21" s="33"/>
      <c r="C21" s="48">
        <v>50465</v>
      </c>
      <c r="D21" s="50">
        <f t="shared" si="1"/>
        <v>5574.5624799999987</v>
      </c>
    </row>
    <row r="22" spans="1:8" x14ac:dyDescent="0.25">
      <c r="A22" s="32"/>
      <c r="B22" s="33"/>
      <c r="C22" s="48">
        <v>50830</v>
      </c>
      <c r="D22" s="50">
        <f t="shared" si="1"/>
        <v>5574.5624799999987</v>
      </c>
    </row>
    <row r="23" spans="1:8" x14ac:dyDescent="0.25">
      <c r="A23" s="32"/>
      <c r="B23" s="33"/>
      <c r="C23" s="48">
        <v>51196</v>
      </c>
      <c r="D23" s="50">
        <f t="shared" si="1"/>
        <v>5574.5624799999987</v>
      </c>
    </row>
    <row r="24" spans="1:8" x14ac:dyDescent="0.25">
      <c r="A24" s="32"/>
      <c r="B24" s="33"/>
      <c r="C24" s="48">
        <v>51561</v>
      </c>
      <c r="D24" s="50">
        <f t="shared" si="1"/>
        <v>5574.5624799999987</v>
      </c>
    </row>
    <row r="25" spans="1:8" x14ac:dyDescent="0.25">
      <c r="A25" s="32"/>
      <c r="B25" s="33"/>
      <c r="C25" s="48">
        <v>51926</v>
      </c>
      <c r="D25" s="50">
        <f t="shared" si="1"/>
        <v>5574.5624799999987</v>
      </c>
    </row>
    <row r="26" spans="1:8" x14ac:dyDescent="0.25">
      <c r="A26" s="32"/>
      <c r="B26" s="33"/>
      <c r="C26" s="48">
        <v>52291</v>
      </c>
      <c r="D26" s="50">
        <f t="shared" si="1"/>
        <v>5574.5624799999987</v>
      </c>
    </row>
    <row r="27" spans="1:8" x14ac:dyDescent="0.25">
      <c r="A27" s="32"/>
      <c r="B27" s="33" t="s">
        <v>69</v>
      </c>
      <c r="C27" s="48">
        <v>52657</v>
      </c>
      <c r="D27" s="50">
        <f t="shared" si="1"/>
        <v>5574.5624799999987</v>
      </c>
    </row>
    <row r="28" spans="1:8" x14ac:dyDescent="0.25">
      <c r="A28" s="32"/>
      <c r="B28" s="33">
        <f>XIRR(D3:D28,C3:C28)</f>
        <v>6.5772846341133132E-2</v>
      </c>
      <c r="C28" s="48">
        <v>52657</v>
      </c>
      <c r="D28" s="50">
        <v>94080</v>
      </c>
      <c r="E28" s="31" t="s">
        <v>74</v>
      </c>
      <c r="F28" s="37"/>
      <c r="G28" s="37"/>
      <c r="H28" s="37"/>
    </row>
    <row r="29" spans="1:8" x14ac:dyDescent="0.25">
      <c r="A29" s="32"/>
      <c r="B29" s="33"/>
      <c r="C29" s="48"/>
      <c r="D29" s="50"/>
      <c r="E29" s="37" t="s">
        <v>67</v>
      </c>
    </row>
    <row r="31" spans="1:8" x14ac:dyDescent="0.25">
      <c r="A31" s="32"/>
      <c r="B31" s="33" t="s">
        <v>77</v>
      </c>
    </row>
    <row r="32" spans="1:8" x14ac:dyDescent="0.25">
      <c r="B32" s="31" t="s">
        <v>79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7850-337E-4794-9D5F-A7B4C9250F19}">
  <dimension ref="A2:K32"/>
  <sheetViews>
    <sheetView topLeftCell="A2" workbookViewId="0">
      <selection activeCell="G22" sqref="G2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  <col min="10" max="10" width="7.140625" bestFit="1" customWidth="1"/>
    <col min="11" max="11" width="6" style="20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45536</v>
      </c>
      <c r="D3" s="5">
        <f>-24%*G4</f>
        <v>-60240</v>
      </c>
      <c r="E3" t="s">
        <v>58</v>
      </c>
      <c r="I3">
        <f>4/12</f>
        <v>0.33333333333333331</v>
      </c>
      <c r="J3" s="2">
        <v>2.5499999999999998E-2</v>
      </c>
      <c r="K3" s="20">
        <f>$G$6*I3*J3</f>
        <v>1621.4599999999998</v>
      </c>
    </row>
    <row r="4" spans="1:11" x14ac:dyDescent="0.25">
      <c r="A4" s="5">
        <f>SUM($D$3:D4)</f>
        <v>-55546.3</v>
      </c>
      <c r="B4" s="2"/>
      <c r="C4" s="3">
        <v>45597</v>
      </c>
      <c r="D4" s="10">
        <f>G8*G4</f>
        <v>4693.7000000000007</v>
      </c>
      <c r="E4" t="s">
        <v>59</v>
      </c>
      <c r="F4" t="s">
        <v>63</v>
      </c>
      <c r="G4" s="7">
        <v>251000</v>
      </c>
      <c r="I4">
        <v>1</v>
      </c>
      <c r="J4" s="2">
        <v>2.3599999999999999E-2</v>
      </c>
      <c r="K4" s="20">
        <f>$G$6*I4*J4</f>
        <v>4501.9359999999997</v>
      </c>
    </row>
    <row r="5" spans="1:11" x14ac:dyDescent="0.25">
      <c r="A5" s="5">
        <f>SUM($D$3:D5)</f>
        <v>-55546.3</v>
      </c>
      <c r="B5" s="2"/>
      <c r="F5" t="s">
        <v>64</v>
      </c>
      <c r="G5" s="2">
        <v>0.03</v>
      </c>
      <c r="I5">
        <f>19/12</f>
        <v>1.5833333333333333</v>
      </c>
      <c r="J5" s="2">
        <f>G5</f>
        <v>0.03</v>
      </c>
      <c r="K5" s="20">
        <f>$G$6*I5*J5</f>
        <v>9061.0999999999985</v>
      </c>
    </row>
    <row r="6" spans="1:11" x14ac:dyDescent="0.25">
      <c r="A6" s="5">
        <f>SUM($D$3:D6)</f>
        <v>-70730.796000000002</v>
      </c>
      <c r="B6" s="2"/>
      <c r="C6" s="3">
        <v>46082</v>
      </c>
      <c r="D6" s="20">
        <f>-K6</f>
        <v>-15184.495999999999</v>
      </c>
      <c r="E6" t="s">
        <v>62</v>
      </c>
      <c r="F6" t="s">
        <v>21</v>
      </c>
      <c r="G6" s="7">
        <f>G4+D3</f>
        <v>190760</v>
      </c>
      <c r="J6" s="11"/>
      <c r="K6" s="20">
        <f>SUM(K3:K5)</f>
        <v>15184.495999999999</v>
      </c>
    </row>
    <row r="7" spans="1:11" x14ac:dyDescent="0.25">
      <c r="A7" s="5">
        <f>SUM($D$3:D7)</f>
        <v>-70730.796000000002</v>
      </c>
      <c r="B7" s="2"/>
      <c r="F7" t="s">
        <v>19</v>
      </c>
      <c r="G7" s="2">
        <v>0.02</v>
      </c>
    </row>
    <row r="8" spans="1:11" x14ac:dyDescent="0.25">
      <c r="A8" s="5">
        <f>SUM($D$3:D8)</f>
        <v>-70730.796000000002</v>
      </c>
      <c r="B8" s="2"/>
      <c r="F8" t="s">
        <v>22</v>
      </c>
      <c r="G8" s="2">
        <v>1.8700000000000001E-2</v>
      </c>
    </row>
    <row r="9" spans="1:11" x14ac:dyDescent="0.25">
      <c r="A9" s="5">
        <f>SUM($D$3:D9)</f>
        <v>-62246.995999999999</v>
      </c>
      <c r="B9" s="2" t="s">
        <v>45</v>
      </c>
      <c r="C9" s="3">
        <v>46661</v>
      </c>
      <c r="D9" s="20">
        <f>3.38%*$G$4</f>
        <v>8483.7999999999993</v>
      </c>
      <c r="E9" t="s">
        <v>60</v>
      </c>
      <c r="F9" s="6"/>
      <c r="G9" s="6"/>
    </row>
    <row r="10" spans="1:11" x14ac:dyDescent="0.25">
      <c r="A10" s="5">
        <f>SUM($D$3:D10)</f>
        <v>-62246.995999999999</v>
      </c>
      <c r="B10" s="5">
        <f>A10-D3</f>
        <v>-2006.9959999999992</v>
      </c>
      <c r="C10" s="3">
        <v>46661</v>
      </c>
      <c r="D10" s="20">
        <f>-$D$3*0</f>
        <v>0</v>
      </c>
      <c r="E10" s="6" t="s">
        <v>61</v>
      </c>
    </row>
    <row r="11" spans="1:11" x14ac:dyDescent="0.25">
      <c r="A11" s="5" t="s">
        <v>52</v>
      </c>
      <c r="B11" s="5"/>
      <c r="D11" s="20"/>
      <c r="E11" s="6"/>
    </row>
    <row r="12" spans="1:11" x14ac:dyDescent="0.25">
      <c r="A12" s="5">
        <f>SUM($D$3:D12)</f>
        <v>-57578.396000000001</v>
      </c>
      <c r="B12" s="2"/>
      <c r="C12" s="3">
        <v>47027</v>
      </c>
      <c r="D12" s="20">
        <f>3.38%*$G$4-$G$7*$G$6</f>
        <v>4668.5999999999985</v>
      </c>
      <c r="E12" t="s">
        <v>44</v>
      </c>
      <c r="F12" s="8"/>
      <c r="G12" s="8"/>
      <c r="H12" s="8"/>
      <c r="I12" s="8"/>
    </row>
    <row r="13" spans="1:11" x14ac:dyDescent="0.25">
      <c r="A13" s="5">
        <f>SUM($D$3:D13)</f>
        <v>-52909.796000000002</v>
      </c>
      <c r="B13" s="2"/>
      <c r="C13" s="3">
        <v>47392</v>
      </c>
      <c r="D13" s="20">
        <f t="shared" ref="D13:D28" si="0">3.38%*$G$4-$G$7*$G$6</f>
        <v>4668.5999999999985</v>
      </c>
      <c r="F13" s="8"/>
      <c r="G13" s="8"/>
      <c r="H13" s="8"/>
      <c r="I13" s="8"/>
    </row>
    <row r="14" spans="1:11" x14ac:dyDescent="0.25">
      <c r="A14" s="5">
        <f>SUM($D$3:D14)</f>
        <v>-48241.196000000004</v>
      </c>
      <c r="B14" s="2"/>
      <c r="C14" s="3">
        <v>47757</v>
      </c>
      <c r="D14" s="20">
        <f t="shared" si="0"/>
        <v>4668.5999999999985</v>
      </c>
      <c r="H14" s="8"/>
      <c r="I14" s="8"/>
    </row>
    <row r="15" spans="1:11" x14ac:dyDescent="0.25">
      <c r="A15" s="5">
        <f>SUM($D$3:D15)</f>
        <v>-43572.596000000005</v>
      </c>
      <c r="B15" s="8" t="s">
        <v>65</v>
      </c>
      <c r="C15" s="3">
        <v>48122</v>
      </c>
      <c r="D15" s="20">
        <f t="shared" si="0"/>
        <v>4668.5999999999985</v>
      </c>
    </row>
    <row r="16" spans="1:11" x14ac:dyDescent="0.25">
      <c r="A16" s="5">
        <f>SUM($D$3:D16)</f>
        <v>-38903.996000000006</v>
      </c>
      <c r="B16" s="30">
        <f>-D16/D3</f>
        <v>7.7499999999999972E-2</v>
      </c>
      <c r="C16" s="3">
        <v>48488</v>
      </c>
      <c r="D16" s="20">
        <f t="shared" si="0"/>
        <v>4668.5999999999985</v>
      </c>
    </row>
    <row r="17" spans="1:7" x14ac:dyDescent="0.25">
      <c r="A17" s="5">
        <f>SUM($D$3:D17)</f>
        <v>-34235.396000000008</v>
      </c>
      <c r="B17" s="2"/>
      <c r="C17" s="3">
        <v>48853</v>
      </c>
      <c r="D17" s="20">
        <f t="shared" si="0"/>
        <v>4668.5999999999985</v>
      </c>
    </row>
    <row r="18" spans="1:7" x14ac:dyDescent="0.25">
      <c r="A18" s="5">
        <f>SUM($D$3:D18)</f>
        <v>-29566.796000000009</v>
      </c>
      <c r="B18" s="2"/>
      <c r="C18" s="3">
        <v>49218</v>
      </c>
      <c r="D18" s="20">
        <f t="shared" si="0"/>
        <v>4668.5999999999985</v>
      </c>
    </row>
    <row r="19" spans="1:7" x14ac:dyDescent="0.25">
      <c r="A19" s="5">
        <f>SUM($D$3:D19)</f>
        <v>-24898.196000000011</v>
      </c>
      <c r="B19" s="2"/>
      <c r="C19" s="3">
        <v>49583</v>
      </c>
      <c r="D19" s="20">
        <f t="shared" si="0"/>
        <v>4668.5999999999985</v>
      </c>
    </row>
    <row r="20" spans="1:7" x14ac:dyDescent="0.25">
      <c r="A20" s="5">
        <f>SUM($D$3:D20)</f>
        <v>-20229.596000000012</v>
      </c>
      <c r="B20" s="2"/>
      <c r="C20" s="3">
        <v>49949</v>
      </c>
      <c r="D20" s="20">
        <f t="shared" si="0"/>
        <v>4668.5999999999985</v>
      </c>
    </row>
    <row r="21" spans="1:7" x14ac:dyDescent="0.25">
      <c r="A21" s="5">
        <f>SUM($D$3:D21)</f>
        <v>-15560.996000000014</v>
      </c>
      <c r="B21" s="2"/>
      <c r="C21" s="3">
        <v>50314</v>
      </c>
      <c r="D21" s="20">
        <f t="shared" si="0"/>
        <v>4668.5999999999985</v>
      </c>
    </row>
    <row r="22" spans="1:7" x14ac:dyDescent="0.25">
      <c r="A22" s="5">
        <f>SUM($D$3:D22)</f>
        <v>-10892.396000000015</v>
      </c>
      <c r="B22" s="2"/>
      <c r="C22" s="3">
        <v>50679</v>
      </c>
      <c r="D22" s="20">
        <f t="shared" si="0"/>
        <v>4668.5999999999985</v>
      </c>
    </row>
    <row r="23" spans="1:7" x14ac:dyDescent="0.25">
      <c r="A23" s="5">
        <f>SUM($D$3:D23)</f>
        <v>-6223.7960000000166</v>
      </c>
      <c r="B23" s="2"/>
      <c r="C23" s="3">
        <v>51044</v>
      </c>
      <c r="D23" s="20">
        <f t="shared" si="0"/>
        <v>4668.5999999999985</v>
      </c>
    </row>
    <row r="24" spans="1:7" x14ac:dyDescent="0.25">
      <c r="A24" s="5">
        <f>SUM($D$3:D24)</f>
        <v>-1555.1960000000181</v>
      </c>
      <c r="B24" s="2"/>
      <c r="C24" s="3">
        <v>51410</v>
      </c>
      <c r="D24" s="20">
        <f t="shared" si="0"/>
        <v>4668.5999999999985</v>
      </c>
    </row>
    <row r="25" spans="1:7" x14ac:dyDescent="0.25">
      <c r="A25" s="5">
        <f>SUM($D$3:D25)</f>
        <v>3113.4039999999804</v>
      </c>
      <c r="B25" s="2"/>
      <c r="C25" s="3">
        <v>51775</v>
      </c>
      <c r="D25" s="20">
        <f t="shared" si="0"/>
        <v>4668.5999999999985</v>
      </c>
    </row>
    <row r="26" spans="1:7" x14ac:dyDescent="0.25">
      <c r="A26" s="5">
        <f>SUM($D$3:D26)</f>
        <v>7782.003999999979</v>
      </c>
      <c r="B26" s="2"/>
      <c r="C26" s="3">
        <v>52140</v>
      </c>
      <c r="D26" s="20">
        <f t="shared" si="0"/>
        <v>4668.5999999999985</v>
      </c>
    </row>
    <row r="27" spans="1:7" x14ac:dyDescent="0.25">
      <c r="A27" s="5">
        <f>SUM($D$3:D27)</f>
        <v>12450.603999999978</v>
      </c>
      <c r="B27" s="2"/>
      <c r="C27" s="3">
        <v>52505</v>
      </c>
      <c r="D27" s="20">
        <f t="shared" si="0"/>
        <v>4668.5999999999985</v>
      </c>
    </row>
    <row r="28" spans="1:7" x14ac:dyDescent="0.25">
      <c r="A28" s="5">
        <f>SUM($D$3:D28)</f>
        <v>17119.203999999976</v>
      </c>
      <c r="B28" s="2" t="s">
        <v>66</v>
      </c>
      <c r="C28" s="3">
        <v>52871</v>
      </c>
      <c r="D28" s="20">
        <f t="shared" si="0"/>
        <v>4668.5999999999985</v>
      </c>
      <c r="F28" s="6"/>
      <c r="G28" s="6"/>
    </row>
    <row r="29" spans="1:7" x14ac:dyDescent="0.25">
      <c r="A29" s="5">
        <f>SUM($D$3:D29)</f>
        <v>77359.203999999969</v>
      </c>
      <c r="B29" s="2">
        <f>XIRR(D3:D29,C3:C29)</f>
        <v>5.635922253131867E-2</v>
      </c>
      <c r="C29" s="3">
        <v>52871</v>
      </c>
      <c r="D29" s="20">
        <f>-D3</f>
        <v>60240</v>
      </c>
      <c r="E29" s="6" t="s">
        <v>61</v>
      </c>
    </row>
    <row r="30" spans="1:7" x14ac:dyDescent="0.25">
      <c r="A30" s="5"/>
      <c r="B30" s="2"/>
    </row>
    <row r="32" spans="1:7" x14ac:dyDescent="0.25">
      <c r="A32" s="5"/>
      <c r="B32" s="2"/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B1" workbookViewId="0">
      <selection activeCell="S27" sqref="S27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34</v>
      </c>
      <c r="C2" s="15"/>
      <c r="D2" s="14" t="s">
        <v>29</v>
      </c>
      <c r="E2" s="14" t="s">
        <v>26</v>
      </c>
      <c r="F2" s="14" t="s">
        <v>27</v>
      </c>
      <c r="G2" s="14" t="s">
        <v>33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32</v>
      </c>
      <c r="I3" s="8"/>
    </row>
    <row r="4" spans="2:11" x14ac:dyDescent="0.25">
      <c r="B4" s="14"/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31</v>
      </c>
      <c r="I4" s="8"/>
    </row>
    <row r="5" spans="2:11" x14ac:dyDescent="0.25">
      <c r="B5" s="14"/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SUM($D$6:D6)</f>
        <v>-60000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37</v>
      </c>
      <c r="I6" s="8"/>
    </row>
    <row r="7" spans="2:11" x14ac:dyDescent="0.25">
      <c r="B7" s="14">
        <f>SUM($D$6:D7)</f>
        <v>-56575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f>150394.75*0</f>
        <v>0</v>
      </c>
    </row>
    <row r="8" spans="2:11" x14ac:dyDescent="0.25">
      <c r="B8" s="14">
        <f>SUM($D$6:D8)</f>
        <v>-56575</v>
      </c>
      <c r="C8" s="15">
        <v>45505</v>
      </c>
      <c r="D8" s="14">
        <f t="shared" si="0"/>
        <v>0</v>
      </c>
      <c r="E8" s="14"/>
      <c r="F8" s="14"/>
      <c r="G8" s="14">
        <f>-$K$7/5</f>
        <v>0</v>
      </c>
      <c r="H8" s="12"/>
      <c r="I8" s="8"/>
      <c r="J8" t="s">
        <v>5</v>
      </c>
      <c r="K8" s="5">
        <v>150197</v>
      </c>
    </row>
    <row r="9" spans="2:11" x14ac:dyDescent="0.25">
      <c r="B9" s="14">
        <f>SUM($D$6:D9)</f>
        <v>-56575</v>
      </c>
      <c r="C9" s="15">
        <v>45566</v>
      </c>
      <c r="D9" s="14">
        <f t="shared" si="0"/>
        <v>0</v>
      </c>
      <c r="E9" s="14"/>
      <c r="F9" s="14"/>
      <c r="G9" s="14">
        <f>-9%*G8</f>
        <v>0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SUM($D$6:D10)</f>
        <v>-106640.66666666666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28</v>
      </c>
      <c r="K10" s="5">
        <f>K9+F6</f>
        <v>190000</v>
      </c>
    </row>
    <row r="11" spans="2:11" x14ac:dyDescent="0.25">
      <c r="B11" s="14">
        <f>SUM($D$6:D11)</f>
        <v>-106640.66666666666</v>
      </c>
      <c r="C11" s="15">
        <v>45870</v>
      </c>
      <c r="D11" s="14">
        <f t="shared" si="0"/>
        <v>0</v>
      </c>
      <c r="E11" s="14"/>
      <c r="F11" s="14"/>
      <c r="G11" s="14">
        <f>G8</f>
        <v>0</v>
      </c>
      <c r="H11" s="12"/>
      <c r="I11" s="8"/>
      <c r="J11" t="s">
        <v>30</v>
      </c>
      <c r="K11" s="2">
        <f>0.5%+K32</f>
        <v>3.0000000000000002E-2</v>
      </c>
    </row>
    <row r="12" spans="2:11" x14ac:dyDescent="0.25">
      <c r="B12" s="14">
        <f>SUM($D$6:D12)</f>
        <v>-106640.66666666666</v>
      </c>
      <c r="C12" s="15">
        <v>45870</v>
      </c>
      <c r="D12" s="14">
        <f t="shared" si="0"/>
        <v>0</v>
      </c>
      <c r="E12" s="14"/>
      <c r="F12" s="14"/>
      <c r="G12" s="14">
        <f>(0.0425-0.03)*K7</f>
        <v>0</v>
      </c>
      <c r="H12" s="12" t="s">
        <v>38</v>
      </c>
      <c r="I12" s="8"/>
    </row>
    <row r="13" spans="2:11" ht="30" x14ac:dyDescent="0.25">
      <c r="B13" s="14">
        <f>SUM($D$6:D13)</f>
        <v>-118850.66666666666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51</v>
      </c>
      <c r="I13" s="8"/>
      <c r="J13" s="25" t="s">
        <v>57</v>
      </c>
      <c r="K13" s="26">
        <f>B13</f>
        <v>-118850.66666666666</v>
      </c>
    </row>
    <row r="14" spans="2:11" x14ac:dyDescent="0.25">
      <c r="B14" s="14">
        <f>SUM($D$6:D14)</f>
        <v>-114377.80000666666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39</v>
      </c>
      <c r="K14" s="14">
        <f>B5</f>
        <v>0</v>
      </c>
    </row>
    <row r="15" spans="2:11" x14ac:dyDescent="0.25">
      <c r="B15" s="14">
        <f>SUM($D$6:D15)</f>
        <v>35819.199993333343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41</v>
      </c>
      <c r="I15" s="8"/>
      <c r="J15" s="12" t="s">
        <v>40</v>
      </c>
      <c r="K15" s="14">
        <f>K13-K14</f>
        <v>-118850.66666666666</v>
      </c>
    </row>
    <row r="16" spans="2:11" x14ac:dyDescent="0.25">
      <c r="B16" s="14">
        <f>SUM($D$6:D16)</f>
        <v>35819.199993333343</v>
      </c>
      <c r="C16" s="15">
        <v>46235</v>
      </c>
      <c r="D16" s="14">
        <f t="shared" si="0"/>
        <v>0</v>
      </c>
      <c r="E16" s="14"/>
      <c r="F16" s="14"/>
      <c r="G16" s="14">
        <f>G8</f>
        <v>0</v>
      </c>
      <c r="H16" s="12"/>
      <c r="I16" s="8"/>
    </row>
    <row r="17" spans="2:11" x14ac:dyDescent="0.25">
      <c r="B17" s="14">
        <f>SUM($D$6:D17)</f>
        <v>43844.199993333343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SUM($D$6:D18)</f>
        <v>103844.19999333334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42</v>
      </c>
      <c r="I18" s="19"/>
    </row>
    <row r="19" spans="2:11" x14ac:dyDescent="0.25">
      <c r="B19" s="14">
        <f>SUM($D$6:D19)</f>
        <v>103844.19999333334</v>
      </c>
      <c r="C19" s="15">
        <v>46600</v>
      </c>
      <c r="D19" s="14">
        <f t="shared" si="0"/>
        <v>0</v>
      </c>
      <c r="E19" s="14"/>
      <c r="F19" s="14"/>
      <c r="G19" s="14">
        <f>G8</f>
        <v>0</v>
      </c>
      <c r="H19" s="12"/>
      <c r="I19" s="8"/>
    </row>
    <row r="20" spans="2:11" x14ac:dyDescent="0.25">
      <c r="B20" s="14">
        <f>SUM($D$6:D20)</f>
        <v>103844.19999333334</v>
      </c>
      <c r="C20" s="15">
        <v>46966</v>
      </c>
      <c r="D20" s="14">
        <f t="shared" si="0"/>
        <v>0</v>
      </c>
      <c r="E20" s="14"/>
      <c r="F20" s="14"/>
      <c r="G20" s="14">
        <f>G8</f>
        <v>0</v>
      </c>
      <c r="H20" s="12"/>
      <c r="I20" s="8"/>
    </row>
    <row r="21" spans="2:11" x14ac:dyDescent="0.25">
      <c r="B21" s="14">
        <f>SUM($D$6:D21)</f>
        <v>103844.19999333334</v>
      </c>
      <c r="C21" s="15">
        <v>47331</v>
      </c>
      <c r="D21" s="14">
        <f t="shared" si="0"/>
        <v>0</v>
      </c>
      <c r="E21" s="14"/>
      <c r="F21" s="14"/>
      <c r="G21" s="14">
        <f>3.391%*$K$7</f>
        <v>0</v>
      </c>
      <c r="H21" s="12" t="s">
        <v>8</v>
      </c>
      <c r="I21" s="8"/>
    </row>
    <row r="22" spans="2:11" x14ac:dyDescent="0.25">
      <c r="B22" s="14">
        <f>SUM($D$6:D22)</f>
        <v>103844.19999333334</v>
      </c>
      <c r="C22" s="15">
        <v>47331</v>
      </c>
      <c r="D22" s="14">
        <f t="shared" si="0"/>
        <v>0</v>
      </c>
      <c r="E22" s="14"/>
      <c r="F22" s="14"/>
      <c r="G22" s="14">
        <f>3%*K7</f>
        <v>0</v>
      </c>
      <c r="H22" s="12" t="s">
        <v>36</v>
      </c>
      <c r="I22" s="8"/>
    </row>
    <row r="23" spans="2:11" ht="15.75" thickBot="1" x14ac:dyDescent="0.3">
      <c r="B23" s="14">
        <f>SUM($D$6:D23)</f>
        <v>103844.19999333334</v>
      </c>
      <c r="C23" s="22">
        <v>47331</v>
      </c>
      <c r="D23" s="23">
        <f t="shared" si="0"/>
        <v>0</v>
      </c>
      <c r="E23" s="23"/>
      <c r="F23" s="23"/>
      <c r="G23" s="23">
        <f>K7</f>
        <v>0</v>
      </c>
      <c r="H23" s="12" t="s">
        <v>43</v>
      </c>
      <c r="I23" s="8"/>
    </row>
    <row r="24" spans="2:11" ht="15.75" thickTop="1" x14ac:dyDescent="0.25">
      <c r="B24" s="54" t="s">
        <v>49</v>
      </c>
      <c r="C24" s="55"/>
      <c r="D24" s="56"/>
      <c r="E24" s="21">
        <f>SUM(E3:E23)</f>
        <v>10601.86666</v>
      </c>
      <c r="F24" s="21">
        <f>SUM(F3:F23)</f>
        <v>-760</v>
      </c>
      <c r="G24" s="21">
        <f>SUM(G3:G23)</f>
        <v>-0.01</v>
      </c>
      <c r="H24" s="12"/>
      <c r="I24" s="8"/>
    </row>
    <row r="25" spans="2:11" x14ac:dyDescent="0.25">
      <c r="B25" s="57"/>
      <c r="C25" s="58"/>
      <c r="D25" s="59"/>
      <c r="E25" s="16">
        <f>XIRR(E3:E23,C3:C23)</f>
        <v>3.9722254872322102E-2</v>
      </c>
      <c r="F25" s="16" t="s">
        <v>53</v>
      </c>
      <c r="G25" s="16"/>
      <c r="H25" s="12"/>
      <c r="I25" s="8"/>
    </row>
    <row r="26" spans="2:11" x14ac:dyDescent="0.25">
      <c r="B26" s="12" t="s">
        <v>35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SUM($D$6:D27)</f>
        <v>103844.19999333334</v>
      </c>
      <c r="C27" s="15">
        <v>47696</v>
      </c>
      <c r="D27" s="14">
        <f t="shared" si="0"/>
        <v>0</v>
      </c>
      <c r="E27" s="14"/>
      <c r="F27" s="14"/>
      <c r="G27" s="14">
        <f>3.391%*$K$7</f>
        <v>0</v>
      </c>
      <c r="H27" s="60" t="s">
        <v>56</v>
      </c>
      <c r="I27" s="8"/>
    </row>
    <row r="28" spans="2:11" x14ac:dyDescent="0.25">
      <c r="B28" s="14">
        <f>SUM($D$6:D28)</f>
        <v>103844.19999333334</v>
      </c>
      <c r="C28" s="15">
        <v>48061</v>
      </c>
      <c r="D28" s="14">
        <f t="shared" si="0"/>
        <v>0</v>
      </c>
      <c r="E28" s="14"/>
      <c r="F28" s="14"/>
      <c r="G28" s="14">
        <f>3.391%*$K$7</f>
        <v>0</v>
      </c>
      <c r="H28" s="61"/>
      <c r="I28" s="8"/>
    </row>
    <row r="29" spans="2:11" x14ac:dyDescent="0.25">
      <c r="B29" s="14">
        <f>SUM($D$6:D29)</f>
        <v>103844.19999333334</v>
      </c>
      <c r="C29" s="15">
        <v>48427</v>
      </c>
      <c r="D29" s="14">
        <f t="shared" si="0"/>
        <v>0</v>
      </c>
      <c r="E29" s="14"/>
      <c r="F29" s="14"/>
      <c r="G29" s="14">
        <f>3.391%*$K$7</f>
        <v>0</v>
      </c>
      <c r="H29" s="61"/>
      <c r="I29" s="8"/>
    </row>
    <row r="30" spans="2:11" x14ac:dyDescent="0.25">
      <c r="B30" s="14">
        <f>SUM($D$6:D30)</f>
        <v>103844.19999333334</v>
      </c>
      <c r="C30" s="15">
        <v>48792</v>
      </c>
      <c r="D30" s="14">
        <f t="shared" si="0"/>
        <v>0</v>
      </c>
      <c r="E30" s="14"/>
      <c r="F30" s="14"/>
      <c r="G30" s="14">
        <f>3.391%*$K$7</f>
        <v>0</v>
      </c>
      <c r="H30" s="61"/>
      <c r="I30" s="8"/>
    </row>
    <row r="31" spans="2:11" x14ac:dyDescent="0.25">
      <c r="B31" s="14">
        <f>SUM($D$6:D31)</f>
        <v>103844.19999333334</v>
      </c>
      <c r="C31" s="15">
        <v>49157</v>
      </c>
      <c r="D31" s="14">
        <f t="shared" si="0"/>
        <v>0</v>
      </c>
      <c r="E31" s="14"/>
      <c r="F31" s="14"/>
      <c r="G31" s="14">
        <f>3.391%*$K$7</f>
        <v>0</v>
      </c>
      <c r="H31" s="61"/>
      <c r="I31" s="8"/>
    </row>
    <row r="32" spans="2:11" x14ac:dyDescent="0.25">
      <c r="B32" s="14">
        <f>SUM($D$6:D32)</f>
        <v>107119.19999333334</v>
      </c>
      <c r="C32" s="13">
        <v>46784</v>
      </c>
      <c r="D32" s="14">
        <f t="shared" si="0"/>
        <v>3274.9999999999991</v>
      </c>
      <c r="E32" s="14"/>
      <c r="F32" s="12">
        <f>3.21%*$K$9-$K$10*$K$32</f>
        <v>3274.9999999999991</v>
      </c>
      <c r="G32" s="29" t="s">
        <v>47</v>
      </c>
      <c r="H32" s="61"/>
      <c r="I32" s="8"/>
      <c r="J32" t="s">
        <v>48</v>
      </c>
      <c r="K32" s="2">
        <v>2.5000000000000001E-2</v>
      </c>
    </row>
    <row r="33" spans="2:11" x14ac:dyDescent="0.25">
      <c r="B33" s="14">
        <f>SUM($D$6:D33)</f>
        <v>110394.19999333334</v>
      </c>
      <c r="C33" s="13">
        <v>47150</v>
      </c>
      <c r="D33" s="14">
        <f t="shared" si="0"/>
        <v>3274.9999999999991</v>
      </c>
      <c r="E33" s="14"/>
      <c r="F33" s="12">
        <f t="shared" ref="F33:F38" si="1">3.21%*$K$9-$K$10*$K$32</f>
        <v>3274.9999999999991</v>
      </c>
      <c r="G33" s="14"/>
      <c r="H33" s="61"/>
      <c r="I33" s="8"/>
      <c r="J33" t="s">
        <v>50</v>
      </c>
      <c r="K33" s="24">
        <f>-F32/F6</f>
        <v>5.4583333333333317E-2</v>
      </c>
    </row>
    <row r="34" spans="2:11" x14ac:dyDescent="0.25">
      <c r="B34" s="14">
        <f>SUM($D$6:D34)</f>
        <v>113669.19999333334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61"/>
      <c r="I34" s="8"/>
    </row>
    <row r="35" spans="2:11" x14ac:dyDescent="0.25">
      <c r="B35" s="14">
        <f>SUM($D$6:D35)</f>
        <v>116944.19999333334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61"/>
      <c r="I35" s="8"/>
    </row>
    <row r="36" spans="2:11" x14ac:dyDescent="0.25">
      <c r="B36" s="14">
        <f>SUM($D$6:D36)</f>
        <v>120219.19999333334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61"/>
      <c r="I36" s="8"/>
    </row>
    <row r="37" spans="2:11" x14ac:dyDescent="0.25">
      <c r="B37" s="14">
        <f>SUM($D$6:D37)</f>
        <v>123494.19999333334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61"/>
      <c r="I37" s="8"/>
    </row>
    <row r="38" spans="2:11" x14ac:dyDescent="0.25">
      <c r="B38" s="14">
        <f>SUM($D$6:D38)</f>
        <v>126769.19999333334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62"/>
      <c r="I38" s="8"/>
    </row>
    <row r="40" spans="2:11" x14ac:dyDescent="0.25">
      <c r="H40" t="s">
        <v>46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I6" sqref="I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0"/>
  <sheetViews>
    <sheetView workbookViewId="0">
      <selection activeCell="E7" sqref="E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54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 t="s">
        <v>1</v>
      </c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14198.768347499979</v>
      </c>
      <c r="B12" s="2">
        <f>XIRR($D$3:D12,$C$3:C12)</f>
        <v>3.1607630848884585E-2</v>
      </c>
      <c r="C12" s="3">
        <v>47331</v>
      </c>
      <c r="D12" s="20">
        <f>$G$3*1.03</f>
        <v>154906.5925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19298.65431999998</v>
      </c>
      <c r="B14" s="2"/>
      <c r="C14" s="3">
        <v>47696</v>
      </c>
      <c r="D14" s="20">
        <f>$G$3*0.03391</f>
        <v>5099.8859725000002</v>
      </c>
    </row>
    <row r="15" spans="1:7" x14ac:dyDescent="0.25">
      <c r="A15" s="5">
        <f>SUM($D$2:D15)</f>
        <v>24398.54029249998</v>
      </c>
      <c r="B15" s="2"/>
      <c r="C15" s="3">
        <v>48061</v>
      </c>
      <c r="D15" s="20">
        <f t="shared" ref="D15:D28" si="0">$G$3*0.03391</f>
        <v>5099.8859725000002</v>
      </c>
    </row>
    <row r="16" spans="1:7" x14ac:dyDescent="0.25">
      <c r="A16" s="5">
        <f>SUM($D$2:D16)</f>
        <v>29498.42626499998</v>
      </c>
      <c r="B16" s="2"/>
      <c r="C16" s="3">
        <v>48427</v>
      </c>
      <c r="D16" s="20">
        <f t="shared" si="0"/>
        <v>5099.8859725000002</v>
      </c>
    </row>
    <row r="17" spans="1:5" x14ac:dyDescent="0.25">
      <c r="A17" s="5">
        <f>SUM($D$2:D17)</f>
        <v>34598.31223749998</v>
      </c>
      <c r="B17" s="2"/>
      <c r="C17" s="3">
        <v>48792</v>
      </c>
      <c r="D17" s="20">
        <f t="shared" si="0"/>
        <v>5099.8859725000002</v>
      </c>
    </row>
    <row r="18" spans="1:5" x14ac:dyDescent="0.25">
      <c r="A18" s="5">
        <f>SUM($D$2:D18)</f>
        <v>39698.19820999998</v>
      </c>
      <c r="B18" s="2"/>
      <c r="C18" s="3">
        <v>49157</v>
      </c>
      <c r="D18" s="20">
        <f t="shared" si="0"/>
        <v>5099.8859725000002</v>
      </c>
    </row>
    <row r="19" spans="1:5" x14ac:dyDescent="0.25">
      <c r="A19" s="5">
        <f>SUM($D$2:D19)</f>
        <v>44798.084182499981</v>
      </c>
      <c r="B19" s="2"/>
      <c r="C19" s="3">
        <v>49522</v>
      </c>
      <c r="D19" s="20">
        <f t="shared" si="0"/>
        <v>5099.8859725000002</v>
      </c>
    </row>
    <row r="20" spans="1:5" x14ac:dyDescent="0.25">
      <c r="A20" s="5">
        <f>SUM($D$2:D20)</f>
        <v>49897.970154999981</v>
      </c>
      <c r="B20" s="2"/>
      <c r="C20" s="3">
        <v>49888</v>
      </c>
      <c r="D20" s="20">
        <f t="shared" si="0"/>
        <v>5099.8859725000002</v>
      </c>
    </row>
    <row r="21" spans="1:5" x14ac:dyDescent="0.25">
      <c r="A21" s="5">
        <f>SUM($D$2:D21)</f>
        <v>54997.856127499981</v>
      </c>
      <c r="B21" s="2"/>
      <c r="C21" s="3">
        <v>50253</v>
      </c>
      <c r="D21" s="20">
        <f t="shared" si="0"/>
        <v>5099.8859725000002</v>
      </c>
    </row>
    <row r="22" spans="1:5" x14ac:dyDescent="0.25">
      <c r="A22" s="5">
        <f>SUM($D$2:D22)</f>
        <v>60097.742099999981</v>
      </c>
      <c r="B22" s="2"/>
      <c r="C22" s="3">
        <v>50618</v>
      </c>
      <c r="D22" s="20">
        <f t="shared" si="0"/>
        <v>5099.8859725000002</v>
      </c>
    </row>
    <row r="23" spans="1:5" x14ac:dyDescent="0.25">
      <c r="A23" s="5">
        <f>SUM($D$2:D23)</f>
        <v>65197.628072499981</v>
      </c>
      <c r="B23" s="2"/>
      <c r="C23" s="3">
        <v>50983</v>
      </c>
      <c r="D23" s="20">
        <f t="shared" si="0"/>
        <v>5099.8859725000002</v>
      </c>
    </row>
    <row r="24" spans="1:5" x14ac:dyDescent="0.25">
      <c r="A24" s="5">
        <f>SUM($D$2:D24)</f>
        <v>70297.514044999989</v>
      </c>
      <c r="B24" s="2"/>
      <c r="C24" s="3">
        <v>51349</v>
      </c>
      <c r="D24" s="20">
        <f t="shared" si="0"/>
        <v>5099.8859725000002</v>
      </c>
    </row>
    <row r="25" spans="1:5" x14ac:dyDescent="0.25">
      <c r="A25" s="5">
        <f>SUM($D$2:D25)</f>
        <v>75397.400017499982</v>
      </c>
      <c r="B25" s="2"/>
      <c r="C25" s="3">
        <v>51714</v>
      </c>
      <c r="D25" s="20">
        <f t="shared" si="0"/>
        <v>5099.8859725000002</v>
      </c>
    </row>
    <row r="26" spans="1:5" x14ac:dyDescent="0.25">
      <c r="A26" s="5">
        <f>SUM($D$2:D26)</f>
        <v>80497.285989999975</v>
      </c>
      <c r="B26" s="2"/>
      <c r="C26" s="3">
        <v>52079</v>
      </c>
      <c r="D26" s="20">
        <f t="shared" si="0"/>
        <v>5099.8859725000002</v>
      </c>
    </row>
    <row r="27" spans="1:5" x14ac:dyDescent="0.25">
      <c r="A27" s="5">
        <f>SUM($D$2:D27)</f>
        <v>85597.171962499968</v>
      </c>
      <c r="B27" s="2"/>
      <c r="C27" s="3">
        <v>52444</v>
      </c>
      <c r="D27" s="20">
        <f t="shared" si="0"/>
        <v>5099.8859725000002</v>
      </c>
    </row>
    <row r="28" spans="1:5" x14ac:dyDescent="0.25">
      <c r="A28" s="5">
        <f>SUM($D$2:D28)</f>
        <v>90697.057934999961</v>
      </c>
      <c r="B28" s="2"/>
      <c r="C28" s="3">
        <v>52810</v>
      </c>
      <c r="D28" s="20">
        <f t="shared" si="0"/>
        <v>5099.8859725000002</v>
      </c>
    </row>
    <row r="29" spans="1:5" x14ac:dyDescent="0.25">
      <c r="A29" s="5">
        <f>SUM($D$2:D29)</f>
        <v>95208.90043499996</v>
      </c>
      <c r="C29" s="3">
        <v>52810</v>
      </c>
      <c r="D29" s="20">
        <f>$G$3*3%</f>
        <v>4511.8424999999997</v>
      </c>
      <c r="E29" t="s">
        <v>11</v>
      </c>
    </row>
    <row r="30" spans="1:5" x14ac:dyDescent="0.25">
      <c r="A30" s="5">
        <f>SUM($D$2:D30)</f>
        <v>245603.65043499996</v>
      </c>
      <c r="B30" s="24">
        <f>IF(0=D12,XIRR(D3:D30,C3:C30),0)</f>
        <v>0</v>
      </c>
      <c r="C30" s="3">
        <v>52810</v>
      </c>
      <c r="D30" s="20">
        <f>$G$3</f>
        <v>150394.75</v>
      </c>
      <c r="E30" t="s">
        <v>9</v>
      </c>
    </row>
  </sheetData>
  <pageMargins left="0.7" right="0.7" top="0.75" bottom="0.75" header="0.3" footer="0.3"/>
  <pageSetup orientation="portrait" horizontalDpi="4294967293" r:id="rId1"/>
  <ignoredErrors>
    <ignoredError sqref="D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8CF-8E7A-4ADA-A831-33688E2F8CF5}">
  <dimension ref="A2:G30"/>
  <sheetViews>
    <sheetView topLeftCell="A2" workbookViewId="0">
      <selection activeCell="D12" sqref="D12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-24000</v>
      </c>
      <c r="B3" s="2"/>
      <c r="C3" s="3">
        <v>45505</v>
      </c>
      <c r="D3" s="20">
        <f>-$G$3/5</f>
        <v>-24000</v>
      </c>
      <c r="F3" t="s">
        <v>0</v>
      </c>
      <c r="G3">
        <v>120000</v>
      </c>
    </row>
    <row r="4" spans="1:7" x14ac:dyDescent="0.25">
      <c r="A4" s="5">
        <f>SUM($D$2:D4)</f>
        <v>-23640</v>
      </c>
      <c r="B4" s="2"/>
      <c r="C4" s="3">
        <v>45566</v>
      </c>
      <c r="D4" s="20">
        <v>360</v>
      </c>
      <c r="G4" s="5"/>
    </row>
    <row r="5" spans="1:7" x14ac:dyDescent="0.25">
      <c r="A5" s="5">
        <f>SUM($D$2:D5)</f>
        <v>-47640</v>
      </c>
      <c r="B5" s="2"/>
      <c r="C5" s="3">
        <v>45870</v>
      </c>
      <c r="D5" s="20">
        <f>-$G$3/5</f>
        <v>-24000</v>
      </c>
    </row>
    <row r="6" spans="1:7" x14ac:dyDescent="0.25">
      <c r="A6" s="5">
        <f>SUM($D$2:D6)</f>
        <v>-45240</v>
      </c>
      <c r="B6" s="2"/>
      <c r="C6" s="3">
        <v>45689</v>
      </c>
      <c r="D6" s="20">
        <f>2.4%*100000</f>
        <v>2400</v>
      </c>
      <c r="E6" t="s">
        <v>55</v>
      </c>
    </row>
    <row r="7" spans="1:7" x14ac:dyDescent="0.25">
      <c r="A7" s="5">
        <f>SUM($D$2:D7)</f>
        <v>-69240</v>
      </c>
      <c r="B7" s="2"/>
      <c r="C7" s="3">
        <v>46235</v>
      </c>
      <c r="D7" s="20">
        <f>-$G$3/5</f>
        <v>-24000</v>
      </c>
    </row>
    <row r="8" spans="1:7" x14ac:dyDescent="0.25">
      <c r="A8" s="5">
        <f>SUM($D$2:D8)</f>
        <v>-93240</v>
      </c>
      <c r="B8" s="2"/>
      <c r="C8" s="3">
        <v>46600</v>
      </c>
      <c r="D8" s="20">
        <f>-$G$3/5</f>
        <v>-24000</v>
      </c>
    </row>
    <row r="9" spans="1:7" x14ac:dyDescent="0.25">
      <c r="A9" s="5">
        <f>SUM($D$2:D9)</f>
        <v>-117240</v>
      </c>
      <c r="B9" s="2"/>
      <c r="C9" s="3">
        <v>46966</v>
      </c>
      <c r="D9" s="20">
        <f>-$G$3/5</f>
        <v>-24000</v>
      </c>
    </row>
    <row r="10" spans="1:7" x14ac:dyDescent="0.25">
      <c r="A10" s="5"/>
      <c r="B10" s="2"/>
    </row>
    <row r="11" spans="1:7" x14ac:dyDescent="0.25">
      <c r="A11" s="5">
        <f>SUM($D$2:D11)</f>
        <v>-113160</v>
      </c>
      <c r="B11" s="2" t="s">
        <v>1</v>
      </c>
      <c r="C11" s="3">
        <v>47331</v>
      </c>
      <c r="D11" s="20">
        <f>$G$3*0.034</f>
        <v>4080.0000000000005</v>
      </c>
      <c r="E11" t="s">
        <v>8</v>
      </c>
    </row>
    <row r="12" spans="1:7" x14ac:dyDescent="0.25">
      <c r="A12" s="5">
        <f>SUM($D$2:D12)</f>
        <v>7440</v>
      </c>
      <c r="B12" s="2">
        <f>XIRR($D$3:D12,$C$3:C12)</f>
        <v>2.0815828442573552E-2</v>
      </c>
      <c r="C12" s="3">
        <v>47331</v>
      </c>
      <c r="D12" s="20">
        <f>$G$3+600</f>
        <v>120600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11520</v>
      </c>
      <c r="B14" s="2"/>
      <c r="C14" s="3">
        <v>47696</v>
      </c>
      <c r="D14" s="20">
        <f t="shared" ref="D14:D28" si="0">$G$3*0.034</f>
        <v>4080.0000000000005</v>
      </c>
    </row>
    <row r="15" spans="1:7" x14ac:dyDescent="0.25">
      <c r="A15" s="5">
        <f>SUM($D$2:D15)</f>
        <v>15600</v>
      </c>
      <c r="B15" s="2"/>
      <c r="C15" s="3">
        <v>48061</v>
      </c>
      <c r="D15" s="20">
        <f t="shared" si="0"/>
        <v>4080.0000000000005</v>
      </c>
    </row>
    <row r="16" spans="1:7" x14ac:dyDescent="0.25">
      <c r="A16" s="5">
        <f>SUM($D$2:D16)</f>
        <v>19680</v>
      </c>
      <c r="B16" s="2"/>
      <c r="C16" s="3">
        <v>48427</v>
      </c>
      <c r="D16" s="20">
        <f t="shared" si="0"/>
        <v>4080.0000000000005</v>
      </c>
    </row>
    <row r="17" spans="1:5" x14ac:dyDescent="0.25">
      <c r="A17" s="5">
        <f>SUM($D$2:D17)</f>
        <v>23760</v>
      </c>
      <c r="B17" s="2"/>
      <c r="C17" s="3">
        <v>48792</v>
      </c>
      <c r="D17" s="20">
        <f t="shared" si="0"/>
        <v>4080.0000000000005</v>
      </c>
    </row>
    <row r="18" spans="1:5" x14ac:dyDescent="0.25">
      <c r="A18" s="5">
        <f>SUM($D$2:D18)</f>
        <v>27840</v>
      </c>
      <c r="B18" s="2"/>
      <c r="C18" s="3">
        <v>49157</v>
      </c>
      <c r="D18" s="20">
        <f t="shared" si="0"/>
        <v>4080.0000000000005</v>
      </c>
    </row>
    <row r="19" spans="1:5" x14ac:dyDescent="0.25">
      <c r="A19" s="5">
        <f>SUM($D$2:D19)</f>
        <v>31920</v>
      </c>
      <c r="B19" s="2"/>
      <c r="C19" s="3">
        <v>49522</v>
      </c>
      <c r="D19" s="20">
        <f t="shared" si="0"/>
        <v>4080.0000000000005</v>
      </c>
    </row>
    <row r="20" spans="1:5" x14ac:dyDescent="0.25">
      <c r="A20" s="5">
        <f>SUM($D$2:D20)</f>
        <v>36000</v>
      </c>
      <c r="B20" s="2"/>
      <c r="C20" s="3">
        <v>49888</v>
      </c>
      <c r="D20" s="20">
        <f t="shared" si="0"/>
        <v>4080.0000000000005</v>
      </c>
    </row>
    <row r="21" spans="1:5" x14ac:dyDescent="0.25">
      <c r="A21" s="5">
        <f>SUM($D$2:D21)</f>
        <v>40080</v>
      </c>
      <c r="B21" s="2"/>
      <c r="C21" s="3">
        <v>50253</v>
      </c>
      <c r="D21" s="20">
        <f t="shared" si="0"/>
        <v>4080.0000000000005</v>
      </c>
    </row>
    <row r="22" spans="1:5" x14ac:dyDescent="0.25">
      <c r="A22" s="5">
        <f>SUM($D$2:D22)</f>
        <v>44160</v>
      </c>
      <c r="B22" s="2"/>
      <c r="C22" s="3">
        <v>50618</v>
      </c>
      <c r="D22" s="20">
        <f t="shared" si="0"/>
        <v>4080.0000000000005</v>
      </c>
    </row>
    <row r="23" spans="1:5" x14ac:dyDescent="0.25">
      <c r="A23" s="5">
        <f>SUM($D$2:D23)</f>
        <v>48240</v>
      </c>
      <c r="B23" s="2"/>
      <c r="C23" s="3">
        <v>50983</v>
      </c>
      <c r="D23" s="20">
        <f t="shared" si="0"/>
        <v>4080.0000000000005</v>
      </c>
    </row>
    <row r="24" spans="1:5" x14ac:dyDescent="0.25">
      <c r="A24" s="5">
        <f>SUM($D$2:D24)</f>
        <v>52320</v>
      </c>
      <c r="B24" s="2"/>
      <c r="C24" s="3">
        <v>51349</v>
      </c>
      <c r="D24" s="20">
        <f t="shared" si="0"/>
        <v>4080.0000000000005</v>
      </c>
    </row>
    <row r="25" spans="1:5" x14ac:dyDescent="0.25">
      <c r="A25" s="5">
        <f>SUM($D$2:D25)</f>
        <v>56400</v>
      </c>
      <c r="B25" s="2"/>
      <c r="C25" s="3">
        <v>51714</v>
      </c>
      <c r="D25" s="20">
        <f t="shared" si="0"/>
        <v>4080.0000000000005</v>
      </c>
    </row>
    <row r="26" spans="1:5" x14ac:dyDescent="0.25">
      <c r="A26" s="5">
        <f>SUM($D$2:D26)</f>
        <v>60480</v>
      </c>
      <c r="B26" s="2"/>
      <c r="C26" s="3">
        <v>52079</v>
      </c>
      <c r="D26" s="20">
        <f t="shared" si="0"/>
        <v>4080.0000000000005</v>
      </c>
    </row>
    <row r="27" spans="1:5" x14ac:dyDescent="0.25">
      <c r="A27" s="5">
        <f>SUM($D$2:D27)</f>
        <v>64560</v>
      </c>
      <c r="B27" s="2"/>
      <c r="C27" s="3">
        <v>52444</v>
      </c>
      <c r="D27" s="20">
        <f t="shared" si="0"/>
        <v>4080.0000000000005</v>
      </c>
    </row>
    <row r="28" spans="1:5" x14ac:dyDescent="0.25">
      <c r="A28" s="5">
        <f>SUM($D$2:D28)</f>
        <v>68640</v>
      </c>
      <c r="B28" s="2"/>
      <c r="C28" s="3">
        <v>52810</v>
      </c>
      <c r="D28" s="20">
        <f t="shared" si="0"/>
        <v>4080.0000000000005</v>
      </c>
    </row>
    <row r="29" spans="1:5" x14ac:dyDescent="0.25">
      <c r="A29" s="5">
        <f>SUM($D$2:D29)</f>
        <v>72240</v>
      </c>
      <c r="C29" s="3">
        <v>52810</v>
      </c>
      <c r="D29" s="20">
        <f>$G$3*3%</f>
        <v>3600</v>
      </c>
      <c r="E29" t="s">
        <v>11</v>
      </c>
    </row>
    <row r="30" spans="1:5" x14ac:dyDescent="0.25">
      <c r="A30" s="5">
        <f>SUM($D$2:D30)</f>
        <v>192240</v>
      </c>
      <c r="B30" s="24">
        <f>IF(0=D12,XIRR(D3:D30,C3:C30),0)</f>
        <v>0</v>
      </c>
      <c r="C30" s="3">
        <v>52810</v>
      </c>
      <c r="D30" s="20">
        <f>$G$3</f>
        <v>120000</v>
      </c>
      <c r="E30" t="s">
        <v>9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Fli2pm 200k</vt:lpstr>
      <vt:lpstr>FLI2PF</vt:lpstr>
      <vt:lpstr>FWD</vt:lpstr>
      <vt:lpstr>overlap ptf</vt:lpstr>
      <vt:lpstr>FLI2</vt:lpstr>
      <vt:lpstr>xirr test</vt:lpstr>
      <vt:lpstr>LTIS</vt:lpstr>
      <vt:lpstr>Taiping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2024-09-20T09:44:58Z</dcterms:modified>
</cp:coreProperties>
</file>