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526313F3-FB82-4459-85EB-DA590D573FE3}" xr6:coauthVersionLast="47" xr6:coauthVersionMax="47" xr10:uidLastSave="{00000000-0000-0000-0000-000000000000}"/>
  <bookViews>
    <workbookView xWindow="150" yWindow="-21600" windowWidth="17310" windowHeight="21600" firstSheet="1" activeTab="2" xr2:uid="{D4D1A54F-01AE-4300-8644-B16194D9355C}"/>
  </bookViews>
  <sheets>
    <sheet name="overlap ptf" sheetId="4" state="hidden" r:id="rId1"/>
    <sheet name="FWD300" sheetId="9" r:id="rId2"/>
    <sheet name="FLI250" sheetId="10" r:id="rId3"/>
    <sheet name="FLI2PF 317" sheetId="5" state="hidden" r:id="rId4"/>
    <sheet name="FLI2" sheetId="1" r:id="rId5"/>
    <sheet name="xirr test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9" l="1"/>
  <c r="F22" i="9"/>
  <c r="F23" i="9"/>
  <c r="C38" i="9"/>
  <c r="F8" i="9"/>
  <c r="F9" i="9"/>
  <c r="F10" i="9"/>
  <c r="F11" i="9"/>
  <c r="F12" i="9"/>
  <c r="F13" i="9"/>
  <c r="F14" i="9"/>
  <c r="F15" i="9"/>
  <c r="F16" i="9"/>
  <c r="F17" i="9"/>
  <c r="F18" i="9"/>
  <c r="C15" i="10"/>
  <c r="C28" i="10"/>
  <c r="B8" i="10"/>
  <c r="F27" i="10" l="1"/>
  <c r="F11" i="10"/>
  <c r="J15" i="10" l="1"/>
  <c r="K15" i="10" s="1"/>
  <c r="F8" i="10"/>
  <c r="F3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K14" i="10"/>
  <c r="F14" i="10"/>
  <c r="K13" i="10"/>
  <c r="F13" i="10"/>
  <c r="F12" i="10"/>
  <c r="F4" i="10"/>
  <c r="K14" i="9"/>
  <c r="F3" i="9"/>
  <c r="J16" i="9"/>
  <c r="F4" i="9"/>
  <c r="F38" i="9" l="1"/>
  <c r="F28" i="10"/>
  <c r="K16" i="10"/>
  <c r="F6" i="10" s="1"/>
  <c r="B14" i="10" s="1"/>
  <c r="B23" i="10"/>
  <c r="B28" i="10" l="1"/>
  <c r="B26" i="10"/>
  <c r="B16" i="10"/>
  <c r="B21" i="10"/>
  <c r="B20" i="10"/>
  <c r="B22" i="10"/>
  <c r="B13" i="10"/>
  <c r="B27" i="10"/>
  <c r="B12" i="10"/>
  <c r="B11" i="10"/>
  <c r="C8" i="10"/>
  <c r="B25" i="10"/>
  <c r="B19" i="10"/>
  <c r="B15" i="10"/>
  <c r="B17" i="10"/>
  <c r="B24" i="10"/>
  <c r="B18" i="10"/>
  <c r="F27" i="9"/>
  <c r="K15" i="9"/>
  <c r="K16" i="9"/>
  <c r="F31" i="9"/>
  <c r="F35" i="9"/>
  <c r="F26" i="9"/>
  <c r="C26" i="9" s="1"/>
  <c r="F24" i="9"/>
  <c r="F28" i="9"/>
  <c r="F32" i="9"/>
  <c r="F36" i="9"/>
  <c r="F30" i="9"/>
  <c r="F34" i="9"/>
  <c r="F25" i="9"/>
  <c r="F29" i="9"/>
  <c r="F33" i="9"/>
  <c r="F37" i="9"/>
  <c r="H5" i="5"/>
  <c r="K17" i="9" l="1"/>
  <c r="F6" i="9" s="1"/>
  <c r="J3" i="5"/>
  <c r="J5" i="5"/>
  <c r="B14" i="9" l="1"/>
  <c r="C14" i="9" s="1"/>
  <c r="B8" i="9"/>
  <c r="C8" i="9" s="1"/>
  <c r="B22" i="9"/>
  <c r="B17" i="9"/>
  <c r="C17" i="9" s="1"/>
  <c r="B16" i="9"/>
  <c r="C16" i="9" s="1"/>
  <c r="B19" i="9"/>
  <c r="C19" i="9" s="1"/>
  <c r="B15" i="9"/>
  <c r="C15" i="9" s="1"/>
  <c r="B13" i="9"/>
  <c r="C13" i="9" s="1"/>
  <c r="B18" i="9"/>
  <c r="C18" i="9" s="1"/>
  <c r="B9" i="9"/>
  <c r="C9" i="9" s="1"/>
  <c r="B11" i="9"/>
  <c r="C11" i="9" s="1"/>
  <c r="B12" i="9"/>
  <c r="C12" i="9" s="1"/>
  <c r="B10" i="9"/>
  <c r="C10" i="9" s="1"/>
  <c r="B34" i="9"/>
  <c r="B35" i="9"/>
  <c r="B33" i="9"/>
  <c r="B23" i="9"/>
  <c r="B31" i="9"/>
  <c r="B27" i="9"/>
  <c r="B28" i="9"/>
  <c r="B36" i="9"/>
  <c r="B32" i="9"/>
  <c r="B30" i="9"/>
  <c r="B25" i="9"/>
  <c r="B24" i="9"/>
  <c r="B37" i="9"/>
  <c r="B29" i="9"/>
  <c r="B26" i="9"/>
  <c r="B38" i="9"/>
  <c r="K7" i="4"/>
  <c r="K5" i="5" l="1"/>
  <c r="G12" i="4" l="1"/>
  <c r="K11" i="4"/>
  <c r="G23" i="4" l="1"/>
  <c r="G8" i="4"/>
  <c r="G9" i="4" s="1"/>
  <c r="G27" i="4"/>
  <c r="G21" i="4"/>
  <c r="F6" i="4"/>
  <c r="K10" i="4" s="1"/>
  <c r="F32" i="4" s="1"/>
  <c r="D4" i="4"/>
  <c r="D3" i="5"/>
  <c r="F7" i="4"/>
  <c r="D7" i="4" s="1"/>
  <c r="F17" i="4"/>
  <c r="D17" i="4" s="1"/>
  <c r="D4" i="5"/>
  <c r="F13" i="4" l="1"/>
  <c r="D13" i="4" s="1"/>
  <c r="K33" i="4"/>
  <c r="F36" i="4"/>
  <c r="D36" i="4" s="1"/>
  <c r="F18" i="4"/>
  <c r="F33" i="4"/>
  <c r="D33" i="4" s="1"/>
  <c r="F38" i="4"/>
  <c r="D38" i="4" s="1"/>
  <c r="F37" i="4"/>
  <c r="D37" i="4" s="1"/>
  <c r="F35" i="4"/>
  <c r="D35" i="4" s="1"/>
  <c r="F34" i="4"/>
  <c r="D34" i="4" s="1"/>
  <c r="D6" i="4"/>
  <c r="G31" i="4"/>
  <c r="D31" i="4" s="1"/>
  <c r="B6" i="4" l="1"/>
  <c r="B7" i="4"/>
  <c r="D32" i="4"/>
  <c r="F24" i="4"/>
  <c r="H9" i="5"/>
  <c r="D21" i="4"/>
  <c r="D27" i="4"/>
  <c r="G30" i="4"/>
  <c r="D30" i="4" s="1"/>
  <c r="G29" i="4"/>
  <c r="D29" i="4" s="1"/>
  <c r="G28" i="4"/>
  <c r="D28" i="4" s="1"/>
  <c r="G22" i="4"/>
  <c r="D22" i="4" s="1"/>
  <c r="E14" i="4"/>
  <c r="D14" i="4" s="1"/>
  <c r="D16" i="5" l="1"/>
  <c r="D11" i="5"/>
  <c r="B11" i="5" s="1"/>
  <c r="D24" i="5"/>
  <c r="D25" i="5"/>
  <c r="D14" i="5"/>
  <c r="B14" i="5" s="1"/>
  <c r="D17" i="5"/>
  <c r="D21" i="5"/>
  <c r="D23" i="5"/>
  <c r="D26" i="5"/>
  <c r="D18" i="5"/>
  <c r="D20" i="5"/>
  <c r="D22" i="5"/>
  <c r="D12" i="5"/>
  <c r="B12" i="5" s="1"/>
  <c r="D13" i="5"/>
  <c r="D15" i="5"/>
  <c r="D19" i="5"/>
  <c r="D27" i="5"/>
  <c r="B13" i="5"/>
  <c r="B15" i="5"/>
  <c r="L4" i="5"/>
  <c r="L3" i="5"/>
  <c r="L5" i="5"/>
  <c r="D23" i="4"/>
  <c r="E15" i="4"/>
  <c r="D15" i="4" s="1"/>
  <c r="D12" i="4"/>
  <c r="D9" i="4"/>
  <c r="E3" i="4"/>
  <c r="D6" i="5" l="1"/>
  <c r="D3" i="4"/>
  <c r="D8" i="4"/>
  <c r="G20" i="4"/>
  <c r="D20" i="4" s="1"/>
  <c r="G19" i="4"/>
  <c r="D19" i="4" s="1"/>
  <c r="G11" i="4"/>
  <c r="G16" i="4"/>
  <c r="D16" i="4" s="1"/>
  <c r="D18" i="4"/>
  <c r="E5" i="4"/>
  <c r="E10" i="4"/>
  <c r="B27" i="3"/>
  <c r="E1" i="3" s="1"/>
  <c r="B9" i="5" l="1"/>
  <c r="A9" i="5" s="1"/>
  <c r="B28" i="5"/>
  <c r="B8" i="4"/>
  <c r="B9" i="4"/>
  <c r="E25" i="4"/>
  <c r="G24" i="4"/>
  <c r="D11" i="4"/>
  <c r="E24" i="4"/>
  <c r="D5" i="4"/>
  <c r="K14" i="4" s="1"/>
  <c r="D10" i="4"/>
  <c r="B31" i="4" l="1"/>
  <c r="B22" i="4"/>
  <c r="B13" i="4"/>
  <c r="B19" i="4"/>
  <c r="B30" i="4"/>
  <c r="B12" i="4"/>
  <c r="B23" i="4"/>
  <c r="B29" i="4"/>
  <c r="B35" i="4"/>
  <c r="B20" i="4"/>
  <c r="B17" i="4"/>
  <c r="B15" i="4"/>
  <c r="B14" i="4"/>
  <c r="B11" i="4"/>
  <c r="B34" i="4"/>
  <c r="B37" i="4"/>
  <c r="B38" i="4"/>
  <c r="B27" i="4"/>
  <c r="B21" i="4"/>
  <c r="B33" i="4"/>
  <c r="B36" i="4"/>
  <c r="B28" i="4"/>
  <c r="B18" i="4"/>
  <c r="B16" i="4"/>
  <c r="B32" i="4"/>
  <c r="B10" i="4"/>
  <c r="K13" i="4"/>
  <c r="K15" i="4" s="1"/>
  <c r="C10" i="1" l="1"/>
  <c r="C9" i="1"/>
  <c r="C3" i="1" l="1"/>
  <c r="C5" i="1" l="1"/>
  <c r="C7" i="1"/>
  <c r="F10" i="1"/>
  <c r="A10" i="1" l="1"/>
</calcChain>
</file>

<file path=xl/sharedStrings.xml><?xml version="1.0" encoding="utf-8"?>
<sst xmlns="http://schemas.openxmlformats.org/spreadsheetml/2006/main" count="131" uniqueCount="98">
  <si>
    <t>total prem</t>
  </si>
  <si>
    <t>XIRR</t>
  </si>
  <si>
    <t>cash in/out</t>
  </si>
  <si>
    <t>first payout</t>
  </si>
  <si>
    <t>total prem - FLI2</t>
  </si>
  <si>
    <t>xirr</t>
  </si>
  <si>
    <t>first payout FLI2</t>
  </si>
  <si>
    <t>first payout LTIS</t>
  </si>
  <si>
    <t>total prem - Ltis</t>
  </si>
  <si>
    <t>net income</t>
  </si>
  <si>
    <t>total prem - FLI2PF</t>
  </si>
  <si>
    <t>long term LIR</t>
  </si>
  <si>
    <t>loan quantum</t>
  </si>
  <si>
    <t>upfront rebate</t>
  </si>
  <si>
    <t>Ltis 9% of 30k</t>
  </si>
  <si>
    <t>FLI2PF upfront</t>
  </si>
  <si>
    <t>first payout FLI2PF</t>
  </si>
  <si>
    <t>FLI2</t>
  </si>
  <si>
    <t>FLI2PF</t>
  </si>
  <si>
    <t>loan quantum #76%</t>
  </si>
  <si>
    <t>sumOf3-&gt;</t>
  </si>
  <si>
    <t>Feb26-Jan27 LIR#est</t>
  </si>
  <si>
    <t>FLI2 upfront</t>
  </si>
  <si>
    <t>keep -0.01 to satisfy xirr</t>
  </si>
  <si>
    <t>LTIS</t>
  </si>
  <si>
    <t>net inc</t>
  </si>
  <si>
    <t>net inc end-to-end excluding 210k nest egg</t>
  </si>
  <si>
    <t>$4512 bonus</t>
  </si>
  <si>
    <t>FLI2PF 首付</t>
  </si>
  <si>
    <t>12mTD excess profit</t>
  </si>
  <si>
    <t>capital deployed</t>
  </si>
  <si>
    <t>capital 2b earmarked</t>
  </si>
  <si>
    <t>redeem FLI2</t>
  </si>
  <si>
    <t>redeem FLI2PF</t>
  </si>
  <si>
    <t>redeem LTIS</t>
  </si>
  <si>
    <t>This analysis has received lots of sunshine and become valuable</t>
  </si>
  <si>
    <t>-&gt;</t>
  </si>
  <si>
    <t>long term LIR est</t>
  </si>
  <si>
    <t>end2end profit 
#cf other 3 tabs:</t>
  </si>
  <si>
    <t>net DYOC</t>
  </si>
  <si>
    <t>30M int 
#当作Nov25缴</t>
  </si>
  <si>
    <t>&lt;XIRR&gt;</t>
  </si>
  <si>
    <t>annual FCF received, while keeping 210k liquid  in FLI2PF and LTIS</t>
  </si>
  <si>
    <t>watermark of cum outlay since Aug24</t>
  </si>
  <si>
    <t>FWD upfront</t>
  </si>
  <si>
    <t>surrender FLI2PF #317k to wipe out loan</t>
  </si>
  <si>
    <t>FLI2PF down payment</t>
  </si>
  <si>
    <t>FLI2pf xirr</t>
  </si>
  <si>
    <t>PnL</t>
  </si>
  <si>
    <t>net outlay</t>
  </si>
  <si>
    <t>ditto</t>
  </si>
  <si>
    <t>-- if 退保 --</t>
  </si>
  <si>
    <t>Surrender bonus=17k+ after 20Y</t>
  </si>
  <si>
    <t xml:space="preserve">DYOC </t>
  </si>
  <si>
    <t>annual payout proj</t>
  </si>
  <si>
    <t>DYOC is simpler, more direct but less unbiased than XIRR</t>
  </si>
  <si>
    <t>final 6M COF+45bp</t>
  </si>
  <si>
    <t>DYOC "cost" calc is arbitrary.. includes down payment, assumes $0 upfront payout</t>
  </si>
  <si>
    <t>27M int cost</t>
  </si>
  <si>
    <t>total prem#portal</t>
  </si>
  <si>
    <t>first payout #illustration</t>
  </si>
  <si>
    <t xml:space="preserve">final 1Y+  LIR </t>
  </si>
  <si>
    <t>FWD300k is better in concentration risk, more prudent, in terms of worst-case PnL, monthly loan int</t>
  </si>
  <si>
    <t>down payment</t>
  </si>
  <si>
    <t>FWD41 can absorb more of my excess cash (welcome) but what if in X years I need more liquidity?</t>
  </si>
  <si>
    <t>35M int cost</t>
  </si>
  <si>
    <t>long term avg LIR</t>
  </si>
  <si>
    <t>DYOC</t>
  </si>
  <si>
    <t>PnL if 
退保</t>
  </si>
  <si>
    <t>&lt;-</t>
  </si>
  <si>
    <t>net outlay 
assum`LIR=3%</t>
  </si>
  <si>
    <t>first</t>
  </si>
  <si>
    <t>next</t>
  </si>
  <si>
    <t>last</t>
  </si>
  <si>
    <t>09M LIR =</t>
  </si>
  <si>
    <t>12M LIR =</t>
  </si>
  <si>
    <t>14M LIR =</t>
  </si>
  <si>
    <t>DYOC is imprecise. CCCost can be computed multiple ways; I used the simplest convention.</t>
  </si>
  <si>
    <t>.. Based on this convention, only the initial down payment is included. All subsequent cash flows are treated as other things.</t>
  </si>
  <si>
    <t>Surrender in Nov of Year8 before receiving the Year9 payouts in advance. Clawback 100% otherwise. (Year8 as eg)</t>
  </si>
  <si>
    <t>surrender FWD to wipe out loan, but $0 annual payout</t>
  </si>
  <si>
    <t>Let's not use this s/s to record any actual instalment… too messy.</t>
  </si>
  <si>
    <t>loan disbursed</t>
  </si>
  <si>
    <t>total</t>
  </si>
  <si>
    <t>monthly est</t>
  </si>
  <si>
    <t>loan</t>
  </si>
  <si>
    <t>FLI upfront</t>
  </si>
  <si>
    <t xml:space="preserve">last window  LIR </t>
  </si>
  <si>
    <t>08M LIR =</t>
  </si>
  <si>
    <t>10M LIR =</t>
  </si>
  <si>
    <t>30M int cost</t>
  </si>
  <si>
    <t>Surrender bonus=14k after age70</t>
  </si>
  <si>
    <r>
      <t>&lt; 1M COF + 45 bps, can hit</t>
    </r>
    <r>
      <rPr>
        <sz val="11"/>
        <color theme="5" tint="-0.249977111117893"/>
        <rFont val="Calibri"/>
        <family val="2"/>
        <scheme val="minor"/>
      </rPr>
      <t xml:space="preserve"> </t>
    </r>
    <r>
      <rPr>
        <sz val="11"/>
        <color theme="5"/>
        <rFont val="Calibri"/>
        <family val="2"/>
        <scheme val="minor"/>
      </rPr>
      <t>4 ppa</t>
    </r>
  </si>
  <si>
    <r>
      <t xml:space="preserve">&lt; 3.2554 ppa payouts, </t>
    </r>
    <r>
      <rPr>
        <sz val="11"/>
        <color theme="5" tint="0.39997558519241921"/>
        <rFont val="Calibri"/>
        <family val="2"/>
        <scheme val="minor"/>
      </rPr>
      <t>non-guaranteed</t>
    </r>
  </si>
  <si>
    <r>
      <t xml:space="preserve">&lt; 1M COF + 45 bps, can stay above </t>
    </r>
    <r>
      <rPr>
        <b/>
        <sz val="11"/>
        <color rgb="FFFF0000"/>
        <rFont val="Calibri"/>
        <family val="2"/>
        <scheme val="minor"/>
      </rPr>
      <t>3 ppa</t>
    </r>
    <r>
      <rPr>
        <sz val="11"/>
        <color theme="1"/>
        <rFont val="Calibri"/>
        <family val="2"/>
        <scheme val="minor"/>
      </rPr>
      <t xml:space="preserve"> (#1 risk)</t>
    </r>
  </si>
  <si>
    <r>
      <t xml:space="preserve">&lt; 3.38% for first 24 annual payouts, </t>
    </r>
    <r>
      <rPr>
        <sz val="11"/>
        <color theme="5" tint="0.39997558519241921"/>
        <rFont val="Calibri"/>
        <family val="2"/>
        <scheme val="minor"/>
      </rPr>
      <t>non-guaranteed</t>
    </r>
  </si>
  <si>
    <t>surr val=100%</t>
  </si>
  <si>
    <t>switch to annual payout and long-term LIR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</si>
</sst>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/yy;@"/>
    <numFmt numFmtId="165" formatCode="&quot;$&quot;#,##0"/>
    <numFmt numFmtId="166" formatCode="&quot;$&quot;#,##0.00"/>
    <numFmt numFmtId="167" formatCode="0.0000%"/>
    <numFmt numFmtId="168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3">
    <xf numFmtId="0" fontId="0" fillId="0" borderId="0" xfId="0"/>
    <xf numFmtId="15" fontId="0" fillId="0" borderId="0" xfId="0" applyNumberFormat="1"/>
    <xf numFmtId="10" fontId="0" fillId="0" borderId="0" xfId="0" applyNumberFormat="1"/>
    <xf numFmtId="164" fontId="0" fillId="0" borderId="0" xfId="0" applyNumberFormat="1"/>
    <xf numFmtId="17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/>
    <xf numFmtId="0" fontId="0" fillId="0" borderId="6" xfId="0" applyBorder="1"/>
    <xf numFmtId="164" fontId="0" fillId="0" borderId="6" xfId="0" applyNumberFormat="1" applyBorder="1"/>
    <xf numFmtId="3" fontId="0" fillId="0" borderId="6" xfId="0" applyNumberFormat="1" applyBorder="1"/>
    <xf numFmtId="17" fontId="0" fillId="0" borderId="6" xfId="0" applyNumberFormat="1" applyBorder="1"/>
    <xf numFmtId="10" fontId="0" fillId="0" borderId="6" xfId="0" applyNumberFormat="1" applyBorder="1"/>
    <xf numFmtId="0" fontId="0" fillId="0" borderId="6" xfId="0" applyBorder="1" applyAlignment="1">
      <alignment horizontal="left"/>
    </xf>
    <xf numFmtId="4" fontId="0" fillId="0" borderId="0" xfId="0" applyNumberFormat="1"/>
    <xf numFmtId="0" fontId="0" fillId="0" borderId="0" xfId="0" applyBorder="1" applyAlignment="1">
      <alignment horizontal="left"/>
    </xf>
    <xf numFmtId="1" fontId="0" fillId="0" borderId="0" xfId="0" applyNumberFormat="1"/>
    <xf numFmtId="3" fontId="0" fillId="0" borderId="8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0" fontId="0" fillId="0" borderId="0" xfId="1" applyNumberFormat="1" applyFont="1"/>
    <xf numFmtId="0" fontId="0" fillId="0" borderId="6" xfId="0" applyBorder="1" applyAlignment="1">
      <alignment wrapText="1"/>
    </xf>
    <xf numFmtId="3" fontId="0" fillId="0" borderId="6" xfId="0" applyNumberFormat="1" applyFont="1" applyBorder="1"/>
    <xf numFmtId="167" fontId="0" fillId="0" borderId="0" xfId="0" applyNumberFormat="1"/>
    <xf numFmtId="3" fontId="0" fillId="0" borderId="6" xfId="0" quotePrefix="1" applyNumberFormat="1" applyBorder="1"/>
    <xf numFmtId="10" fontId="0" fillId="0" borderId="0" xfId="1" applyNumberFormat="1" applyFont="1" applyBorder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164" fontId="0" fillId="0" borderId="0" xfId="0" applyNumberFormat="1" applyFill="1"/>
    <xf numFmtId="166" fontId="0" fillId="0" borderId="0" xfId="0" applyNumberFormat="1" applyFill="1"/>
    <xf numFmtId="9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 applyFill="1" applyBorder="1"/>
    <xf numFmtId="10" fontId="0" fillId="0" borderId="0" xfId="1" applyNumberFormat="1" applyFont="1" applyFill="1" applyBorder="1"/>
    <xf numFmtId="0" fontId="0" fillId="0" borderId="6" xfId="0" applyFill="1" applyBorder="1"/>
    <xf numFmtId="165" fontId="0" fillId="0" borderId="6" xfId="0" applyNumberFormat="1" applyFill="1" applyBorder="1"/>
    <xf numFmtId="10" fontId="0" fillId="0" borderId="6" xfId="0" applyNumberFormat="1" applyFill="1" applyBorder="1"/>
    <xf numFmtId="0" fontId="0" fillId="0" borderId="6" xfId="0" applyFill="1" applyBorder="1" applyAlignment="1">
      <alignment horizontal="left"/>
    </xf>
    <xf numFmtId="168" fontId="0" fillId="0" borderId="6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10" fontId="0" fillId="0" borderId="0" xfId="0" applyNumberFormat="1" applyFill="1" applyAlignment="1">
      <alignment horizontal="right"/>
    </xf>
    <xf numFmtId="17" fontId="0" fillId="0" borderId="6" xfId="0" applyNumberFormat="1" applyFill="1" applyBorder="1"/>
    <xf numFmtId="164" fontId="0" fillId="0" borderId="6" xfId="0" applyNumberFormat="1" applyFill="1" applyBorder="1"/>
    <xf numFmtId="0" fontId="0" fillId="0" borderId="0" xfId="0" applyFill="1" applyBorder="1" applyAlignment="1">
      <alignment horizontal="right"/>
    </xf>
    <xf numFmtId="4" fontId="0" fillId="0" borderId="6" xfId="0" applyNumberFormat="1" applyFill="1" applyBorder="1"/>
    <xf numFmtId="4" fontId="0" fillId="0" borderId="0" xfId="0" applyNumberFormat="1" applyFill="1"/>
    <xf numFmtId="165" fontId="0" fillId="0" borderId="6" xfId="0" applyNumberFormat="1" applyBorder="1"/>
    <xf numFmtId="10" fontId="0" fillId="0" borderId="6" xfId="0" applyNumberFormat="1" applyFill="1" applyBorder="1" applyAlignment="1">
      <alignment horizontal="left"/>
    </xf>
    <xf numFmtId="10" fontId="0" fillId="0" borderId="6" xfId="0" applyNumberFormat="1" applyBorder="1" applyAlignment="1">
      <alignment horizontal="left"/>
    </xf>
    <xf numFmtId="0" fontId="0" fillId="0" borderId="0" xfId="0"/>
    <xf numFmtId="0" fontId="0" fillId="0" borderId="0" xfId="0"/>
    <xf numFmtId="3" fontId="0" fillId="0" borderId="1" xfId="0" applyNumberFormat="1" applyBorder="1"/>
    <xf numFmtId="3" fontId="0" fillId="0" borderId="2" xfId="0" applyNumberFormat="1" applyBorder="1"/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right"/>
    </xf>
    <xf numFmtId="9" fontId="0" fillId="0" borderId="6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0" fontId="2" fillId="0" borderId="0" xfId="0" applyFont="1" applyFill="1"/>
    <xf numFmtId="1" fontId="0" fillId="0" borderId="0" xfId="0" applyNumberFormat="1" applyFill="1"/>
    <xf numFmtId="3" fontId="0" fillId="0" borderId="6" xfId="0" applyNumberFormat="1" applyFill="1" applyBorder="1"/>
    <xf numFmtId="164" fontId="0" fillId="0" borderId="6" xfId="0" applyNumberFormat="1" applyFill="1" applyBorder="1" applyAlignment="1">
      <alignment horizontal="center"/>
    </xf>
    <xf numFmtId="3" fontId="0" fillId="0" borderId="1" xfId="0" applyNumberFormat="1" applyFill="1" applyBorder="1"/>
    <xf numFmtId="3" fontId="0" fillId="0" borderId="2" xfId="0" applyNumberFormat="1" applyFill="1" applyBorder="1"/>
    <xf numFmtId="3" fontId="0" fillId="0" borderId="13" xfId="0" applyNumberFormat="1" applyFill="1" applyBorder="1"/>
    <xf numFmtId="0" fontId="0" fillId="0" borderId="13" xfId="0" applyFill="1" applyBorder="1"/>
    <xf numFmtId="0" fontId="0" fillId="0" borderId="6" xfId="0" applyFill="1" applyBorder="1" applyAlignment="1">
      <alignment horizontal="right"/>
    </xf>
    <xf numFmtId="165" fontId="0" fillId="0" borderId="7" xfId="0" applyNumberFormat="1" applyFill="1" applyBorder="1"/>
    <xf numFmtId="9" fontId="0" fillId="0" borderId="6" xfId="0" applyNumberFormat="1" applyFill="1" applyBorder="1"/>
    <xf numFmtId="165" fontId="0" fillId="0" borderId="8" xfId="0" applyNumberFormat="1" applyFill="1" applyBorder="1"/>
    <xf numFmtId="167" fontId="0" fillId="0" borderId="6" xfId="0" applyNumberFormat="1" applyFill="1" applyBorder="1" applyAlignment="1">
      <alignment horizontal="left"/>
    </xf>
    <xf numFmtId="9" fontId="0" fillId="0" borderId="6" xfId="0" applyNumberFormat="1" applyFill="1" applyBorder="1" applyAlignment="1">
      <alignment horizontal="left"/>
    </xf>
    <xf numFmtId="3" fontId="0" fillId="0" borderId="0" xfId="0" applyNumberFormat="1"/>
    <xf numFmtId="0" fontId="0" fillId="0" borderId="0" xfId="0"/>
    <xf numFmtId="0" fontId="0" fillId="0" borderId="14" xfId="0" applyBorder="1"/>
    <xf numFmtId="3" fontId="0" fillId="0" borderId="0" xfId="0" applyNumberFormat="1" applyBorder="1"/>
    <xf numFmtId="3" fontId="0" fillId="0" borderId="10" xfId="0" applyNumberFormat="1" applyBorder="1"/>
    <xf numFmtId="3" fontId="0" fillId="0" borderId="3" xfId="0" applyNumberFormat="1" applyBorder="1"/>
    <xf numFmtId="3" fontId="0" fillId="0" borderId="5" xfId="0" applyNumberFormat="1" applyBorder="1"/>
    <xf numFmtId="17" fontId="0" fillId="0" borderId="1" xfId="0" applyNumberFormat="1" applyBorder="1" applyAlignment="1">
      <alignment horizontal="center" vertical="center" wrapText="1"/>
    </xf>
    <xf numFmtId="17" fontId="0" fillId="0" borderId="0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" xfId="0" applyFill="1" applyBorder="1"/>
    <xf numFmtId="0" fontId="0" fillId="0" borderId="0" xfId="0" applyFill="1"/>
    <xf numFmtId="0" fontId="0" fillId="0" borderId="1" xfId="0" applyBorder="1"/>
    <xf numFmtId="0" fontId="0" fillId="0" borderId="0" xfId="0" applyBorder="1"/>
    <xf numFmtId="0" fontId="0" fillId="0" borderId="10" xfId="0" applyBorder="1" applyAlignment="1">
      <alignment horizontal="left" vertical="center"/>
    </xf>
    <xf numFmtId="0" fontId="0" fillId="0" borderId="11" xfId="0" applyFill="1" applyBorder="1" applyAlignment="1">
      <alignment horizontal="left" wrapText="1"/>
    </xf>
    <xf numFmtId="0" fontId="0" fillId="0" borderId="1" xfId="0" applyFill="1" applyBorder="1" applyAlignment="1">
      <alignment horizontal="left"/>
    </xf>
    <xf numFmtId="10" fontId="0" fillId="0" borderId="12" xfId="0" applyNumberFormat="1" applyFill="1" applyBorder="1" applyAlignment="1">
      <alignment horizontal="left" wrapText="1"/>
    </xf>
    <xf numFmtId="10" fontId="0" fillId="0" borderId="2" xfId="0" applyNumberFormat="1" applyFill="1" applyBorder="1" applyAlignment="1">
      <alignment horizontal="left" wrapText="1"/>
    </xf>
    <xf numFmtId="0" fontId="0" fillId="0" borderId="0" xfId="0"/>
    <xf numFmtId="0" fontId="0" fillId="0" borderId="10" xfId="0" applyFill="1" applyBorder="1" applyAlignment="1">
      <alignment horizontal="left" vertical="center"/>
    </xf>
    <xf numFmtId="3" fontId="0" fillId="0" borderId="0" xfId="0" applyNumberFormat="1" applyFill="1"/>
    <xf numFmtId="3" fontId="0" fillId="0" borderId="0" xfId="0" quotePrefix="1" applyNumberFormat="1" applyFill="1" applyAlignment="1">
      <alignment horizontal="center"/>
    </xf>
    <xf numFmtId="3" fontId="0" fillId="0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D748-F112-4127-97BA-6CDBDF125DA1}">
  <dimension ref="B1:K40"/>
  <sheetViews>
    <sheetView workbookViewId="0">
      <selection activeCell="O26" sqref="O26"/>
    </sheetView>
  </sheetViews>
  <sheetFormatPr defaultRowHeight="15" x14ac:dyDescent="0.25"/>
  <cols>
    <col min="1" max="1" width="1.140625" customWidth="1"/>
    <col min="2" max="2" width="8.28515625" bestFit="1" customWidth="1"/>
    <col min="3" max="3" width="7.42578125" style="4" bestFit="1" customWidth="1"/>
    <col min="4" max="4" width="9.5703125" style="5" bestFit="1" customWidth="1"/>
    <col min="5" max="6" width="7.28515625" style="5" bestFit="1" customWidth="1"/>
    <col min="7" max="7" width="7.5703125" style="5" bestFit="1" customWidth="1"/>
    <col min="8" max="8" width="18.140625" customWidth="1"/>
    <col min="9" max="9" width="1.85546875" customWidth="1"/>
    <col min="10" max="10" width="19.7109375" bestFit="1" customWidth="1"/>
    <col min="11" max="11" width="10" bestFit="1" customWidth="1"/>
  </cols>
  <sheetData>
    <row r="1" spans="2:11" ht="5.25" customHeight="1" x14ac:dyDescent="0.25"/>
    <row r="2" spans="2:11" x14ac:dyDescent="0.25">
      <c r="B2" s="8" t="s">
        <v>25</v>
      </c>
      <c r="C2" s="11"/>
      <c r="D2" s="10" t="s">
        <v>20</v>
      </c>
      <c r="E2" s="10" t="s">
        <v>17</v>
      </c>
      <c r="F2" s="10" t="s">
        <v>18</v>
      </c>
      <c r="G2" s="10" t="s">
        <v>24</v>
      </c>
      <c r="H2" s="8"/>
      <c r="I2" s="7"/>
    </row>
    <row r="3" spans="2:11" x14ac:dyDescent="0.25">
      <c r="B3" s="8"/>
      <c r="C3" s="11">
        <v>45170</v>
      </c>
      <c r="D3" s="10">
        <f>SUM(E3:G3)</f>
        <v>-50065.676666666666</v>
      </c>
      <c r="E3" s="10">
        <f>-K8/3</f>
        <v>-50065.666666666664</v>
      </c>
      <c r="F3" s="10"/>
      <c r="G3" s="10">
        <v>-0.01</v>
      </c>
      <c r="H3" s="8" t="s">
        <v>23</v>
      </c>
      <c r="I3" s="7"/>
    </row>
    <row r="4" spans="2:11" x14ac:dyDescent="0.25">
      <c r="B4" s="10"/>
      <c r="C4" s="11">
        <v>45261</v>
      </c>
      <c r="D4" s="10">
        <f t="shared" ref="D4:D38" si="0">SUM(E4:G4)</f>
        <v>6129</v>
      </c>
      <c r="E4" s="10">
        <v>6129</v>
      </c>
      <c r="F4" s="10"/>
      <c r="G4" s="10"/>
      <c r="H4" s="8" t="s">
        <v>22</v>
      </c>
      <c r="I4" s="7"/>
    </row>
    <row r="5" spans="2:11" x14ac:dyDescent="0.25">
      <c r="B5" s="10"/>
      <c r="C5" s="11">
        <v>45352</v>
      </c>
      <c r="D5" s="10">
        <f t="shared" si="0"/>
        <v>-50065.666666666664</v>
      </c>
      <c r="E5" s="10">
        <f>E3</f>
        <v>-50065.666666666664</v>
      </c>
      <c r="F5" s="10"/>
      <c r="G5" s="10"/>
      <c r="H5" s="8"/>
      <c r="I5" s="7"/>
    </row>
    <row r="6" spans="2:11" x14ac:dyDescent="0.25">
      <c r="B6" s="10">
        <f>SUM($D$6:D6)</f>
        <v>-60000</v>
      </c>
      <c r="C6" s="11">
        <v>45505</v>
      </c>
      <c r="D6" s="10">
        <f t="shared" si="0"/>
        <v>-60000</v>
      </c>
      <c r="E6" s="10"/>
      <c r="F6" s="10">
        <f>-24%*K9</f>
        <v>-60000</v>
      </c>
      <c r="G6" s="10"/>
      <c r="H6" s="8" t="s">
        <v>28</v>
      </c>
      <c r="I6" s="7"/>
    </row>
    <row r="7" spans="2:11" x14ac:dyDescent="0.25">
      <c r="B7" s="10">
        <f>SUM($D$6:D7)</f>
        <v>-56575</v>
      </c>
      <c r="C7" s="11">
        <v>45566</v>
      </c>
      <c r="D7" s="10">
        <f t="shared" si="0"/>
        <v>3425</v>
      </c>
      <c r="E7" s="10"/>
      <c r="F7" s="10">
        <f>1.37%*K9</f>
        <v>3425</v>
      </c>
      <c r="G7" s="10"/>
      <c r="H7" s="8" t="s">
        <v>15</v>
      </c>
      <c r="I7" s="7"/>
      <c r="J7" t="s">
        <v>8</v>
      </c>
      <c r="K7" s="14">
        <f>150394.75*0</f>
        <v>0</v>
      </c>
    </row>
    <row r="8" spans="2:11" x14ac:dyDescent="0.25">
      <c r="B8" s="10">
        <f>SUM($D$6:D8)</f>
        <v>-56575</v>
      </c>
      <c r="C8" s="11">
        <v>45505</v>
      </c>
      <c r="D8" s="10">
        <f t="shared" si="0"/>
        <v>0</v>
      </c>
      <c r="E8" s="10"/>
      <c r="F8" s="10"/>
      <c r="G8" s="10">
        <f>-$K$7/5</f>
        <v>0</v>
      </c>
      <c r="H8" s="8"/>
      <c r="I8" s="7"/>
      <c r="J8" t="s">
        <v>4</v>
      </c>
      <c r="K8" s="5">
        <v>150197</v>
      </c>
    </row>
    <row r="9" spans="2:11" x14ac:dyDescent="0.25">
      <c r="B9" s="10">
        <f>SUM($D$6:D9)</f>
        <v>-56575</v>
      </c>
      <c r="C9" s="11">
        <v>45566</v>
      </c>
      <c r="D9" s="10">
        <f t="shared" si="0"/>
        <v>0</v>
      </c>
      <c r="E9" s="10"/>
      <c r="F9" s="10"/>
      <c r="G9" s="10">
        <f>-9%*G8</f>
        <v>0</v>
      </c>
      <c r="H9" s="8" t="s">
        <v>14</v>
      </c>
      <c r="I9" s="7"/>
      <c r="J9" t="s">
        <v>10</v>
      </c>
      <c r="K9" s="5">
        <v>250000</v>
      </c>
    </row>
    <row r="10" spans="2:11" x14ac:dyDescent="0.25">
      <c r="B10" s="10">
        <f>SUM($D$6:D10)</f>
        <v>-106640.66666666666</v>
      </c>
      <c r="C10" s="11">
        <v>45717</v>
      </c>
      <c r="D10" s="10">
        <f t="shared" si="0"/>
        <v>-50065.666666666664</v>
      </c>
      <c r="E10" s="10">
        <f>E3</f>
        <v>-50065.666666666664</v>
      </c>
      <c r="F10" s="10"/>
      <c r="G10" s="10"/>
      <c r="H10" s="8"/>
      <c r="I10" s="7"/>
      <c r="J10" t="s">
        <v>19</v>
      </c>
      <c r="K10" s="5">
        <f>K9+F6</f>
        <v>190000</v>
      </c>
    </row>
    <row r="11" spans="2:11" x14ac:dyDescent="0.25">
      <c r="B11" s="10">
        <f>SUM($D$6:D11)</f>
        <v>-106640.66666666666</v>
      </c>
      <c r="C11" s="11">
        <v>45870</v>
      </c>
      <c r="D11" s="10">
        <f t="shared" si="0"/>
        <v>0</v>
      </c>
      <c r="E11" s="10"/>
      <c r="F11" s="10"/>
      <c r="G11" s="10">
        <f>G8</f>
        <v>0</v>
      </c>
      <c r="H11" s="8"/>
      <c r="I11" s="7"/>
      <c r="J11" t="s">
        <v>21</v>
      </c>
      <c r="K11" s="2">
        <f>0.5%+K32</f>
        <v>3.0000000000000002E-2</v>
      </c>
    </row>
    <row r="12" spans="2:11" x14ac:dyDescent="0.25">
      <c r="B12" s="10">
        <f>SUM($D$6:D12)</f>
        <v>-106640.66666666666</v>
      </c>
      <c r="C12" s="11">
        <v>45870</v>
      </c>
      <c r="D12" s="10">
        <f t="shared" si="0"/>
        <v>0</v>
      </c>
      <c r="E12" s="10"/>
      <c r="F12" s="10"/>
      <c r="G12" s="10">
        <f>(0.0425-0.03)*K7</f>
        <v>0</v>
      </c>
      <c r="H12" s="8" t="s">
        <v>29</v>
      </c>
      <c r="I12" s="7"/>
    </row>
    <row r="13" spans="2:11" ht="30" x14ac:dyDescent="0.25">
      <c r="B13" s="10">
        <f>SUM($D$6:D13)</f>
        <v>-118850.66666666666</v>
      </c>
      <c r="C13" s="11">
        <v>45962</v>
      </c>
      <c r="D13" s="10">
        <f t="shared" si="0"/>
        <v>-12210</v>
      </c>
      <c r="E13" s="10"/>
      <c r="F13" s="10">
        <f>-(6510+K10*K11)</f>
        <v>-12210</v>
      </c>
      <c r="G13" s="10"/>
      <c r="H13" s="21" t="s">
        <v>40</v>
      </c>
      <c r="I13" s="7"/>
      <c r="J13" s="21" t="s">
        <v>43</v>
      </c>
      <c r="K13" s="22">
        <f>B13</f>
        <v>-118850.66666666666</v>
      </c>
    </row>
    <row r="14" spans="2:11" x14ac:dyDescent="0.25">
      <c r="B14" s="10">
        <f>SUM($D$6:D14)</f>
        <v>-114377.80000666666</v>
      </c>
      <c r="C14" s="11">
        <v>46082</v>
      </c>
      <c r="D14" s="10">
        <f>SUM(E14:G14)</f>
        <v>4472.8666599999997</v>
      </c>
      <c r="E14" s="10">
        <f>2.978%*K8</f>
        <v>4472.8666599999997</v>
      </c>
      <c r="F14" s="10"/>
      <c r="G14" s="10"/>
      <c r="H14" s="8" t="s">
        <v>6</v>
      </c>
      <c r="I14" s="7"/>
      <c r="J14" s="8" t="s">
        <v>30</v>
      </c>
      <c r="K14" s="10">
        <f>B5</f>
        <v>0</v>
      </c>
    </row>
    <row r="15" spans="2:11" x14ac:dyDescent="0.25">
      <c r="B15" s="10">
        <f>SUM($D$6:D15)</f>
        <v>35819.199993333343</v>
      </c>
      <c r="C15" s="11">
        <v>46082</v>
      </c>
      <c r="D15" s="10">
        <f>SUM(E15:G15)</f>
        <v>150197</v>
      </c>
      <c r="E15" s="10">
        <f>K8</f>
        <v>150197</v>
      </c>
      <c r="F15" s="10"/>
      <c r="G15" s="10"/>
      <c r="H15" s="8" t="s">
        <v>32</v>
      </c>
      <c r="I15" s="7"/>
      <c r="J15" s="8" t="s">
        <v>31</v>
      </c>
      <c r="K15" s="10">
        <f>K13-K14</f>
        <v>-118850.66666666666</v>
      </c>
    </row>
    <row r="16" spans="2:11" x14ac:dyDescent="0.25">
      <c r="B16" s="10">
        <f>SUM($D$6:D16)</f>
        <v>35819.199993333343</v>
      </c>
      <c r="C16" s="11">
        <v>46235</v>
      </c>
      <c r="D16" s="10">
        <f t="shared" si="0"/>
        <v>0</v>
      </c>
      <c r="E16" s="10"/>
      <c r="F16" s="10"/>
      <c r="G16" s="10">
        <f>G8</f>
        <v>0</v>
      </c>
      <c r="H16" s="8"/>
      <c r="I16" s="7"/>
    </row>
    <row r="17" spans="2:11" x14ac:dyDescent="0.25">
      <c r="B17" s="10">
        <f>SUM($D$6:D17)</f>
        <v>43844.199993333343</v>
      </c>
      <c r="C17" s="11">
        <v>46419</v>
      </c>
      <c r="D17" s="10">
        <f t="shared" si="0"/>
        <v>8024.9999999999991</v>
      </c>
      <c r="E17" s="10"/>
      <c r="F17" s="10">
        <f>3.21%*$K$9</f>
        <v>8024.9999999999991</v>
      </c>
      <c r="G17" s="10"/>
      <c r="H17" s="8" t="s">
        <v>16</v>
      </c>
      <c r="I17" s="7"/>
    </row>
    <row r="18" spans="2:11" x14ac:dyDescent="0.25">
      <c r="B18" s="10">
        <f>SUM($D$6:D18)</f>
        <v>103844.19999333334</v>
      </c>
      <c r="C18" s="11">
        <v>46419</v>
      </c>
      <c r="D18" s="10">
        <f t="shared" si="0"/>
        <v>60000</v>
      </c>
      <c r="E18" s="10"/>
      <c r="F18" s="10">
        <f>-F6</f>
        <v>60000</v>
      </c>
      <c r="G18" s="10"/>
      <c r="H18" s="13" t="s">
        <v>33</v>
      </c>
      <c r="I18" s="15"/>
    </row>
    <row r="19" spans="2:11" x14ac:dyDescent="0.25">
      <c r="B19" s="10">
        <f>SUM($D$6:D19)</f>
        <v>103844.19999333334</v>
      </c>
      <c r="C19" s="11">
        <v>46600</v>
      </c>
      <c r="D19" s="10">
        <f t="shared" si="0"/>
        <v>0</v>
      </c>
      <c r="E19" s="10"/>
      <c r="F19" s="10"/>
      <c r="G19" s="10">
        <f>G8</f>
        <v>0</v>
      </c>
      <c r="H19" s="8"/>
      <c r="I19" s="7"/>
    </row>
    <row r="20" spans="2:11" x14ac:dyDescent="0.25">
      <c r="B20" s="10">
        <f>SUM($D$6:D20)</f>
        <v>103844.19999333334</v>
      </c>
      <c r="C20" s="11">
        <v>46966</v>
      </c>
      <c r="D20" s="10">
        <f t="shared" si="0"/>
        <v>0</v>
      </c>
      <c r="E20" s="10"/>
      <c r="F20" s="10"/>
      <c r="G20" s="10">
        <f>G8</f>
        <v>0</v>
      </c>
      <c r="H20" s="8"/>
      <c r="I20" s="7"/>
    </row>
    <row r="21" spans="2:11" x14ac:dyDescent="0.25">
      <c r="B21" s="10">
        <f>SUM($D$6:D21)</f>
        <v>103844.19999333334</v>
      </c>
      <c r="C21" s="11">
        <v>47331</v>
      </c>
      <c r="D21" s="10">
        <f t="shared" si="0"/>
        <v>0</v>
      </c>
      <c r="E21" s="10"/>
      <c r="F21" s="10"/>
      <c r="G21" s="10">
        <f>3.391%*$K$7</f>
        <v>0</v>
      </c>
      <c r="H21" s="8" t="s">
        <v>7</v>
      </c>
      <c r="I21" s="7"/>
    </row>
    <row r="22" spans="2:11" x14ac:dyDescent="0.25">
      <c r="B22" s="10">
        <f>SUM($D$6:D22)</f>
        <v>103844.19999333334</v>
      </c>
      <c r="C22" s="11">
        <v>47331</v>
      </c>
      <c r="D22" s="10">
        <f t="shared" si="0"/>
        <v>0</v>
      </c>
      <c r="E22" s="10"/>
      <c r="F22" s="10"/>
      <c r="G22" s="10">
        <f>3%*K7</f>
        <v>0</v>
      </c>
      <c r="H22" s="8" t="s">
        <v>27</v>
      </c>
      <c r="I22" s="7"/>
    </row>
    <row r="23" spans="2:11" ht="15.75" thickBot="1" x14ac:dyDescent="0.3">
      <c r="B23" s="10">
        <f>SUM($D$6:D23)</f>
        <v>103844.19999333334</v>
      </c>
      <c r="C23" s="18">
        <v>47331</v>
      </c>
      <c r="D23" s="19">
        <f t="shared" si="0"/>
        <v>0</v>
      </c>
      <c r="E23" s="19"/>
      <c r="F23" s="19"/>
      <c r="G23" s="19">
        <f>K7</f>
        <v>0</v>
      </c>
      <c r="H23" s="8" t="s">
        <v>34</v>
      </c>
      <c r="I23" s="7"/>
    </row>
    <row r="24" spans="2:11" ht="15.75" thickTop="1" x14ac:dyDescent="0.25">
      <c r="B24" s="80" t="s">
        <v>38</v>
      </c>
      <c r="C24" s="81"/>
      <c r="D24" s="82"/>
      <c r="E24" s="17">
        <f>SUM(E3:E23)</f>
        <v>10601.86666</v>
      </c>
      <c r="F24" s="17">
        <f>SUM(F3:F23)</f>
        <v>-760</v>
      </c>
      <c r="G24" s="17">
        <f>SUM(G3:G23)</f>
        <v>-0.01</v>
      </c>
      <c r="H24" s="8"/>
      <c r="I24" s="7"/>
    </row>
    <row r="25" spans="2:11" x14ac:dyDescent="0.25">
      <c r="B25" s="83"/>
      <c r="C25" s="84"/>
      <c r="D25" s="85"/>
      <c r="E25" s="12">
        <f>XIRR(E3:E23,C3:C23)</f>
        <v>3.9722254872322102E-2</v>
      </c>
      <c r="F25" s="12" t="s">
        <v>41</v>
      </c>
      <c r="G25" s="12"/>
      <c r="H25" s="8"/>
      <c r="I25" s="7"/>
    </row>
    <row r="26" spans="2:11" x14ac:dyDescent="0.25">
      <c r="B26" s="8" t="s">
        <v>26</v>
      </c>
      <c r="C26" s="11"/>
      <c r="D26" s="10"/>
      <c r="E26" s="10"/>
      <c r="F26" s="10"/>
      <c r="G26" s="12"/>
      <c r="H26" s="8"/>
      <c r="I26" s="7"/>
    </row>
    <row r="27" spans="2:11" x14ac:dyDescent="0.25">
      <c r="B27" s="10">
        <f>SUM($D$6:D27)</f>
        <v>103844.19999333334</v>
      </c>
      <c r="C27" s="11">
        <v>47696</v>
      </c>
      <c r="D27" s="10">
        <f t="shared" si="0"/>
        <v>0</v>
      </c>
      <c r="E27" s="10"/>
      <c r="F27" s="10"/>
      <c r="G27" s="10">
        <f>3.391%*$K$7</f>
        <v>0</v>
      </c>
      <c r="H27" s="86" t="s">
        <v>42</v>
      </c>
      <c r="I27" s="7"/>
    </row>
    <row r="28" spans="2:11" x14ac:dyDescent="0.25">
      <c r="B28" s="10">
        <f>SUM($D$6:D28)</f>
        <v>103844.19999333334</v>
      </c>
      <c r="C28" s="11">
        <v>48061</v>
      </c>
      <c r="D28" s="10">
        <f t="shared" si="0"/>
        <v>0</v>
      </c>
      <c r="E28" s="10"/>
      <c r="F28" s="10"/>
      <c r="G28" s="10">
        <f>3.391%*$K$7</f>
        <v>0</v>
      </c>
      <c r="H28" s="87"/>
      <c r="I28" s="7"/>
    </row>
    <row r="29" spans="2:11" x14ac:dyDescent="0.25">
      <c r="B29" s="10">
        <f>SUM($D$6:D29)</f>
        <v>103844.19999333334</v>
      </c>
      <c r="C29" s="11">
        <v>48427</v>
      </c>
      <c r="D29" s="10">
        <f t="shared" si="0"/>
        <v>0</v>
      </c>
      <c r="E29" s="10"/>
      <c r="F29" s="10"/>
      <c r="G29" s="10">
        <f>3.391%*$K$7</f>
        <v>0</v>
      </c>
      <c r="H29" s="87"/>
      <c r="I29" s="7"/>
    </row>
    <row r="30" spans="2:11" x14ac:dyDescent="0.25">
      <c r="B30" s="10">
        <f>SUM($D$6:D30)</f>
        <v>103844.19999333334</v>
      </c>
      <c r="C30" s="11">
        <v>48792</v>
      </c>
      <c r="D30" s="10">
        <f t="shared" si="0"/>
        <v>0</v>
      </c>
      <c r="E30" s="10"/>
      <c r="F30" s="10"/>
      <c r="G30" s="10">
        <f>3.391%*$K$7</f>
        <v>0</v>
      </c>
      <c r="H30" s="87"/>
      <c r="I30" s="7"/>
    </row>
    <row r="31" spans="2:11" x14ac:dyDescent="0.25">
      <c r="B31" s="10">
        <f>SUM($D$6:D31)</f>
        <v>103844.19999333334</v>
      </c>
      <c r="C31" s="11">
        <v>49157</v>
      </c>
      <c r="D31" s="10">
        <f t="shared" si="0"/>
        <v>0</v>
      </c>
      <c r="E31" s="10"/>
      <c r="F31" s="10"/>
      <c r="G31" s="10">
        <f>3.391%*$K$7</f>
        <v>0</v>
      </c>
      <c r="H31" s="87"/>
      <c r="I31" s="7"/>
    </row>
    <row r="32" spans="2:11" x14ac:dyDescent="0.25">
      <c r="B32" s="10">
        <f>SUM($D$6:D32)</f>
        <v>107119.19999333334</v>
      </c>
      <c r="C32" s="9">
        <v>46784</v>
      </c>
      <c r="D32" s="10">
        <f t="shared" si="0"/>
        <v>3274.9999999999991</v>
      </c>
      <c r="E32" s="10"/>
      <c r="F32" s="8">
        <f>3.21%*$K$9-$K$10*$K$32</f>
        <v>3274.9999999999991</v>
      </c>
      <c r="G32" s="24" t="s">
        <v>36</v>
      </c>
      <c r="H32" s="87"/>
      <c r="I32" s="7"/>
      <c r="J32" t="s">
        <v>37</v>
      </c>
      <c r="K32" s="2">
        <v>2.5000000000000001E-2</v>
      </c>
    </row>
    <row r="33" spans="2:11" x14ac:dyDescent="0.25">
      <c r="B33" s="10">
        <f>SUM($D$6:D33)</f>
        <v>110394.19999333334</v>
      </c>
      <c r="C33" s="9">
        <v>47150</v>
      </c>
      <c r="D33" s="10">
        <f t="shared" si="0"/>
        <v>3274.9999999999991</v>
      </c>
      <c r="E33" s="10"/>
      <c r="F33" s="8">
        <f t="shared" ref="F33:F38" si="1">3.21%*$K$9-$K$10*$K$32</f>
        <v>3274.9999999999991</v>
      </c>
      <c r="G33" s="10"/>
      <c r="H33" s="87"/>
      <c r="I33" s="7"/>
      <c r="J33" t="s">
        <v>39</v>
      </c>
      <c r="K33" s="20">
        <f>-F32/F6</f>
        <v>5.4583333333333317E-2</v>
      </c>
    </row>
    <row r="34" spans="2:11" x14ac:dyDescent="0.25">
      <c r="B34" s="10">
        <f>SUM($D$6:D34)</f>
        <v>113669.19999333334</v>
      </c>
      <c r="C34" s="9">
        <v>47515</v>
      </c>
      <c r="D34" s="10">
        <f t="shared" si="0"/>
        <v>3274.9999999999991</v>
      </c>
      <c r="E34" s="10"/>
      <c r="F34" s="8">
        <f t="shared" si="1"/>
        <v>3274.9999999999991</v>
      </c>
      <c r="G34" s="10"/>
      <c r="H34" s="87"/>
      <c r="I34" s="7"/>
    </row>
    <row r="35" spans="2:11" x14ac:dyDescent="0.25">
      <c r="B35" s="10">
        <f>SUM($D$6:D35)</f>
        <v>116944.19999333334</v>
      </c>
      <c r="C35" s="9">
        <v>47880</v>
      </c>
      <c r="D35" s="10">
        <f t="shared" si="0"/>
        <v>3274.9999999999991</v>
      </c>
      <c r="E35" s="10"/>
      <c r="F35" s="8">
        <f t="shared" si="1"/>
        <v>3274.9999999999991</v>
      </c>
      <c r="G35" s="10"/>
      <c r="H35" s="87"/>
      <c r="I35" s="7"/>
    </row>
    <row r="36" spans="2:11" x14ac:dyDescent="0.25">
      <c r="B36" s="10">
        <f>SUM($D$6:D36)</f>
        <v>120219.19999333334</v>
      </c>
      <c r="C36" s="9">
        <v>48245</v>
      </c>
      <c r="D36" s="10">
        <f t="shared" si="0"/>
        <v>3274.9999999999991</v>
      </c>
      <c r="E36" s="10"/>
      <c r="F36" s="8">
        <f t="shared" si="1"/>
        <v>3274.9999999999991</v>
      </c>
      <c r="G36" s="10"/>
      <c r="H36" s="87"/>
      <c r="I36" s="7"/>
    </row>
    <row r="37" spans="2:11" x14ac:dyDescent="0.25">
      <c r="B37" s="10">
        <f>SUM($D$6:D37)</f>
        <v>123494.19999333334</v>
      </c>
      <c r="C37" s="9">
        <v>48611</v>
      </c>
      <c r="D37" s="10">
        <f t="shared" si="0"/>
        <v>3274.9999999999991</v>
      </c>
      <c r="E37" s="10"/>
      <c r="F37" s="8">
        <f t="shared" si="1"/>
        <v>3274.9999999999991</v>
      </c>
      <c r="G37" s="10"/>
      <c r="H37" s="87"/>
      <c r="I37" s="7"/>
    </row>
    <row r="38" spans="2:11" x14ac:dyDescent="0.25">
      <c r="B38" s="10">
        <f>SUM($D$6:D38)</f>
        <v>126769.19999333334</v>
      </c>
      <c r="C38" s="9">
        <v>48976</v>
      </c>
      <c r="D38" s="10">
        <f t="shared" si="0"/>
        <v>3274.9999999999991</v>
      </c>
      <c r="E38" s="10"/>
      <c r="F38" s="8">
        <f t="shared" si="1"/>
        <v>3274.9999999999991</v>
      </c>
      <c r="G38" s="10"/>
      <c r="H38" s="88"/>
      <c r="I38" s="7"/>
    </row>
    <row r="40" spans="2:11" ht="21" x14ac:dyDescent="0.35">
      <c r="H40" s="59" t="s">
        <v>35</v>
      </c>
    </row>
  </sheetData>
  <mergeCells count="2">
    <mergeCell ref="B24:D25"/>
    <mergeCell ref="H27:H38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2DED-8F26-4A65-8C24-604F3A0DE6B0}">
  <dimension ref="A2:N45"/>
  <sheetViews>
    <sheetView workbookViewId="0">
      <selection activeCell="M23" sqref="M23"/>
    </sheetView>
  </sheetViews>
  <sheetFormatPr defaultRowHeight="15" x14ac:dyDescent="0.25"/>
  <cols>
    <col min="1" max="1" width="1" style="51" customWidth="1"/>
    <col min="2" max="2" width="13.42578125" bestFit="1" customWidth="1"/>
    <col min="3" max="3" width="7.28515625" bestFit="1" customWidth="1"/>
    <col min="4" max="4" width="2" style="51" customWidth="1"/>
    <col min="5" max="5" width="7.42578125" style="3" bestFit="1" customWidth="1"/>
    <col min="6" max="6" width="10.85546875" bestFit="1" customWidth="1"/>
    <col min="7" max="7" width="13.28515625" customWidth="1"/>
    <col min="8" max="8" width="17.85546875" bestFit="1" customWidth="1"/>
    <col min="10" max="10" width="6.140625" customWidth="1"/>
    <col min="11" max="11" width="7.5703125" bestFit="1" customWidth="1"/>
    <col min="12" max="12" width="11.5703125" style="16" bestFit="1" customWidth="1"/>
    <col min="13" max="13" width="7.140625" bestFit="1" customWidth="1"/>
  </cols>
  <sheetData>
    <row r="2" spans="2:14" x14ac:dyDescent="0.25">
      <c r="E2" s="11"/>
      <c r="F2" s="8" t="s">
        <v>2</v>
      </c>
      <c r="H2" s="8" t="s">
        <v>0</v>
      </c>
      <c r="I2" s="47">
        <v>300000</v>
      </c>
    </row>
    <row r="3" spans="2:14" x14ac:dyDescent="0.25">
      <c r="B3" s="5"/>
      <c r="C3" s="2"/>
      <c r="D3" s="2"/>
      <c r="E3" s="9">
        <v>45597</v>
      </c>
      <c r="F3" s="10">
        <f>-24%*I2</f>
        <v>-72000</v>
      </c>
      <c r="G3" t="s">
        <v>63</v>
      </c>
      <c r="H3" s="8" t="s">
        <v>13</v>
      </c>
      <c r="I3" s="49">
        <v>1.8700000000000001E-2</v>
      </c>
    </row>
    <row r="4" spans="2:14" x14ac:dyDescent="0.25">
      <c r="B4" s="5"/>
      <c r="C4" s="2"/>
      <c r="D4" s="2"/>
      <c r="E4" s="9">
        <v>45689</v>
      </c>
      <c r="F4" s="10">
        <f>I3*I2</f>
        <v>5610</v>
      </c>
      <c r="G4" t="s">
        <v>44</v>
      </c>
      <c r="H4" s="38" t="s">
        <v>54</v>
      </c>
      <c r="I4" s="48">
        <v>3.3799999999999997E-2</v>
      </c>
      <c r="J4" s="91" t="s">
        <v>95</v>
      </c>
      <c r="K4" s="92"/>
      <c r="L4" s="92"/>
      <c r="M4" s="92"/>
      <c r="N4" s="92"/>
    </row>
    <row r="5" spans="2:14" x14ac:dyDescent="0.25">
      <c r="B5" s="5"/>
      <c r="C5" s="2"/>
      <c r="D5" s="2"/>
      <c r="E5" s="54"/>
      <c r="F5" s="10"/>
      <c r="G5" s="93" t="s">
        <v>65</v>
      </c>
      <c r="H5" s="13"/>
      <c r="I5" s="13"/>
    </row>
    <row r="6" spans="2:14" x14ac:dyDescent="0.25">
      <c r="B6" s="94" t="s">
        <v>70</v>
      </c>
      <c r="C6" s="96" t="s">
        <v>68</v>
      </c>
      <c r="D6" s="2"/>
      <c r="E6" s="9">
        <v>46174</v>
      </c>
      <c r="F6" s="10">
        <f>-K17</f>
        <v>-17618.7</v>
      </c>
      <c r="G6" s="93"/>
      <c r="H6" s="8" t="s">
        <v>61</v>
      </c>
      <c r="I6" s="12">
        <v>0.03</v>
      </c>
      <c r="J6" s="89" t="s">
        <v>92</v>
      </c>
      <c r="K6" s="90"/>
      <c r="L6" s="90"/>
      <c r="M6" s="90"/>
      <c r="N6" s="90"/>
    </row>
    <row r="7" spans="2:14" x14ac:dyDescent="0.25">
      <c r="B7" s="95"/>
      <c r="C7" s="97"/>
      <c r="D7" s="41"/>
      <c r="E7" s="54"/>
      <c r="F7" s="10"/>
      <c r="G7" s="93"/>
      <c r="H7" s="8" t="s">
        <v>82</v>
      </c>
      <c r="I7" s="47">
        <v>228000</v>
      </c>
      <c r="J7" s="89"/>
      <c r="K7" s="90"/>
      <c r="L7" s="90"/>
      <c r="M7" s="90"/>
      <c r="N7" s="90"/>
    </row>
    <row r="8" spans="2:14" x14ac:dyDescent="0.25">
      <c r="B8" s="52">
        <f>SUM($F$3:F8)</f>
        <v>-83733.7</v>
      </c>
      <c r="C8" s="53">
        <f>B8-$F$3</f>
        <v>-11733.699999999997</v>
      </c>
      <c r="D8" s="51" t="s">
        <v>69</v>
      </c>
      <c r="E8" s="9">
        <v>46692</v>
      </c>
      <c r="F8" s="10">
        <f>($I$4*$I$2-$I$6*$I$7)/12</f>
        <v>274.99999999999983</v>
      </c>
      <c r="G8" s="77" t="s">
        <v>96</v>
      </c>
      <c r="H8" s="75" t="s">
        <v>66</v>
      </c>
      <c r="I8" s="12">
        <v>2.5000000000000001E-2</v>
      </c>
      <c r="J8" s="89" t="s">
        <v>94</v>
      </c>
      <c r="K8" s="90"/>
      <c r="L8" s="90"/>
      <c r="M8" s="90"/>
      <c r="N8" s="90"/>
    </row>
    <row r="9" spans="2:14" x14ac:dyDescent="0.25">
      <c r="B9" s="52">
        <f>SUM($F$3:F9)</f>
        <v>-83458.7</v>
      </c>
      <c r="C9" s="53">
        <f t="shared" ref="C9:C19" si="0">B9-$F$3</f>
        <v>-11458.699999999997</v>
      </c>
      <c r="D9" s="74"/>
      <c r="E9" s="9">
        <v>46722</v>
      </c>
      <c r="F9" s="10">
        <f t="shared" ref="F9:F19" si="1">($I$4*$I$2-$I$6*$I$7)/12</f>
        <v>274.99999999999983</v>
      </c>
      <c r="G9" s="74"/>
    </row>
    <row r="10" spans="2:14" s="74" customFormat="1" x14ac:dyDescent="0.25">
      <c r="B10" s="52">
        <f>SUM($F$3:F10)</f>
        <v>-83183.7</v>
      </c>
      <c r="C10" s="53">
        <f t="shared" si="0"/>
        <v>-11183.699999999997</v>
      </c>
      <c r="E10" s="9">
        <v>46753</v>
      </c>
      <c r="F10" s="10">
        <f t="shared" si="1"/>
        <v>274.99999999999983</v>
      </c>
      <c r="L10" s="16"/>
    </row>
    <row r="11" spans="2:14" s="74" customFormat="1" x14ac:dyDescent="0.25">
      <c r="B11" s="52">
        <f>SUM($F$3:F11)</f>
        <v>-82908.7</v>
      </c>
      <c r="C11" s="53">
        <f t="shared" si="0"/>
        <v>-10908.699999999997</v>
      </c>
      <c r="E11" s="9">
        <v>46784</v>
      </c>
      <c r="F11" s="10">
        <f t="shared" si="1"/>
        <v>274.99999999999983</v>
      </c>
    </row>
    <row r="12" spans="2:14" s="74" customFormat="1" x14ac:dyDescent="0.25">
      <c r="B12" s="52">
        <f>SUM($F$3:F12)</f>
        <v>-82633.7</v>
      </c>
      <c r="C12" s="53">
        <f t="shared" si="0"/>
        <v>-10633.699999999997</v>
      </c>
      <c r="E12" s="9">
        <v>46813</v>
      </c>
      <c r="F12" s="10">
        <f t="shared" si="1"/>
        <v>274.99999999999983</v>
      </c>
    </row>
    <row r="13" spans="2:14" s="74" customFormat="1" x14ac:dyDescent="0.25">
      <c r="B13" s="52">
        <f>SUM($F$3:F13)</f>
        <v>-82358.7</v>
      </c>
      <c r="C13" s="53">
        <f t="shared" si="0"/>
        <v>-10358.699999999997</v>
      </c>
      <c r="E13" s="9">
        <v>46844</v>
      </c>
      <c r="F13" s="10">
        <f t="shared" si="1"/>
        <v>274.99999999999983</v>
      </c>
      <c r="H13" s="7"/>
      <c r="I13" s="7"/>
      <c r="J13" s="7"/>
      <c r="K13" s="7" t="s">
        <v>83</v>
      </c>
      <c r="L13" s="16" t="s">
        <v>84</v>
      </c>
    </row>
    <row r="14" spans="2:14" s="74" customFormat="1" x14ac:dyDescent="0.25">
      <c r="B14" s="52">
        <f>SUM($F$3:F14)</f>
        <v>-82083.7</v>
      </c>
      <c r="C14" s="53">
        <f>B14-$F$3</f>
        <v>-10083.699999999997</v>
      </c>
      <c r="E14" s="9">
        <v>46874</v>
      </c>
      <c r="F14" s="10">
        <f t="shared" si="1"/>
        <v>274.99999999999983</v>
      </c>
      <c r="H14" s="55" t="s">
        <v>71</v>
      </c>
      <c r="I14" s="8" t="s">
        <v>74</v>
      </c>
      <c r="J14" s="12">
        <v>2.53E-2</v>
      </c>
      <c r="K14" s="47">
        <f>$I$7*LEFT(I14,2)/12*J14</f>
        <v>4326.3</v>
      </c>
      <c r="L14">
        <v>490</v>
      </c>
    </row>
    <row r="15" spans="2:14" s="74" customFormat="1" x14ac:dyDescent="0.25">
      <c r="B15" s="52">
        <f>SUM($F$3:F15)</f>
        <v>-81808.7</v>
      </c>
      <c r="C15" s="53">
        <f t="shared" si="0"/>
        <v>-9808.6999999999971</v>
      </c>
      <c r="E15" s="9">
        <v>46905</v>
      </c>
      <c r="F15" s="10">
        <f t="shared" si="1"/>
        <v>274.99999999999983</v>
      </c>
      <c r="H15" s="55" t="s">
        <v>72</v>
      </c>
      <c r="I15" s="8" t="s">
        <v>75</v>
      </c>
      <c r="J15" s="12">
        <v>2.3300000000000001E-2</v>
      </c>
      <c r="K15" s="47">
        <f>$I$7*LEFT(I15,2)/12*J15</f>
        <v>5312.4000000000005</v>
      </c>
      <c r="L15"/>
    </row>
    <row r="16" spans="2:14" s="74" customFormat="1" ht="15.75" thickBot="1" x14ac:dyDescent="0.3">
      <c r="B16" s="52">
        <f>SUM($F$3:F16)</f>
        <v>-81533.7</v>
      </c>
      <c r="C16" s="53">
        <f t="shared" si="0"/>
        <v>-9533.6999999999971</v>
      </c>
      <c r="E16" s="9">
        <v>46935</v>
      </c>
      <c r="F16" s="10">
        <f t="shared" si="1"/>
        <v>274.99999999999983</v>
      </c>
      <c r="H16" s="55" t="s">
        <v>73</v>
      </c>
      <c r="I16" s="8" t="s">
        <v>76</v>
      </c>
      <c r="J16" s="12">
        <f>I6</f>
        <v>0.03</v>
      </c>
      <c r="K16" s="58">
        <f>$I$7*LEFT(I16,2)/12*J16</f>
        <v>7980</v>
      </c>
      <c r="L16" s="16"/>
    </row>
    <row r="17" spans="1:12" s="74" customFormat="1" ht="15.75" thickTop="1" x14ac:dyDescent="0.25">
      <c r="B17" s="52">
        <f>SUM($F$3:F17)</f>
        <v>-81258.7</v>
      </c>
      <c r="C17" s="53">
        <f t="shared" si="0"/>
        <v>-9258.6999999999971</v>
      </c>
      <c r="E17" s="9">
        <v>46966</v>
      </c>
      <c r="F17" s="10">
        <f t="shared" si="1"/>
        <v>274.99999999999983</v>
      </c>
      <c r="H17" s="8"/>
      <c r="I17" s="8"/>
      <c r="J17" s="56"/>
      <c r="K17" s="57">
        <f>SUM(K14:K16)</f>
        <v>17618.7</v>
      </c>
      <c r="L17"/>
    </row>
    <row r="18" spans="1:12" s="74" customFormat="1" x14ac:dyDescent="0.25">
      <c r="B18" s="52">
        <f>SUM($F$3:F18)</f>
        <v>-80983.7</v>
      </c>
      <c r="C18" s="53">
        <f t="shared" si="0"/>
        <v>-8983.6999999999971</v>
      </c>
      <c r="E18" s="9">
        <v>46997</v>
      </c>
      <c r="F18" s="10">
        <f t="shared" si="1"/>
        <v>274.99999999999983</v>
      </c>
      <c r="L18" s="16"/>
    </row>
    <row r="19" spans="1:12" s="74" customFormat="1" x14ac:dyDescent="0.25">
      <c r="B19" s="78">
        <f>SUM($F$3:F19)</f>
        <v>-80708.7</v>
      </c>
      <c r="C19" s="79">
        <f t="shared" si="0"/>
        <v>-8708.6999999999971</v>
      </c>
      <c r="E19" s="9">
        <v>47027</v>
      </c>
      <c r="F19" s="10">
        <f>($I$4*$I$2-$I$6*$I$7)/12</f>
        <v>274.99999999999983</v>
      </c>
      <c r="L19" s="16"/>
    </row>
    <row r="20" spans="1:12" s="74" customFormat="1" x14ac:dyDescent="0.25">
      <c r="B20" s="76"/>
      <c r="C20" s="76"/>
      <c r="E20" s="9"/>
      <c r="F20" s="10"/>
      <c r="L20" s="16"/>
    </row>
    <row r="21" spans="1:12" s="74" customFormat="1" x14ac:dyDescent="0.25">
      <c r="B21" s="26" t="s">
        <v>49</v>
      </c>
      <c r="C21" s="50"/>
      <c r="D21" s="51"/>
      <c r="E21" s="9"/>
      <c r="F21" s="10"/>
      <c r="G21" s="6"/>
      <c r="L21" s="16"/>
    </row>
    <row r="22" spans="1:12" s="50" customFormat="1" x14ac:dyDescent="0.25">
      <c r="A22" s="51"/>
      <c r="B22" s="5">
        <f>SUM($F$3:F22)</f>
        <v>-76268.7</v>
      </c>
      <c r="C22" s="2"/>
      <c r="D22" s="2"/>
      <c r="E22" s="9">
        <v>47058</v>
      </c>
      <c r="F22" s="10">
        <f t="shared" ref="F22:F37" si="2">$I$4*$I$2-$I$8*$I$7</f>
        <v>4439.9999999999982</v>
      </c>
      <c r="G22" t="s">
        <v>97</v>
      </c>
    </row>
    <row r="23" spans="1:12" x14ac:dyDescent="0.25">
      <c r="B23" s="5">
        <f>SUM($F$3:F23)</f>
        <v>-71828.7</v>
      </c>
      <c r="C23" s="2"/>
      <c r="D23" s="2"/>
      <c r="E23" s="9">
        <v>47423</v>
      </c>
      <c r="F23" s="10">
        <f t="shared" si="2"/>
        <v>4439.9999999999982</v>
      </c>
    </row>
    <row r="24" spans="1:12" x14ac:dyDescent="0.25">
      <c r="B24" s="5">
        <f>SUM($F$3:F24)</f>
        <v>-67388.7</v>
      </c>
      <c r="C24" s="2"/>
      <c r="D24" s="2"/>
      <c r="E24" s="9">
        <v>47788</v>
      </c>
      <c r="F24" s="10">
        <f t="shared" si="2"/>
        <v>4439.9999999999982</v>
      </c>
    </row>
    <row r="25" spans="1:12" x14ac:dyDescent="0.25">
      <c r="B25" s="5">
        <f>SUM($F$3:F25)</f>
        <v>-62948.7</v>
      </c>
      <c r="C25" s="7" t="s">
        <v>67</v>
      </c>
      <c r="D25" s="7"/>
      <c r="E25" s="9">
        <v>48153</v>
      </c>
      <c r="F25" s="10">
        <f t="shared" si="2"/>
        <v>4439.9999999999982</v>
      </c>
    </row>
    <row r="26" spans="1:12" x14ac:dyDescent="0.25">
      <c r="B26" s="5">
        <f>SUM($F$3:F26)</f>
        <v>-58508.7</v>
      </c>
      <c r="C26" s="25">
        <f>-F26/F3</f>
        <v>6.166666666666664E-2</v>
      </c>
      <c r="D26" s="25"/>
      <c r="E26" s="9">
        <v>48519</v>
      </c>
      <c r="F26" s="10">
        <f t="shared" si="2"/>
        <v>4439.9999999999982</v>
      </c>
    </row>
    <row r="27" spans="1:12" x14ac:dyDescent="0.25">
      <c r="B27" s="5">
        <f>SUM($F$3:F27)</f>
        <v>-54068.7</v>
      </c>
      <c r="C27" s="2"/>
      <c r="D27" s="2"/>
      <c r="E27" s="9">
        <v>48884</v>
      </c>
      <c r="F27" s="10">
        <f t="shared" si="2"/>
        <v>4439.9999999999982</v>
      </c>
    </row>
    <row r="28" spans="1:12" x14ac:dyDescent="0.25">
      <c r="B28" s="5">
        <f>SUM($F$3:F28)</f>
        <v>-49628.7</v>
      </c>
      <c r="C28" s="2"/>
      <c r="D28" s="2"/>
      <c r="E28" s="9">
        <v>49249</v>
      </c>
      <c r="F28" s="10">
        <f t="shared" si="2"/>
        <v>4439.9999999999982</v>
      </c>
    </row>
    <row r="29" spans="1:12" x14ac:dyDescent="0.25">
      <c r="B29" s="5">
        <f>SUM($F$3:F29)</f>
        <v>-45188.7</v>
      </c>
      <c r="C29" s="2"/>
      <c r="D29" s="2"/>
      <c r="E29" s="9">
        <v>49614</v>
      </c>
      <c r="F29" s="10">
        <f t="shared" si="2"/>
        <v>4439.9999999999982</v>
      </c>
    </row>
    <row r="30" spans="1:12" x14ac:dyDescent="0.25">
      <c r="B30" s="5">
        <f>SUM($F$3:F30)</f>
        <v>-40748.699999999997</v>
      </c>
      <c r="C30" s="2"/>
      <c r="D30" s="2"/>
      <c r="E30" s="9">
        <v>49980</v>
      </c>
      <c r="F30" s="10">
        <f t="shared" si="2"/>
        <v>4439.9999999999982</v>
      </c>
    </row>
    <row r="31" spans="1:12" x14ac:dyDescent="0.25">
      <c r="B31" s="5">
        <f>SUM($F$3:F31)</f>
        <v>-36308.699999999997</v>
      </c>
      <c r="C31" s="2"/>
      <c r="D31" s="2"/>
      <c r="E31" s="9">
        <v>50345</v>
      </c>
      <c r="F31" s="10">
        <f t="shared" si="2"/>
        <v>4439.9999999999982</v>
      </c>
    </row>
    <row r="32" spans="1:12" x14ac:dyDescent="0.25">
      <c r="B32" s="5">
        <f>SUM($F$3:F32)</f>
        <v>-31868.699999999997</v>
      </c>
      <c r="C32" s="2"/>
      <c r="D32" s="2"/>
      <c r="E32" s="9">
        <v>50710</v>
      </c>
      <c r="F32" s="10">
        <f t="shared" si="2"/>
        <v>4439.9999999999982</v>
      </c>
    </row>
    <row r="33" spans="2:14" x14ac:dyDescent="0.25">
      <c r="B33" s="5">
        <f>SUM($F$3:F33)</f>
        <v>-27428.699999999997</v>
      </c>
      <c r="C33" s="2"/>
      <c r="D33" s="2"/>
      <c r="E33" s="9">
        <v>51075</v>
      </c>
      <c r="F33" s="10">
        <f t="shared" si="2"/>
        <v>4439.9999999999982</v>
      </c>
    </row>
    <row r="34" spans="2:14" x14ac:dyDescent="0.25">
      <c r="B34" s="5">
        <f>SUM($F$3:F34)</f>
        <v>-22988.699999999997</v>
      </c>
      <c r="C34" s="2"/>
      <c r="D34" s="2"/>
      <c r="E34" s="9">
        <v>51441</v>
      </c>
      <c r="F34" s="10">
        <f t="shared" si="2"/>
        <v>4439.9999999999982</v>
      </c>
    </row>
    <row r="35" spans="2:14" x14ac:dyDescent="0.25">
      <c r="B35" s="5">
        <f>SUM($F$3:F35)</f>
        <v>-18548.699999999997</v>
      </c>
      <c r="C35" s="2"/>
      <c r="D35" s="2"/>
      <c r="E35" s="9">
        <v>51806</v>
      </c>
      <c r="F35" s="10">
        <f t="shared" si="2"/>
        <v>4439.9999999999982</v>
      </c>
    </row>
    <row r="36" spans="2:14" x14ac:dyDescent="0.25">
      <c r="B36" s="5">
        <f>SUM($F$3:F36)</f>
        <v>-14108.699999999999</v>
      </c>
      <c r="C36" s="2"/>
      <c r="D36" s="2"/>
      <c r="E36" s="9">
        <v>52171</v>
      </c>
      <c r="F36" s="10">
        <f t="shared" si="2"/>
        <v>4439.9999999999982</v>
      </c>
    </row>
    <row r="37" spans="2:14" x14ac:dyDescent="0.25">
      <c r="B37" s="5">
        <f>SUM($F$3:F37)</f>
        <v>-9668.7000000000007</v>
      </c>
      <c r="C37" s="2" t="s">
        <v>5</v>
      </c>
      <c r="D37" s="2"/>
      <c r="E37" s="9">
        <v>52536</v>
      </c>
      <c r="F37" s="10">
        <f t="shared" si="2"/>
        <v>4439.9999999999982</v>
      </c>
    </row>
    <row r="38" spans="2:14" x14ac:dyDescent="0.25">
      <c r="B38" s="5">
        <f>SUM($F$3:F38)</f>
        <v>62331.3</v>
      </c>
      <c r="C38" s="2">
        <f>XIRR(F3:F38,E3:E38)</f>
        <v>3.8820305466651939E-2</v>
      </c>
      <c r="D38" s="2"/>
      <c r="E38" s="9">
        <v>52902</v>
      </c>
      <c r="F38" s="10">
        <f>-F3</f>
        <v>72000</v>
      </c>
      <c r="G38" s="6" t="s">
        <v>80</v>
      </c>
    </row>
    <row r="39" spans="2:14" x14ac:dyDescent="0.25">
      <c r="B39" s="5"/>
      <c r="C39" s="2"/>
      <c r="D39" s="2"/>
      <c r="H39" s="6"/>
      <c r="I39" s="6"/>
    </row>
    <row r="41" spans="2:14" x14ac:dyDescent="0.25">
      <c r="B41" s="74" t="s">
        <v>79</v>
      </c>
      <c r="C41" s="74"/>
      <c r="D41" s="74"/>
      <c r="E41" s="74"/>
      <c r="F41" s="74"/>
      <c r="G41" s="74"/>
    </row>
    <row r="42" spans="2:14" x14ac:dyDescent="0.25">
      <c r="B42" s="73" t="s">
        <v>77</v>
      </c>
      <c r="C42" s="73"/>
      <c r="D42" s="73"/>
      <c r="E42" s="73"/>
      <c r="F42" s="73"/>
      <c r="G42" s="73"/>
      <c r="H42" s="74"/>
      <c r="I42" s="74"/>
      <c r="J42" s="74"/>
      <c r="K42" s="74"/>
      <c r="L42" s="74"/>
      <c r="M42" s="74"/>
      <c r="N42" s="74"/>
    </row>
    <row r="43" spans="2:14" x14ac:dyDescent="0.25">
      <c r="B43" s="74" t="s">
        <v>78</v>
      </c>
      <c r="C43" s="74"/>
      <c r="D43" s="74"/>
      <c r="E43" s="74"/>
      <c r="F43" s="74"/>
      <c r="G43" s="74"/>
      <c r="H43" s="73"/>
      <c r="I43" s="73"/>
      <c r="J43" s="73"/>
      <c r="K43" s="73"/>
      <c r="L43" s="73"/>
      <c r="M43" s="73"/>
      <c r="N43" s="73"/>
    </row>
    <row r="44" spans="2:14" x14ac:dyDescent="0.25">
      <c r="B44" s="74" t="s">
        <v>81</v>
      </c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</row>
    <row r="45" spans="2:14" x14ac:dyDescent="0.25">
      <c r="H45" s="74"/>
      <c r="I45" s="74"/>
      <c r="J45" s="74"/>
      <c r="K45" s="74"/>
      <c r="L45" s="74"/>
      <c r="M45" s="74"/>
      <c r="N45" s="74"/>
    </row>
  </sheetData>
  <mergeCells count="7">
    <mergeCell ref="J8:N8"/>
    <mergeCell ref="J4:N4"/>
    <mergeCell ref="G5:G7"/>
    <mergeCell ref="B6:B7"/>
    <mergeCell ref="C6:C7"/>
    <mergeCell ref="J6:N6"/>
    <mergeCell ref="J7:N7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7558D-340A-4915-9138-05C94A67D7D4}">
  <dimension ref="B2:N34"/>
  <sheetViews>
    <sheetView tabSelected="1" workbookViewId="0">
      <selection activeCell="J44" sqref="J44"/>
    </sheetView>
  </sheetViews>
  <sheetFormatPr defaultRowHeight="15" x14ac:dyDescent="0.25"/>
  <cols>
    <col min="1" max="1" width="1" style="26" customWidth="1"/>
    <col min="2" max="2" width="13.42578125" style="26" bestFit="1" customWidth="1"/>
    <col min="3" max="3" width="6.28515625" style="26" bestFit="1" customWidth="1"/>
    <col min="4" max="4" width="2" style="26" customWidth="1"/>
    <col min="5" max="5" width="7.42578125" style="29" bestFit="1" customWidth="1"/>
    <col min="6" max="6" width="10.85546875" style="26" bestFit="1" customWidth="1"/>
    <col min="7" max="7" width="15.42578125" style="26" customWidth="1"/>
    <col min="8" max="8" width="17.85546875" style="26" bestFit="1" customWidth="1"/>
    <col min="9" max="9" width="9.140625" style="26"/>
    <col min="10" max="10" width="6.140625" style="26" customWidth="1"/>
    <col min="11" max="11" width="7.5703125" style="26" bestFit="1" customWidth="1"/>
    <col min="12" max="12" width="11.5703125" style="60" bestFit="1" customWidth="1"/>
    <col min="13" max="13" width="7.140625" style="26" bestFit="1" customWidth="1"/>
    <col min="14" max="16384" width="9.140625" style="26"/>
  </cols>
  <sheetData>
    <row r="2" spans="2:14" x14ac:dyDescent="0.25">
      <c r="E2" s="42"/>
      <c r="F2" s="35" t="s">
        <v>2</v>
      </c>
      <c r="H2" s="35" t="s">
        <v>0</v>
      </c>
      <c r="I2" s="36">
        <v>250774</v>
      </c>
    </row>
    <row r="3" spans="2:14" x14ac:dyDescent="0.25">
      <c r="B3" s="27"/>
      <c r="C3" s="28"/>
      <c r="D3" s="28"/>
      <c r="E3" s="43">
        <v>45658</v>
      </c>
      <c r="F3" s="61">
        <f>I7-I2</f>
        <v>-60774</v>
      </c>
      <c r="G3" s="26" t="s">
        <v>63</v>
      </c>
      <c r="H3" s="35" t="s">
        <v>13</v>
      </c>
      <c r="I3" s="72">
        <v>0.01</v>
      </c>
    </row>
    <row r="4" spans="2:14" x14ac:dyDescent="0.25">
      <c r="B4" s="27"/>
      <c r="C4" s="28"/>
      <c r="D4" s="28"/>
      <c r="E4" s="43">
        <v>45717</v>
      </c>
      <c r="F4" s="61">
        <f>I3*I2</f>
        <v>2507.7400000000002</v>
      </c>
      <c r="G4" s="26" t="s">
        <v>86</v>
      </c>
      <c r="H4" s="38" t="s">
        <v>54</v>
      </c>
      <c r="I4" s="71">
        <v>3.2554E-2</v>
      </c>
      <c r="J4" s="91" t="s">
        <v>93</v>
      </c>
      <c r="K4" s="98"/>
      <c r="L4" s="98"/>
      <c r="M4" s="98"/>
      <c r="N4" s="98"/>
    </row>
    <row r="5" spans="2:14" x14ac:dyDescent="0.25">
      <c r="B5" s="27"/>
      <c r="C5" s="28"/>
      <c r="D5" s="28"/>
      <c r="E5" s="62"/>
      <c r="F5" s="61"/>
      <c r="G5" s="99" t="s">
        <v>90</v>
      </c>
      <c r="H5" s="38"/>
      <c r="I5" s="38"/>
      <c r="J5" s="89"/>
      <c r="K5" s="90"/>
      <c r="L5" s="90"/>
      <c r="M5" s="90"/>
      <c r="N5" s="90"/>
    </row>
    <row r="6" spans="2:14" x14ac:dyDescent="0.25">
      <c r="B6" s="94" t="s">
        <v>70</v>
      </c>
      <c r="C6" s="96" t="s">
        <v>68</v>
      </c>
      <c r="D6" s="28"/>
      <c r="E6" s="43">
        <v>46082</v>
      </c>
      <c r="F6" s="61">
        <f>-K16</f>
        <v>-12381.666666666666</v>
      </c>
      <c r="G6" s="99"/>
      <c r="H6" s="35" t="s">
        <v>87</v>
      </c>
      <c r="I6" s="37">
        <v>0.03</v>
      </c>
      <c r="J6" s="89" t="s">
        <v>92</v>
      </c>
      <c r="K6" s="90"/>
      <c r="L6" s="90"/>
      <c r="M6" s="90"/>
      <c r="N6" s="90"/>
    </row>
    <row r="7" spans="2:14" x14ac:dyDescent="0.25">
      <c r="B7" s="95"/>
      <c r="C7" s="97"/>
      <c r="D7" s="41"/>
      <c r="E7" s="62"/>
      <c r="F7" s="61"/>
      <c r="G7" s="99"/>
      <c r="H7" s="35" t="s">
        <v>85</v>
      </c>
      <c r="I7" s="36">
        <v>190000</v>
      </c>
      <c r="J7" s="89"/>
      <c r="K7" s="90"/>
      <c r="L7" s="90"/>
      <c r="M7" s="90"/>
      <c r="N7" s="90"/>
    </row>
    <row r="8" spans="2:14" x14ac:dyDescent="0.25">
      <c r="B8" s="63">
        <f>SUM($F$3:F8)</f>
        <v>-62484.229870666662</v>
      </c>
      <c r="C8" s="64">
        <f>B8-F3</f>
        <v>-1710.2298706666625</v>
      </c>
      <c r="D8" s="27" t="s">
        <v>69</v>
      </c>
      <c r="E8" s="43">
        <v>46569</v>
      </c>
      <c r="F8" s="61">
        <f>I4*$I$2</f>
        <v>8163.6967960000002</v>
      </c>
      <c r="G8" s="26" t="s">
        <v>3</v>
      </c>
      <c r="H8" s="35" t="s">
        <v>66</v>
      </c>
      <c r="I8" s="37">
        <v>2.5000000000000001E-2</v>
      </c>
      <c r="J8" s="89" t="s">
        <v>94</v>
      </c>
      <c r="K8" s="90"/>
      <c r="L8" s="90"/>
      <c r="M8" s="90"/>
      <c r="N8" s="90"/>
    </row>
    <row r="9" spans="2:14" x14ac:dyDescent="0.25">
      <c r="B9" s="65"/>
      <c r="C9" s="66"/>
      <c r="E9" s="43"/>
      <c r="F9" s="61"/>
      <c r="G9" s="32"/>
    </row>
    <row r="10" spans="2:14" x14ac:dyDescent="0.25">
      <c r="B10" s="40" t="s">
        <v>49</v>
      </c>
      <c r="E10" s="43"/>
      <c r="F10" s="61"/>
      <c r="G10" s="32"/>
      <c r="L10" s="26"/>
    </row>
    <row r="11" spans="2:14" x14ac:dyDescent="0.25">
      <c r="B11" s="27">
        <f>SUM($F$3:F11)</f>
        <v>-59070.533074666659</v>
      </c>
      <c r="C11" s="28"/>
      <c r="D11" s="28"/>
      <c r="E11" s="43">
        <v>46935</v>
      </c>
      <c r="F11" s="61">
        <f>$I$4*$I$2-$I$8*$I$7</f>
        <v>3413.6967960000002</v>
      </c>
    </row>
    <row r="12" spans="2:14" x14ac:dyDescent="0.25">
      <c r="B12" s="27">
        <f>SUM($F$3:F12)</f>
        <v>-55656.836278666655</v>
      </c>
      <c r="C12" s="28"/>
      <c r="D12" s="28"/>
      <c r="E12" s="43">
        <v>47300</v>
      </c>
      <c r="F12" s="61">
        <f t="shared" ref="F12:F27" si="0">$I$4*$I$2-$I$8*$I$7</f>
        <v>3413.6967960000002</v>
      </c>
      <c r="H12" s="33"/>
      <c r="I12" s="33"/>
      <c r="J12" s="33"/>
      <c r="K12" s="33" t="s">
        <v>83</v>
      </c>
      <c r="L12" s="60" t="s">
        <v>84</v>
      </c>
    </row>
    <row r="13" spans="2:14" x14ac:dyDescent="0.25">
      <c r="B13" s="27">
        <f>SUM($F$3:F13)</f>
        <v>-52243.139482666651</v>
      </c>
      <c r="C13" s="28"/>
      <c r="D13" s="28"/>
      <c r="E13" s="43">
        <v>47665</v>
      </c>
      <c r="F13" s="61">
        <f t="shared" si="0"/>
        <v>3413.6967960000002</v>
      </c>
      <c r="H13" s="67" t="s">
        <v>71</v>
      </c>
      <c r="I13" s="35" t="s">
        <v>88</v>
      </c>
      <c r="J13" s="37">
        <v>2.53E-2</v>
      </c>
      <c r="K13" s="36">
        <f>$I$7*LEFT(I13,2)/12*J13</f>
        <v>3204.6666666666665</v>
      </c>
      <c r="L13" s="26"/>
    </row>
    <row r="14" spans="2:14" x14ac:dyDescent="0.25">
      <c r="B14" s="27">
        <f>SUM($F$3:F14)</f>
        <v>-48829.442686666647</v>
      </c>
      <c r="C14" s="33" t="s">
        <v>67</v>
      </c>
      <c r="D14" s="33"/>
      <c r="E14" s="43">
        <v>48030</v>
      </c>
      <c r="F14" s="61">
        <f t="shared" si="0"/>
        <v>3413.6967960000002</v>
      </c>
      <c r="H14" s="67" t="s">
        <v>72</v>
      </c>
      <c r="I14" s="35" t="s">
        <v>75</v>
      </c>
      <c r="J14" s="37">
        <v>2.3300000000000001E-2</v>
      </c>
      <c r="K14" s="36">
        <f>$I$7*LEFT(I14,2)/12*J14</f>
        <v>4427</v>
      </c>
      <c r="L14" s="26"/>
    </row>
    <row r="15" spans="2:14" ht="15.75" thickBot="1" x14ac:dyDescent="0.3">
      <c r="B15" s="27">
        <f>SUM($F$3:F15)</f>
        <v>-45415.745890666643</v>
      </c>
      <c r="C15" s="34">
        <f>-F15/F3</f>
        <v>5.617034909665318E-2</v>
      </c>
      <c r="D15" s="34"/>
      <c r="E15" s="43">
        <v>48396</v>
      </c>
      <c r="F15" s="61">
        <f t="shared" si="0"/>
        <v>3413.6967960000002</v>
      </c>
      <c r="H15" s="67" t="s">
        <v>73</v>
      </c>
      <c r="I15" s="35" t="s">
        <v>89</v>
      </c>
      <c r="J15" s="37">
        <f>I6</f>
        <v>0.03</v>
      </c>
      <c r="K15" s="68">
        <f>$I$7*LEFT(I15,2)/12*J15</f>
        <v>4750</v>
      </c>
    </row>
    <row r="16" spans="2:14" ht="15.75" thickTop="1" x14ac:dyDescent="0.25">
      <c r="B16" s="27">
        <f>SUM($F$3:F16)</f>
        <v>-42002.04909466664</v>
      </c>
      <c r="C16" s="28"/>
      <c r="D16" s="28"/>
      <c r="E16" s="43">
        <v>48761</v>
      </c>
      <c r="F16" s="61">
        <f t="shared" si="0"/>
        <v>3413.6967960000002</v>
      </c>
      <c r="H16" s="35"/>
      <c r="I16" s="35"/>
      <c r="J16" s="69"/>
      <c r="K16" s="70">
        <f>SUM(K13:K15)</f>
        <v>12381.666666666666</v>
      </c>
      <c r="L16" s="26"/>
    </row>
    <row r="17" spans="2:14" x14ac:dyDescent="0.25">
      <c r="B17" s="27">
        <f>SUM($F$3:F17)</f>
        <v>-38588.352298666636</v>
      </c>
      <c r="C17" s="28"/>
      <c r="D17" s="28"/>
      <c r="E17" s="43">
        <v>49126</v>
      </c>
      <c r="F17" s="61">
        <f t="shared" si="0"/>
        <v>3413.6967960000002</v>
      </c>
    </row>
    <row r="18" spans="2:14" x14ac:dyDescent="0.25">
      <c r="B18" s="27">
        <f>SUM($F$3:F18)</f>
        <v>-35174.655502666632</v>
      </c>
      <c r="C18" s="28"/>
      <c r="D18" s="28"/>
      <c r="E18" s="43">
        <v>49491</v>
      </c>
      <c r="F18" s="61">
        <f t="shared" si="0"/>
        <v>3413.6967960000002</v>
      </c>
    </row>
    <row r="19" spans="2:14" x14ac:dyDescent="0.25">
      <c r="B19" s="27">
        <f>SUM($F$3:F19)</f>
        <v>-31760.958706666632</v>
      </c>
      <c r="C19" s="28"/>
      <c r="D19" s="28"/>
      <c r="E19" s="43">
        <v>49857</v>
      </c>
      <c r="F19" s="61">
        <f t="shared" si="0"/>
        <v>3413.6967960000002</v>
      </c>
    </row>
    <row r="20" spans="2:14" x14ac:dyDescent="0.25">
      <c r="B20" s="27">
        <f>SUM($F$3:F20)</f>
        <v>-28347.261910666632</v>
      </c>
      <c r="C20" s="28"/>
      <c r="D20" s="28"/>
      <c r="E20" s="43">
        <v>50222</v>
      </c>
      <c r="F20" s="61">
        <f t="shared" si="0"/>
        <v>3413.6967960000002</v>
      </c>
    </row>
    <row r="21" spans="2:14" x14ac:dyDescent="0.25">
      <c r="B21" s="27">
        <f>SUM($F$3:F21)</f>
        <v>-24933.565114666631</v>
      </c>
      <c r="C21" s="28"/>
      <c r="D21" s="28"/>
      <c r="E21" s="43">
        <v>50587</v>
      </c>
      <c r="F21" s="61">
        <f t="shared" si="0"/>
        <v>3413.6967960000002</v>
      </c>
    </row>
    <row r="22" spans="2:14" x14ac:dyDescent="0.25">
      <c r="B22" s="27">
        <f>SUM($F$3:F22)</f>
        <v>-21519.868318666631</v>
      </c>
      <c r="C22" s="28"/>
      <c r="D22" s="28"/>
      <c r="E22" s="43">
        <v>50952</v>
      </c>
      <c r="F22" s="61">
        <f t="shared" si="0"/>
        <v>3413.6967960000002</v>
      </c>
    </row>
    <row r="23" spans="2:14" x14ac:dyDescent="0.25">
      <c r="B23" s="27">
        <f>SUM($F$3:F23)</f>
        <v>-18106.171522666631</v>
      </c>
      <c r="C23" s="28"/>
      <c r="D23" s="28"/>
      <c r="E23" s="43">
        <v>51318</v>
      </c>
      <c r="F23" s="61">
        <f t="shared" si="0"/>
        <v>3413.6967960000002</v>
      </c>
    </row>
    <row r="24" spans="2:14" x14ac:dyDescent="0.25">
      <c r="B24" s="27">
        <f>SUM($F$3:F24)</f>
        <v>-14692.474726666631</v>
      </c>
      <c r="C24" s="28"/>
      <c r="D24" s="28"/>
      <c r="E24" s="43">
        <v>51683</v>
      </c>
      <c r="F24" s="61">
        <f t="shared" si="0"/>
        <v>3413.6967960000002</v>
      </c>
    </row>
    <row r="25" spans="2:14" x14ac:dyDescent="0.25">
      <c r="B25" s="27">
        <f>SUM($F$3:F25)</f>
        <v>-11278.777930666631</v>
      </c>
      <c r="C25" s="28"/>
      <c r="D25" s="28"/>
      <c r="E25" s="43">
        <v>52048</v>
      </c>
      <c r="F25" s="61">
        <f t="shared" si="0"/>
        <v>3413.6967960000002</v>
      </c>
    </row>
    <row r="26" spans="2:14" x14ac:dyDescent="0.25">
      <c r="B26" s="27">
        <f>SUM($F$3:F26)</f>
        <v>-7865.0811346666305</v>
      </c>
      <c r="C26" s="28"/>
      <c r="D26" s="28"/>
      <c r="E26" s="43">
        <v>52413</v>
      </c>
      <c r="F26" s="61">
        <f t="shared" si="0"/>
        <v>3413.6967960000002</v>
      </c>
    </row>
    <row r="27" spans="2:14" x14ac:dyDescent="0.25">
      <c r="B27" s="27">
        <f>SUM($F$3:F27)</f>
        <v>-4451.3843386666304</v>
      </c>
      <c r="C27" s="28" t="s">
        <v>5</v>
      </c>
      <c r="D27" s="28"/>
      <c r="E27" s="43">
        <v>52779</v>
      </c>
      <c r="F27" s="61">
        <f t="shared" si="0"/>
        <v>3413.6967960000002</v>
      </c>
    </row>
    <row r="28" spans="2:14" x14ac:dyDescent="0.25">
      <c r="B28" s="27">
        <f>SUM($F$3:F28)</f>
        <v>70322.615661333373</v>
      </c>
      <c r="C28" s="28">
        <f>XIRR(F3:F28,E3:E28)</f>
        <v>5.0193390250205999E-2</v>
      </c>
      <c r="D28" s="28" t="s">
        <v>69</v>
      </c>
      <c r="E28" s="43">
        <v>52779</v>
      </c>
      <c r="F28" s="61">
        <f>ABS(F3)+14000</f>
        <v>74774</v>
      </c>
      <c r="G28" s="26" t="s">
        <v>91</v>
      </c>
      <c r="H28" s="32"/>
      <c r="I28" s="32"/>
    </row>
    <row r="29" spans="2:14" x14ac:dyDescent="0.25">
      <c r="B29" s="27"/>
      <c r="C29" s="28"/>
      <c r="D29" s="28"/>
    </row>
    <row r="31" spans="2:14" x14ac:dyDescent="0.25"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</row>
    <row r="32" spans="2:14" x14ac:dyDescent="0.25">
      <c r="B32" s="100" t="s">
        <v>77</v>
      </c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</row>
    <row r="33" spans="2:14" x14ac:dyDescent="0.25">
      <c r="B33" s="90" t="s">
        <v>78</v>
      </c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</row>
    <row r="34" spans="2:14" x14ac:dyDescent="0.25"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</row>
  </sheetData>
  <mergeCells count="12">
    <mergeCell ref="B34:N34"/>
    <mergeCell ref="G5:G7"/>
    <mergeCell ref="B6:B7"/>
    <mergeCell ref="C6:C7"/>
    <mergeCell ref="B31:N31"/>
    <mergeCell ref="B32:N32"/>
    <mergeCell ref="B33:N33"/>
    <mergeCell ref="J4:N4"/>
    <mergeCell ref="J5:N5"/>
    <mergeCell ref="J6:N6"/>
    <mergeCell ref="J7:N7"/>
    <mergeCell ref="J8:N8"/>
  </mergeCells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064C-1D35-49D7-BB91-35C1078A317A}">
  <dimension ref="A2:L32"/>
  <sheetViews>
    <sheetView workbookViewId="0">
      <selection activeCell="E6" sqref="E6"/>
    </sheetView>
  </sheetViews>
  <sheetFormatPr defaultRowHeight="15" x14ac:dyDescent="0.25"/>
  <cols>
    <col min="1" max="1" width="4.7109375" style="26" bestFit="1" customWidth="1"/>
    <col min="2" max="2" width="10" style="26" bestFit="1" customWidth="1"/>
    <col min="3" max="3" width="7.42578125" style="29" bestFit="1" customWidth="1"/>
    <col min="4" max="4" width="10.85546875" style="46" bestFit="1" customWidth="1"/>
    <col min="5" max="5" width="36.85546875" style="26" bestFit="1" customWidth="1"/>
    <col min="6" max="6" width="1.5703125" style="26" customWidth="1"/>
    <col min="7" max="7" width="17.7109375" style="26" bestFit="1" customWidth="1"/>
    <col min="8" max="16384" width="9.140625" style="26"/>
  </cols>
  <sheetData>
    <row r="2" spans="1:12" x14ac:dyDescent="0.25">
      <c r="C2" s="42"/>
      <c r="D2" s="45" t="s">
        <v>2</v>
      </c>
    </row>
    <row r="3" spans="1:12" x14ac:dyDescent="0.25">
      <c r="A3" s="27"/>
      <c r="B3" s="28"/>
      <c r="C3" s="43">
        <v>45597</v>
      </c>
      <c r="D3" s="45">
        <f>-24%*H6</f>
        <v>-76189.919999999998</v>
      </c>
      <c r="E3" s="26" t="s">
        <v>46</v>
      </c>
      <c r="I3" s="28"/>
      <c r="J3" s="26">
        <f>9/12</f>
        <v>0.75</v>
      </c>
      <c r="K3" s="28">
        <v>2.53E-2</v>
      </c>
      <c r="L3" s="30">
        <f>$H$9*J3*K3</f>
        <v>4578.0618180000001</v>
      </c>
    </row>
    <row r="4" spans="1:12" x14ac:dyDescent="0.25">
      <c r="A4" s="27"/>
      <c r="B4" s="28"/>
      <c r="C4" s="43">
        <v>45658</v>
      </c>
      <c r="D4" s="45">
        <f>H4*H6</f>
        <v>4349.1746000000003</v>
      </c>
      <c r="E4" s="26" t="s">
        <v>15</v>
      </c>
      <c r="G4" s="35" t="s">
        <v>13</v>
      </c>
      <c r="H4" s="37">
        <v>1.37E-2</v>
      </c>
      <c r="J4" s="26">
        <v>1</v>
      </c>
      <c r="K4" s="28">
        <v>2.3300000000000001E-2</v>
      </c>
      <c r="L4" s="30">
        <f t="shared" ref="L4:L5" si="0">$H$9*J4*K4</f>
        <v>5621.5462640000005</v>
      </c>
    </row>
    <row r="5" spans="1:12" x14ac:dyDescent="0.25">
      <c r="A5" s="27"/>
      <c r="B5" s="28"/>
      <c r="C5" s="43"/>
      <c r="D5" s="45"/>
      <c r="G5" s="38" t="s">
        <v>54</v>
      </c>
      <c r="H5" s="39">
        <f>D9/H6</f>
        <v>3.2760239149745796E-2</v>
      </c>
      <c r="J5" s="26">
        <f>6/12</f>
        <v>0.5</v>
      </c>
      <c r="K5" s="28">
        <f>H8</f>
        <v>0.03</v>
      </c>
      <c r="L5" s="30">
        <f t="shared" si="0"/>
        <v>3619.0212000000001</v>
      </c>
    </row>
    <row r="6" spans="1:12" x14ac:dyDescent="0.25">
      <c r="A6" s="27"/>
      <c r="B6" s="28"/>
      <c r="C6" s="43">
        <v>46023</v>
      </c>
      <c r="D6" s="45">
        <f>-SUM(L3:L5)</f>
        <v>-13818.629282000002</v>
      </c>
      <c r="E6" s="26" t="s">
        <v>58</v>
      </c>
      <c r="G6" s="35" t="s">
        <v>59</v>
      </c>
      <c r="H6" s="36">
        <v>317458</v>
      </c>
      <c r="K6" s="31"/>
      <c r="L6" s="30"/>
    </row>
    <row r="7" spans="1:12" x14ac:dyDescent="0.25">
      <c r="A7" s="101" t="s">
        <v>51</v>
      </c>
      <c r="B7" s="102"/>
      <c r="C7" s="43"/>
      <c r="D7" s="45"/>
      <c r="G7" s="35"/>
      <c r="H7" s="36"/>
    </row>
    <row r="8" spans="1:12" x14ac:dyDescent="0.25">
      <c r="A8" s="41" t="s">
        <v>48</v>
      </c>
      <c r="B8" s="26" t="s">
        <v>49</v>
      </c>
      <c r="C8" s="43"/>
      <c r="D8" s="45"/>
      <c r="G8" s="35" t="s">
        <v>56</v>
      </c>
      <c r="H8" s="37">
        <v>0.03</v>
      </c>
    </row>
    <row r="9" spans="1:12" x14ac:dyDescent="0.25">
      <c r="A9" s="27">
        <f>B9-D3</f>
        <v>930.54531800000404</v>
      </c>
      <c r="B9" s="27">
        <f>SUM($D$3:D9)</f>
        <v>-75259.374681999994</v>
      </c>
      <c r="C9" s="43">
        <v>46447</v>
      </c>
      <c r="D9" s="45">
        <v>10400</v>
      </c>
      <c r="E9" s="26" t="s">
        <v>60</v>
      </c>
      <c r="G9" s="35" t="s">
        <v>12</v>
      </c>
      <c r="H9" s="36">
        <f>H6+D3</f>
        <v>241268.08000000002</v>
      </c>
    </row>
    <row r="10" spans="1:12" x14ac:dyDescent="0.25">
      <c r="A10" s="27"/>
      <c r="B10" s="44" t="s">
        <v>53</v>
      </c>
      <c r="C10" s="43"/>
      <c r="D10" s="45"/>
      <c r="E10" s="32"/>
      <c r="F10" s="32"/>
      <c r="G10" s="35" t="s">
        <v>11</v>
      </c>
      <c r="H10" s="37">
        <v>2.5000000000000001E-2</v>
      </c>
    </row>
    <row r="11" spans="1:12" x14ac:dyDescent="0.25">
      <c r="A11" s="27"/>
      <c r="B11" s="34">
        <f>-D11/$D$3</f>
        <v>5.7334329790607458E-2</v>
      </c>
      <c r="C11" s="43">
        <v>46813</v>
      </c>
      <c r="D11" s="45">
        <f>10400-$H$10*$H$9</f>
        <v>4368.2979999999989</v>
      </c>
      <c r="I11" s="33"/>
      <c r="J11" s="33"/>
    </row>
    <row r="12" spans="1:12" x14ac:dyDescent="0.25">
      <c r="A12" s="27"/>
      <c r="B12" s="34">
        <f>-D12/$D$3</f>
        <v>5.7334329790607458E-2</v>
      </c>
      <c r="C12" s="43">
        <v>47178</v>
      </c>
      <c r="D12" s="45">
        <f t="shared" ref="D12:D27" si="1">10400-$H$10*$H$9</f>
        <v>4368.2979999999989</v>
      </c>
      <c r="G12" s="33"/>
      <c r="H12" s="33"/>
      <c r="I12" s="33"/>
      <c r="J12" s="33"/>
    </row>
    <row r="13" spans="1:12" x14ac:dyDescent="0.25">
      <c r="A13" s="27"/>
      <c r="B13" s="34">
        <f>-D13/$D$3</f>
        <v>5.7334329790607458E-2</v>
      </c>
      <c r="C13" s="43">
        <v>47543</v>
      </c>
      <c r="D13" s="45">
        <f t="shared" si="1"/>
        <v>4368.2979999999989</v>
      </c>
      <c r="G13" s="33"/>
      <c r="H13" s="33"/>
      <c r="I13" s="33"/>
      <c r="J13" s="33"/>
    </row>
    <row r="14" spans="1:12" x14ac:dyDescent="0.25">
      <c r="A14" s="27"/>
      <c r="B14" s="34">
        <f t="shared" ref="B14:B15" si="2">-D14/$D$3</f>
        <v>5.7334329790607458E-2</v>
      </c>
      <c r="C14" s="43">
        <v>47908</v>
      </c>
      <c r="D14" s="45">
        <f t="shared" si="1"/>
        <v>4368.2979999999989</v>
      </c>
    </row>
    <row r="15" spans="1:12" x14ac:dyDescent="0.25">
      <c r="A15" s="27"/>
      <c r="B15" s="34">
        <f t="shared" si="2"/>
        <v>5.7334329790607458E-2</v>
      </c>
      <c r="C15" s="43">
        <v>48274</v>
      </c>
      <c r="D15" s="45">
        <f t="shared" si="1"/>
        <v>4368.2979999999989</v>
      </c>
    </row>
    <row r="16" spans="1:12" x14ac:dyDescent="0.25">
      <c r="A16" s="27"/>
      <c r="B16" s="40" t="s">
        <v>50</v>
      </c>
      <c r="C16" s="43">
        <v>48639</v>
      </c>
      <c r="D16" s="45">
        <f t="shared" si="1"/>
        <v>4368.2979999999989</v>
      </c>
    </row>
    <row r="17" spans="1:8" x14ac:dyDescent="0.25">
      <c r="A17" s="27"/>
      <c r="B17" s="28"/>
      <c r="C17" s="43">
        <v>49004</v>
      </c>
      <c r="D17" s="45">
        <f t="shared" si="1"/>
        <v>4368.2979999999989</v>
      </c>
    </row>
    <row r="18" spans="1:8" x14ac:dyDescent="0.25">
      <c r="A18" s="27"/>
      <c r="B18" s="28"/>
      <c r="C18" s="43">
        <v>49369</v>
      </c>
      <c r="D18" s="45">
        <f t="shared" si="1"/>
        <v>4368.2979999999989</v>
      </c>
    </row>
    <row r="19" spans="1:8" x14ac:dyDescent="0.25">
      <c r="A19" s="27"/>
      <c r="B19" s="28"/>
      <c r="C19" s="43">
        <v>49735</v>
      </c>
      <c r="D19" s="45">
        <f t="shared" si="1"/>
        <v>4368.2979999999989</v>
      </c>
    </row>
    <row r="20" spans="1:8" x14ac:dyDescent="0.25">
      <c r="A20" s="27"/>
      <c r="B20" s="28"/>
      <c r="C20" s="43">
        <v>50100</v>
      </c>
      <c r="D20" s="45">
        <f t="shared" si="1"/>
        <v>4368.2979999999989</v>
      </c>
    </row>
    <row r="21" spans="1:8" x14ac:dyDescent="0.25">
      <c r="A21" s="27"/>
      <c r="B21" s="28"/>
      <c r="C21" s="43">
        <v>50465</v>
      </c>
      <c r="D21" s="45">
        <f t="shared" si="1"/>
        <v>4368.2979999999989</v>
      </c>
    </row>
    <row r="22" spans="1:8" x14ac:dyDescent="0.25">
      <c r="A22" s="27"/>
      <c r="B22" s="28"/>
      <c r="C22" s="43">
        <v>50830</v>
      </c>
      <c r="D22" s="45">
        <f t="shared" si="1"/>
        <v>4368.2979999999989</v>
      </c>
    </row>
    <row r="23" spans="1:8" x14ac:dyDescent="0.25">
      <c r="A23" s="27"/>
      <c r="B23" s="28"/>
      <c r="C23" s="43">
        <v>51196</v>
      </c>
      <c r="D23" s="45">
        <f t="shared" si="1"/>
        <v>4368.2979999999989</v>
      </c>
    </row>
    <row r="24" spans="1:8" x14ac:dyDescent="0.25">
      <c r="A24" s="27"/>
      <c r="B24" s="28"/>
      <c r="C24" s="43">
        <v>51561</v>
      </c>
      <c r="D24" s="45">
        <f t="shared" si="1"/>
        <v>4368.2979999999989</v>
      </c>
    </row>
    <row r="25" spans="1:8" x14ac:dyDescent="0.25">
      <c r="A25" s="27"/>
      <c r="B25" s="28"/>
      <c r="C25" s="43">
        <v>51926</v>
      </c>
      <c r="D25" s="45">
        <f t="shared" si="1"/>
        <v>4368.2979999999989</v>
      </c>
    </row>
    <row r="26" spans="1:8" x14ac:dyDescent="0.25">
      <c r="A26" s="27"/>
      <c r="B26" s="28"/>
      <c r="C26" s="43">
        <v>52291</v>
      </c>
      <c r="D26" s="45">
        <f t="shared" si="1"/>
        <v>4368.2979999999989</v>
      </c>
    </row>
    <row r="27" spans="1:8" x14ac:dyDescent="0.25">
      <c r="A27" s="27"/>
      <c r="B27" s="28" t="s">
        <v>47</v>
      </c>
      <c r="C27" s="43">
        <v>52657</v>
      </c>
      <c r="D27" s="45">
        <f t="shared" si="1"/>
        <v>4368.2979999999989</v>
      </c>
    </row>
    <row r="28" spans="1:8" x14ac:dyDescent="0.25">
      <c r="A28" s="27"/>
      <c r="B28" s="28">
        <f>XIRR(D3:D28,C3:C28)</f>
        <v>5.4609712958335874E-2</v>
      </c>
      <c r="C28" s="43">
        <v>52657</v>
      </c>
      <c r="D28" s="45">
        <v>94080</v>
      </c>
      <c r="E28" s="26" t="s">
        <v>52</v>
      </c>
      <c r="F28" s="32"/>
      <c r="G28" s="32"/>
      <c r="H28" s="32"/>
    </row>
    <row r="29" spans="1:8" x14ac:dyDescent="0.25">
      <c r="A29" s="27"/>
      <c r="B29" s="28"/>
      <c r="C29" s="43"/>
      <c r="D29" s="45"/>
      <c r="E29" s="32" t="s">
        <v>45</v>
      </c>
    </row>
    <row r="31" spans="1:8" x14ac:dyDescent="0.25">
      <c r="A31" s="27"/>
      <c r="B31" s="28" t="s">
        <v>55</v>
      </c>
    </row>
    <row r="32" spans="1:8" x14ac:dyDescent="0.25">
      <c r="B32" s="26" t="s">
        <v>57</v>
      </c>
    </row>
  </sheetData>
  <mergeCells count="1">
    <mergeCell ref="A7:B7"/>
  </mergeCell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E085-7913-4032-AD19-3529039FBF47}">
  <dimension ref="A2:F10"/>
  <sheetViews>
    <sheetView workbookViewId="0">
      <selection activeCell="F53" sqref="F53"/>
    </sheetView>
  </sheetViews>
  <sheetFormatPr defaultRowHeight="15" x14ac:dyDescent="0.25"/>
  <cols>
    <col min="1" max="1" width="9.140625" style="5"/>
    <col min="2" max="2" width="7.140625" style="4" bestFit="1" customWidth="1"/>
    <col min="3" max="3" width="9.85546875" customWidth="1"/>
    <col min="4" max="4" width="5.7109375" customWidth="1"/>
    <col min="5" max="5" width="10.28515625" bestFit="1" customWidth="1"/>
  </cols>
  <sheetData>
    <row r="2" spans="1:6" x14ac:dyDescent="0.25">
      <c r="A2" s="5" t="s">
        <v>9</v>
      </c>
      <c r="C2" t="s">
        <v>2</v>
      </c>
    </row>
    <row r="3" spans="1:6" x14ac:dyDescent="0.25">
      <c r="B3" s="4">
        <v>45170</v>
      </c>
      <c r="C3">
        <f>-F3/3</f>
        <v>-50065.666666666664</v>
      </c>
      <c r="E3" t="s">
        <v>0</v>
      </c>
      <c r="F3">
        <v>150197</v>
      </c>
    </row>
    <row r="4" spans="1:6" x14ac:dyDescent="0.25">
      <c r="B4" s="4">
        <v>45261</v>
      </c>
      <c r="C4">
        <v>6129</v>
      </c>
    </row>
    <row r="5" spans="1:6" x14ac:dyDescent="0.25">
      <c r="B5" s="4">
        <v>45352</v>
      </c>
      <c r="C5">
        <f>C3</f>
        <v>-50065.666666666664</v>
      </c>
    </row>
    <row r="7" spans="1:6" x14ac:dyDescent="0.25">
      <c r="B7" s="4">
        <v>45717</v>
      </c>
      <c r="C7">
        <f>C3</f>
        <v>-50065.666666666664</v>
      </c>
    </row>
    <row r="9" spans="1:6" x14ac:dyDescent="0.25">
      <c r="B9" s="4">
        <v>46082</v>
      </c>
      <c r="C9" s="16">
        <f>2.978%*F3</f>
        <v>4472.8666599999997</v>
      </c>
      <c r="D9" t="s">
        <v>3</v>
      </c>
    </row>
    <row r="10" spans="1:6" x14ac:dyDescent="0.25">
      <c r="A10" s="5">
        <f>SUM(C3:C10)</f>
        <v>10601.86666</v>
      </c>
      <c r="B10" s="4">
        <v>46082</v>
      </c>
      <c r="C10">
        <f>F3</f>
        <v>150197</v>
      </c>
      <c r="E10" s="4" t="s">
        <v>1</v>
      </c>
      <c r="F10" s="2">
        <f>XIRR(C3:C10,B3:B10)</f>
        <v>3.9722254872322102E-2</v>
      </c>
    </row>
  </sheetData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6274-01E4-460C-874E-5FDFF94A143D}">
  <dimension ref="A1:R27"/>
  <sheetViews>
    <sheetView workbookViewId="0">
      <selection activeCell="E4" sqref="E4:R4"/>
    </sheetView>
  </sheetViews>
  <sheetFormatPr defaultRowHeight="15" x14ac:dyDescent="0.25"/>
  <cols>
    <col min="1" max="1" width="9.85546875" bestFit="1" customWidth="1"/>
    <col min="2" max="2" width="9.85546875" customWidth="1"/>
    <col min="3" max="3" width="1.5703125" customWidth="1"/>
    <col min="4" max="4" width="5" bestFit="1" customWidth="1"/>
  </cols>
  <sheetData>
    <row r="1" spans="1:18" x14ac:dyDescent="0.25">
      <c r="B1" t="s">
        <v>2</v>
      </c>
      <c r="D1" t="s">
        <v>1</v>
      </c>
      <c r="E1" s="23">
        <f>XIRR(B2:B27,A2:A27)</f>
        <v>2.9978230595588677E-2</v>
      </c>
    </row>
    <row r="2" spans="1:18" x14ac:dyDescent="0.25">
      <c r="A2" s="1">
        <v>36526</v>
      </c>
      <c r="B2">
        <v>-100</v>
      </c>
    </row>
    <row r="3" spans="1:18" x14ac:dyDescent="0.25">
      <c r="A3" s="1">
        <v>36892</v>
      </c>
      <c r="B3">
        <v>3</v>
      </c>
      <c r="E3" s="98" t="s">
        <v>62</v>
      </c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</row>
    <row r="4" spans="1:18" x14ac:dyDescent="0.25">
      <c r="A4" s="1">
        <v>37257</v>
      </c>
      <c r="B4">
        <v>3</v>
      </c>
      <c r="E4" s="98" t="s">
        <v>64</v>
      </c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</row>
    <row r="5" spans="1:18" x14ac:dyDescent="0.25">
      <c r="A5" s="1">
        <v>37622</v>
      </c>
      <c r="B5">
        <v>3</v>
      </c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</row>
    <row r="6" spans="1:18" x14ac:dyDescent="0.25">
      <c r="A6" s="1">
        <v>37987</v>
      </c>
      <c r="B6">
        <v>3</v>
      </c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</row>
    <row r="7" spans="1:18" x14ac:dyDescent="0.25">
      <c r="A7" s="1">
        <v>38353</v>
      </c>
      <c r="B7">
        <v>3</v>
      </c>
    </row>
    <row r="8" spans="1:18" x14ac:dyDescent="0.25">
      <c r="A8" s="1">
        <v>38718</v>
      </c>
      <c r="B8">
        <v>3</v>
      </c>
    </row>
    <row r="9" spans="1:18" x14ac:dyDescent="0.25">
      <c r="A9" s="1">
        <v>39083</v>
      </c>
      <c r="B9">
        <v>3</v>
      </c>
    </row>
    <row r="10" spans="1:18" x14ac:dyDescent="0.25">
      <c r="A10" s="1">
        <v>39448</v>
      </c>
      <c r="B10">
        <v>3</v>
      </c>
    </row>
    <row r="11" spans="1:18" x14ac:dyDescent="0.25">
      <c r="A11" s="1">
        <v>39814</v>
      </c>
      <c r="B11">
        <v>3</v>
      </c>
    </row>
    <row r="12" spans="1:18" x14ac:dyDescent="0.25">
      <c r="A12" s="1">
        <v>40179</v>
      </c>
      <c r="B12">
        <v>3</v>
      </c>
    </row>
    <row r="13" spans="1:18" x14ac:dyDescent="0.25">
      <c r="A13" s="1">
        <v>40544</v>
      </c>
      <c r="B13">
        <v>3</v>
      </c>
    </row>
    <row r="14" spans="1:18" x14ac:dyDescent="0.25">
      <c r="A14" s="1">
        <v>40909</v>
      </c>
      <c r="B14">
        <v>3</v>
      </c>
    </row>
    <row r="15" spans="1:18" x14ac:dyDescent="0.25">
      <c r="A15" s="1">
        <v>41275</v>
      </c>
      <c r="B15">
        <v>3</v>
      </c>
    </row>
    <row r="16" spans="1:18" x14ac:dyDescent="0.25">
      <c r="A16" s="1">
        <v>41640</v>
      </c>
      <c r="B16">
        <v>3</v>
      </c>
    </row>
    <row r="17" spans="1:2" x14ac:dyDescent="0.25">
      <c r="A17" s="1">
        <v>42005</v>
      </c>
      <c r="B17">
        <v>3</v>
      </c>
    </row>
    <row r="18" spans="1:2" x14ac:dyDescent="0.25">
      <c r="A18" s="1">
        <v>42370</v>
      </c>
      <c r="B18">
        <v>3</v>
      </c>
    </row>
    <row r="19" spans="1:2" x14ac:dyDescent="0.25">
      <c r="A19" s="1">
        <v>42736</v>
      </c>
      <c r="B19">
        <v>3</v>
      </c>
    </row>
    <row r="20" spans="1:2" x14ac:dyDescent="0.25">
      <c r="A20" s="1">
        <v>43101</v>
      </c>
      <c r="B20">
        <v>3</v>
      </c>
    </row>
    <row r="21" spans="1:2" x14ac:dyDescent="0.25">
      <c r="A21" s="1">
        <v>43466</v>
      </c>
      <c r="B21">
        <v>3</v>
      </c>
    </row>
    <row r="22" spans="1:2" x14ac:dyDescent="0.25">
      <c r="A22" s="1">
        <v>43831</v>
      </c>
      <c r="B22">
        <v>3</v>
      </c>
    </row>
    <row r="23" spans="1:2" x14ac:dyDescent="0.25">
      <c r="A23" s="1">
        <v>44197</v>
      </c>
      <c r="B23">
        <v>3</v>
      </c>
    </row>
    <row r="24" spans="1:2" x14ac:dyDescent="0.25">
      <c r="A24" s="1">
        <v>44562</v>
      </c>
      <c r="B24">
        <v>3</v>
      </c>
    </row>
    <row r="25" spans="1:2" x14ac:dyDescent="0.25">
      <c r="A25" s="1">
        <v>44927</v>
      </c>
      <c r="B25">
        <v>3</v>
      </c>
    </row>
    <row r="26" spans="1:2" x14ac:dyDescent="0.25">
      <c r="A26" s="1">
        <v>45292</v>
      </c>
      <c r="B26">
        <v>3</v>
      </c>
    </row>
    <row r="27" spans="1:2" x14ac:dyDescent="0.25">
      <c r="A27" s="1">
        <v>45292</v>
      </c>
      <c r="B27">
        <f>-B2</f>
        <v>100</v>
      </c>
    </row>
  </sheetData>
  <mergeCells count="4">
    <mergeCell ref="E3:R3"/>
    <mergeCell ref="E4:R4"/>
    <mergeCell ref="E5:R5"/>
    <mergeCell ref="E6:R6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overlap ptf</vt:lpstr>
      <vt:lpstr>FWD300</vt:lpstr>
      <vt:lpstr>FLI250</vt:lpstr>
      <vt:lpstr>FLI2PF 317</vt:lpstr>
      <vt:lpstr>FLI2</vt:lpstr>
      <vt:lpstr>xirr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Tan, Victor</cp:lastModifiedBy>
  <dcterms:created xsi:type="dcterms:W3CDTF">2023-08-09T09:59:57Z</dcterms:created>
  <dcterms:modified xsi:type="dcterms:W3CDTF">2024-12-24T12:09:10Z</dcterms:modified>
</cp:coreProperties>
</file>