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FAADDC1-691E-432F-BDAB-9FF0FAA7CC2D}" xr6:coauthVersionLast="38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44" i="32" l="1"/>
  <c r="LU24" i="32" l="1"/>
  <c r="LW46" i="32" l="1"/>
  <c r="LW29" i="32"/>
  <c r="LW30" i="32"/>
  <c r="LW31" i="32" l="1"/>
  <c r="LW33" i="32"/>
  <c r="LW35" i="32" l="1"/>
  <c r="LW27" i="32"/>
  <c r="LU23" i="32" l="1"/>
  <c r="LU46" i="32"/>
  <c r="LY3" i="32"/>
  <c r="LU40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7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5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43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41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9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8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3" i="21" s="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4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42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O4" i="28" l="1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C22" i="28" l="1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<sst xmlns="http://schemas.openxmlformats.org/spreadsheetml/2006/main" count="8136" uniqueCount="3377">
  <si>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</si>
  <si>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</si>
  <si>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</si>
  <si>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</si>
  <si>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</si>
  <si>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</si>
  <si>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</si>
  <si>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</si>
  <si>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</si>
  <si>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</si>
  <si>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</si>
  <si>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</si>
  <si>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</si>
  <si>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</si>
  <si>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</si>
  <si>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</si>
  <si>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</si>
  <si>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</si>
  <si>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</si>
  <si>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</si>
  <si>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</si>
  <si>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</si>
  <si>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</si>
  <si>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</si>
  <si>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</si>
  <si>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</si>
  <si>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</si>
  <si>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</si>
  <si>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</si>
  <si>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</si>
  <si>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</si>
  <si>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</si>
  <si>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</si>
  <si>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</si>
  <si>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</si>
  <si>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</si>
  <si>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</si>
  <si>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</si>
  <si>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</si>
  <si>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</si>
  <si>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</si>
  <si>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</si>
  <si>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</si>
  <si>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</si>
  <si>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</si>
  <si>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</si>
  <si>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</si>
  <si>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</si>
  <si>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</si>
  <si>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</si>
  <si>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</si>
  <si>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</si>
  <si>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</si>
  <si>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</si>
  <si>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</si>
  <si>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</si>
  <si>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</si>
  <si>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</si>
  <si>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</si>
  <si>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</si>
  <si>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</si>
  <si>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</si>
  <si>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</si>
  <si>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</si>
  <si>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</si>
  <si>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</si>
  <si>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</si>
  <si>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</si>
  <si>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</si>
  <si>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</si>
  <si>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</si>
  <si>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</si>
  <si>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</si>
  <si>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</si>
  <si>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</si>
  <si>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</si>
  <si>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</si>
  <si>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</si>
  <si>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</si>
  <si>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</si>
  <si>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</si>
  <si>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</si>
  <si>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</si>
  <si>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</si>
  <si>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</si>
  <si>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</si>
  <si>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</si>
  <si>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</si>
  <si>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</si>
  <si>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</si>
  <si>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</si>
  <si>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</si>
  <si>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</si>
  <si>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</si>
  <si>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</si>
  <si>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</si>
  <si>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</si>
  <si>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</si>
  <si>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</si>
  <si>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</si>
  <si>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</si>
  <si>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</si>
  <si>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</si>
  <si>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</si>
  <si>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</si>
  <si>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</si>
  <si>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</si>
  <si>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</si>
  <si>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</si>
  <si>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</si>
  <si>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</si>
  <si>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</si>
  <si>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</si>
  <si>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</si>
  <si>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</si>
  <si>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</si>
  <si>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</si>
  <si>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</si>
  <si>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</si>
  <si>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</si>
  <si>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</si>
  <si>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</si>
  <si>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</si>
  <si>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</si>
  <si>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</si>
  <si>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</si>
  <si>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</si>
  <si>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</si>
  <si>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</si>
  <si>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</si>
  <si>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</si>
  <si>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</si>
  <si>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</si>
  <si>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</si>
  <si>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</si>
  <si>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</si>
  <si>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</si>
  <si>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</si>
  <si>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</si>
  <si>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</si>
  <si>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</si>
  <si>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</si>
  <si>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</si>
  <si>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</si>
  <si>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</si>
  <si>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</si>
  <si>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</si>
  <si>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</si>
  <si>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</si>
  <si>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</si>
  <si>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</si>
  <si>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</si>
  <si>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</si>
  <si>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</si>
  <si>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</si>
  <si>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</si>
  <si>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</si>
  <si>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</si>
  <si>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</si>
  <si>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</si>
  <si>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</si>
  <si>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</si>
  <si>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</si>
  <si>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</si>
  <si>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</si>
  <si>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</si>
  <si>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</si>
  <si>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</si>
  <si>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</si>
  <si>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</si>
  <si>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</si>
  <si>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</si>
  <si>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</si>
  <si>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</si>
  <si>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</si>
  <si>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</si>
  <si>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</si>
  <si>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</si>
  <si>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</si>
  <si>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</si>
  <si>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</si>
  <si>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</si>
  <si>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</si>
  <si>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</si>
  <si>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</si>
  <si>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</si>
  <si>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</si>
  <si>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</si>
  <si>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</si>
  <si>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</si>
  <si>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</si>
  <si>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</si>
  <si>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</si>
  <si>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</si>
  <si>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</si>
  <si>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</si>
  <si>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</si>
  <si>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</si>
  <si>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</si>
  <si>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</si>
  <si>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</si>
  <si>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</si>
  <si>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</si>
  <si>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</si>
  <si>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</si>
  <si>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</si>
  <si>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</si>
  <si>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</si>
  <si>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</si>
  <si>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</si>
  <si>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</si>
  <si>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</si>
  <si>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</si>
  <si>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</si>
  <si>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</si>
  <si>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</si>
  <si>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</si>
  <si>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</si>
  <si>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</si>
  <si>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</si>
  <si>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</si>
  <si>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</si>
  <si>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</si>
  <si>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</si>
  <si>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</si>
  <si>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</si>
  <si>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</si>
  <si>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</si>
  <si>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</si>
  <si>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</si>
  <si>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</si>
  <si>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</si>
  <si>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</si>
  <si>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</si>
  <si>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</si>
  <si>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</si>
  <si>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</si>
  <si>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</si>
  <si>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</si>
  <si>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</si>
  <si>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</si>
  <si>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</si>
  <si>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</si>
  <si>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</si>
  <si>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</si>
  <si>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</si>
  <si>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</si>
  <si>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</si>
  <si>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</si>
  <si>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</si>
  <si>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</si>
  <si>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</si>
  <si>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</si>
  <si>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</si>
  <si>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</si>
  <si>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</si>
  <si>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</si>
  <si>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</si>
  <si>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</si>
  <si>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</si>
  <si>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</si>
  <si>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</si>
  <si>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</si>
  <si>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</si>
  <si>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</si>
  <si>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</si>
  <si>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</si>
  <si>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</si>
  <si>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</si>
  <si>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</si>
  <si>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</si>
  <si>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</si>
  <si>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</si>
  <si>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</si>
  <si>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</si>
  <si>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</si>
  <si>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</si>
  <si>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</si>
  <si>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</si>
  <si>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</si>
  <si>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</si>
  <si>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</si>
  <si>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</si>
  <si>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</si>
  <si>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</si>
  <si>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</si>
  <si>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</si>
  <si>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</si>
  <si>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</si>
  <si>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</si>
  <si>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</si>
  <si>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</si>
  <si>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</si>
  <si>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</si>
  <si>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</si>
  <si>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</si>
  <si>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</si>
  <si>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</si>
  <si>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</si>
  <si>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</si>
  <si>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</si>
  <si>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</si>
  <si>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</si>
  <si>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</si>
  <si>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</si>
  <si>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</si>
  <si>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</si>
  <si>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</si>
  <si>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</si>
  <si>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</si>
  <si>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</si>
  <si>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</si>
  <si>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</si>
  <si>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</si>
  <si>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</si>
  <si>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</si>
  <si>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</si>
  <si>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</si>
  <si>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</si>
  <si>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</si>
  <si>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</si>
  <si>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</si>
  <si>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</si>
  <si>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</si>
  <si>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</si>
  <si>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</si>
  <si>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</si>
  <si>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</si>
  <si>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</si>
  <si>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</si>
  <si>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</si>
  <si>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</si>
  <si>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</si>
  <si>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</si>
  <si>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</si>
  <si>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</si>
  <si>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</si>
  <si>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</si>
  <si>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</si>
  <si>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</si>
  <si>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</si>
  <si>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</si>
  <si>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</si>
  <si>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</si>
  <si>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</si>
  <si>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</si>
  <si>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</si>
  <si>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</si>
  <si>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</si>
  <si>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</si>
  <si>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</si>
  <si>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</si>
  <si>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</si>
  <si>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</si>
  <si>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</si>
  <si>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</si>
  <si>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</si>
  <si>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</si>
  <si>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</si>
  <si>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</si>
  <si>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</si>
  <si>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</si>
  <si>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</si>
  <si>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</si>
  <si>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</si>
  <si>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</si>
  <si>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</si>
  <si>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</si>
  <si>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</si>
  <si>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</si>
  <si>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</si>
  <si>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</si>
  <si>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</si>
  <si>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</si>
  <si>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</si>
  <si>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</si>
  <si>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</si>
  <si>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</si>
  <si>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</si>
  <si>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</si>
  <si>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</si>
  <si>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</si>
  <si>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</si>
  <si>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</si>
  <si>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</si>
  <si>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</si>
  <si>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</si>
  <si>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</si>
  <si>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</si>
  <si>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</si>
  <si>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</si>
  <si>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</si>
  <si>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</si>
  <si>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</si>
  <si>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</si>
  <si>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</si>
  <si>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</si>
  <si>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</si>
  <si>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</si>
  <si>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</si>
  <si>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</si>
  <si>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</si>
  <si>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</si>
  <si>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</si>
  <si>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</si>
  <si>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</si>
  <si>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</si>
  <si>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</si>
  <si>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</si>
  <si>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</si>
  <si>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</si>
  <si>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</si>
  <si>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</si>
  <si>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</si>
  <si>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</si>
  <si>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</si>
  <si>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</si>
  <si>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</si>
  <si>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</si>
  <si>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</si>
  <si>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</si>
  <si>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</si>
  <si>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</si>
  <si>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</si>
  <si>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</si>
  <si>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</si>
  <si>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</si>
  <si>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</si>
  <si>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</si>
  <si>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</si>
  <si>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</si>
  <si>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</si>
  <si>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</si>
  <si>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</si>
  <si>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</si>
  <si>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</si>
  <si>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</si>
  <si>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</si>
  <si>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</si>
  <si>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</si>
  <si>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</si>
  <si>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</si>
  <si>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</si>
  <si>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</si>
  <si>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</si>
  <si>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</si>
  <si>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</si>
  <si>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</si>
  <si>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</si>
  <si>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</si>
  <si>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</si>
  <si>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</si>
  <si>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</si>
  <si>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</si>
  <si>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</si>
  <si>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</si>
  <si>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</si>
  <si>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</si>
  <si>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</si>
  <si>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</si>
  <si>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</si>
  <si>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</si>
  <si>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</si>
  <si>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</si>
  <si>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</si>
  <si>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</si>
  <si>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</si>
  <si>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</si>
  <si>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</si>
  <si>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</si>
  <si>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</si>
  <si>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</si>
  <si>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</si>
  <si>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</si>
  <si>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</si>
  <si>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</si>
  <si>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</si>
  <si>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</si>
  <si>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</si>
  <si>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</si>
  <si>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</si>
  <si>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</si>
  <si>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</si>
  <si>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</si>
  <si>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</si>
  <si>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</si>
  <si>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</si>
  <si>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</si>
  <si>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</si>
  <si>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</si>
  <si>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</si>
  <si>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</si>
  <si>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</si>
  <si>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</si>
  <si>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</si>
  <si>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</si>
  <si>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</si>
  <si>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</si>
  <si>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</si>
  <si>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</si>
  <si>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</si>
  <si>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</si>
  <si>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</si>
  <si>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</si>
  <si>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</si>
  <si>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</si>
  <si>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</si>
  <si>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</si>
  <si>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</si>
  <si>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</si>
  <si>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</si>
  <si>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</si>
  <si>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</si>
  <si>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</si>
  <si>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</si>
  <si>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</si>
  <si>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</si>
  <si>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</si>
  <si>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</si>
  <si>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</si>
  <si>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</si>
  <si>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</si>
  <si>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</si>
  <si>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</si>
  <si>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</si>
  <si>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</si>
  <si>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</si>
  <si>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</si>
  <si>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</si>
  <si>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</si>
  <si>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</si>
  <si>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</si>
  <si>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</si>
  <si>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</si>
  <si>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</si>
  <si>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</si>
  <si>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</si>
  <si>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</si>
  <si>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</si>
  <si>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</si>
  <si>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</si>
  <si>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</si>
  <si>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</si>
  <si>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</si>
  <si>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</si>
  <si>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</si>
  <si>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</si>
  <si>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</si>
  <si>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</si>
  <si>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</si>
  <si>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</si>
  <si>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</si>
  <si>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</si>
  <si>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</si>
  <si>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</si>
  <si>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</si>
  <si>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</si>
  <si>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</si>
  <si>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</si>
  <si>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</si>
  <si>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</si>
  <si>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</si>
  <si>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</si>
  <si>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</si>
  <si>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</si>
  <si>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</si>
  <si>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</si>
  <si>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</si>
  <si>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</si>
  <si>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</si>
  <si>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</si>
  <si>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</si>
  <si>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</si>
  <si>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</si>
  <si>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</si>
  <si>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</si>
  <si>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</si>
  <si>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</si>
  <si>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</si>
  <si>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</si>
  <si>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</si>
  <si>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</si>
  <si>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</si>
  <si>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</si>
  <si>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</si>
  <si>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</si>
  <si>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</si>
  <si>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</si>
  <si>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</si>
  <si>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</si>
  <si>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</si>
  <si>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</si>
  <si>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</si>
  <si>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</si>
  <si>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</si>
  <si>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</si>
  <si>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</si>
  <si>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</si>
  <si>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</si>
  <si>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</si>
  <si>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</si>
  <si>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</si>
  <si>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</si>
  <si>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</si>
  <si>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</si>
  <si>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</si>
  <si>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</si>
  <si>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</si>
  <si>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</si>
  <si>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</si>
  <si>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</si>
  <si>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</si>
  <si>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</si>
  <si>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</si>
  <si>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</si>
  <si>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</si>
  <si>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</si>
  <si>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</si>
  <si>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</si>
  <si>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</si>
  <si>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</si>
  <si>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</si>
  <si>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</si>
  <si>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</si>
  <si>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</si>
  <si>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</si>
  <si>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</si>
  <si>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</si>
  <si>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</si>
  <si>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</si>
  <si>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</si>
  <si>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</si>
  <si>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</si>
  <si>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</si>
  <si>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</si>
  <si>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</si>
  <si>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</si>
  <si>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</si>
  <si>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</si>
  <si>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</si>
  <si>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</si>
  <si>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</si>
  <si>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</si>
  <si>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</si>
  <si>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</si>
  <si>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</si>
  <si>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</si>
  <si>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</si>
  <si>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</si>
  <si>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</si>
  <si>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</si>
  <si>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</si>
  <si>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</si>
  <si>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</si>
  <si>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</si>
  <si>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</si>
  <si>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</si>
  <si>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</si>
  <si>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</si>
  <si>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</si>
  <si>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</si>
  <si>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</si>
  <si>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</si>
  <si>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</si>
  <si>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</si>
  <si>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</si>
  <si>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</si>
  <si>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</si>
  <si>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</si>
  <si>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</si>
  <si>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</si>
  <si>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</si>
  <si>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</si>
  <si>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</si>
  <si>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</si>
  <si>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</si>
  <si>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</si>
  <si>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</si>
  <si>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</si>
  <si>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</si>
  <si>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</si>
  <si>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</si>
  <si>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</si>
  <si>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</si>
  <si>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</si>
  <si>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</si>
  <si>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</si>
  <si>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</si>
  <si>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</si>
  <si>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</si>
  <si>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</si>
  <si>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</si>
  <si>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</si>
  <si>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</si>
  <si>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</si>
  <si>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</si>
  <si>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</si>
  <si>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</si>
  <si>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</si>
  <si>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</si>
  <si>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</si>
  <si>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</si>
  <si>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</si>
  <si>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</si>
  <si>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</si>
  <si>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</si>
  <si>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</si>
  <si>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</si>
  <si>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</si>
  <si>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</si>
  <si>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</si>
  <si>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</si>
  <si>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</si>
  <si>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</si>
  <si>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</si>
  <si>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</si>
  <si>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</si>
  <si>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</si>
  <si>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</si>
  <si>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</si>
  <si>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</si>
  <si>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</si>
  <si>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</si>
  <si>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</si>
  <si>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</si>
  <si>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</si>
  <si>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</si>
  <si>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</si>
  <si>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</si>
  <si>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</si>
  <si>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</si>
  <si>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</si>
  <si>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</si>
  <si>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</si>
  <si>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</si>
  <si>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</si>
  <si>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</si>
  <si>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</si>
  <si>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</si>
  <si>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</si>
  <si>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</si>
  <si>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</si>
  <si>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</si>
  <si>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</si>
  <si>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</si>
  <si>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</si>
  <si>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</si>
  <si>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</si>
  <si>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</si>
  <si>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</si>
  <si>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</si>
  <si>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</si>
  <si>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</si>
  <si>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</si>
  <si>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</si>
  <si>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</si>
  <si>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</si>
  <si>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</si>
  <si>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</si>
  <si>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</si>
  <si>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</si>
  <si>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</si>
  <si>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</si>
  <si>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</si>
  <si>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</si>
  <si>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</si>
  <si>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</si>
  <si>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</si>
  <si>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</si>
  <si>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</si>
  <si>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</si>
  <si>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</si>
  <si>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</si>
  <si>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</si>
  <si>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</si>
  <si>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</si>
  <si>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</si>
  <si>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</si>
  <si>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</si>
  <si>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</si>
  <si>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</si>
  <si>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</si>
  <si>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</si>
  <si>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</si>
  <si>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</si>
  <si>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</si>
  <si>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</si>
  <si>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</si>
  <si>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</si>
  <si>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</si>
  <si>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</si>
  <si>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</si>
  <si>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</si>
  <si>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</si>
  <si>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</si>
  <si>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</si>
  <si>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</si>
  <si>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</si>
  <si>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</si>
  <si>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</si>
  <si>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</si>
  <si>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</si>
  <si>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</si>
  <si>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</si>
  <si>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</si>
  <si>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</si>
  <si>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</si>
  <si>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</si>
  <si>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</si>
  <si>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</si>
  <si>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</si>
  <si>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</si>
  <si>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</si>
  <si>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</si>
  <si>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</si>
  <si>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</si>
  <si>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</si>
  <si>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</si>
  <si>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</si>
  <si>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</si>
  <si>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</si>
  <si>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</si>
  <si>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</si>
  <si>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</si>
  <si>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</si>
  <si>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</si>
  <si>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</si>
  <si>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</si>
  <si>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</si>
  <si>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</si>
  <si>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</si>
  <si>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</si>
  <si>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</si>
  <si>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</si>
  <si>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</si>
  <si>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</si>
  <si>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</si>
  <si>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</si>
  <si>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</si>
  <si>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</si>
  <si>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</si>
  <si>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</si>
  <si>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</si>
  <si>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</si>
  <si>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</si>
  <si>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</si>
  <si>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</si>
  <si>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</si>
  <si>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</si>
  <si>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</si>
  <si>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</si>
  <si>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</si>
  <si>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</si>
  <si>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</si>
  <si>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</si>
  <si>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</si>
  <si>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</si>
  <si>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</si>
  <si>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</si>
  <si>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</si>
  <si>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</si>
  <si>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</si>
  <si>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</si>
  <si>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</si>
  <si>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</si>
  <si>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</si>
  <si>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</si>
  <si>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</si>
  <si>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</si>
  <si>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</si>
  <si>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</si>
  <si>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</si>
  <si>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</si>
  <si>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</si>
  <si>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</si>
  <si>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</si>
  <si>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</si>
  <si>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</si>
  <si>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</si>
  <si>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</si>
  <si>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</si>
  <si>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</si>
  <si>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</si>
  <si>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</si>
  <si>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</si>
  <si>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</si>
  <si>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</si>
  <si>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</si>
  <si>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</si>
  <si>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</si>
  <si>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</si>
  <si>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</si>
  <si>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</si>
  <si>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</si>
  <si>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</si>
  <si>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</si>
  <si>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</si>
  <si>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</si>
  <si>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</si>
  <si>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</si>
  <si>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</si>
  <si>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</si>
  <si>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</si>
  <si>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</si>
  <si>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</si>
  <si>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</si>
  <si>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</si>
  <si>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</si>
  <si>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</si>
  <si>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</si>
  <si>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</si>
  <si>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</si>
  <si>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</si>
  <si>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</si>
  <si>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</si>
  <si>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</si>
  <si>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</si>
  <si>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</si>
  <si>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</si>
  <si>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</si>
  <si>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</si>
  <si>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</si>
  <si>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</si>
  <si>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</si>
  <si>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</si>
  <si>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</si>
  <si>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</si>
  <si>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</si>
  <si>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</si>
  <si>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</si>
  <si>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</si>
  <si>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</si>
  <si>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</si>
  <si>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</si>
  <si>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</si>
  <si>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</si>
  <si>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</si>
  <si>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</si>
  <si>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</si>
  <si>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</si>
  <si>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</si>
  <si>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</si>
  <si>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</si>
  <si>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</si>
  <si>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</si>
  <si>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</si>
  <si>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</si>
  <si>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</si>
  <si>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</si>
  <si>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</si>
  <si>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</si>
  <si>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</si>
  <si>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</si>
  <si>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</si>
  <si>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</si>
  <si>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</si>
  <si>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</si>
  <si>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</si>
  <si>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</si>
  <si>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</si>
  <si>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</si>
  <si>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</si>
  <si>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</si>
  <si>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</si>
  <si>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</si>
  <si>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</si>
  <si>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</si>
  <si>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</si>
  <si>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</si>
  <si>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</si>
  <si>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</si>
  <si>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</si>
  <si>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</si>
  <si>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</si>
  <si>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</si>
  <si>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</si>
  <si>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</si>
  <si>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</si>
  <si>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</si>
  <si>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</si>
  <si>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</si>
  <si>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</si>
  <si>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</si>
  <si>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</si>
  <si>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</si>
  <si>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</si>
  <si>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</si>
  <si>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</si>
  <si>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</si>
  <si>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</si>
  <si>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</si>
  <si>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</si>
  <si>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</si>
  <si>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</si>
  <si>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</si>
  <si>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</si>
  <si>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</si>
  <si>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</si>
  <si>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</si>
  <si>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</si>
  <si>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</si>
  <si>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</si>
  <si>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</si>
  <si>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</si>
  <si>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</si>
  <si>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</si>
  <si>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</si>
  <si>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</si>
  <si>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</si>
  <si>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</si>
  <si>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</si>
  <si>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</si>
  <si>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</si>
  <si>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</si>
  <si>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</si>
  <si>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</si>
  <si>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</si>
  <si>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</si>
  <si>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</si>
  <si>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</si>
  <si>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</si>
  <si>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</si>
  <si>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</si>
  <si>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</si>
  <si>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</si>
  <si>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</si>
  <si>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</si>
  <si>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</si>
  <si>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</si>
  <si>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</si>
  <si>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</si>
  <si>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</si>
  <si>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</si>
  <si>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</si>
  <si>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</si>
  <si>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</si>
  <si>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</si>
  <si>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</si>
  <si>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</si>
  <si>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</si>
  <si>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</si>
  <si>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</si>
  <si>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</si>
  <si>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</si>
  <si>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</si>
  <si>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</si>
  <si>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</si>
  <si>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</si>
  <si>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</si>
  <si>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</si>
  <si>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</si>
  <si>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</si>
  <si>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</si>
  <si>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</si>
  <si>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</si>
  <si>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</si>
  <si>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</si>
  <si>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</si>
  <si>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</si>
  <si>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</si>
  <si>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</si>
  <si>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</si>
  <si>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</si>
  <si>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</si>
  <si>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</si>
  <si>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</si>
  <si>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</si>
  <si>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</si>
  <si>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</si>
  <si>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</si>
  <si>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</si>
  <si>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</si>
  <si>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</si>
  <si>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</si>
  <si>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</si>
  <si>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</si>
  <si>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</si>
  <si>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</si>
  <si>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</si>
  <si>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</si>
  <si>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</si>
  <si>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</si>
  <si>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</si>
  <si>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</si>
  <si>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</si>
  <si>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</si>
  <si>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</si>
  <si>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</si>
  <si>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</si>
  <si>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</si>
  <si>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</si>
  <si>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</si>
  <si>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</si>
  <si>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</si>
  <si>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</si>
  <si>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</si>
  <si>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</si>
  <si>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</si>
  <si>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</si>
  <si>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</si>
  <si>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</si>
  <si>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</si>
  <si>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</si>
  <si>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</si>
  <si>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</si>
  <si>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</si>
  <si>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</si>
  <si>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</si>
  <si>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</si>
  <si>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</si>
  <si>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</si>
  <si>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</si>
  <si>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</si>
  <si>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</si>
  <si>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</si>
  <si>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</si>
  <si>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</si>
  <si>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</si>
  <si>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</si>
  <si>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</si>
  <si>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</si>
  <si>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</si>
  <si>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</si>
  <si>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</si>
  <si>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</si>
  <si>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</si>
  <si>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</si>
  <si>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</si>
  <si>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</si>
  <si>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</si>
  <si>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</si>
  <si>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</si>
  <si>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</si>
  <si>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</si>
  <si>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</si>
  <si>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</si>
  <si>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</si>
  <si>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</si>
  <si>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</si>
  <si>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</si>
  <si>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</si>
  <si>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</si>
  <si>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</si>
  <si>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</si>
  <si>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</si>
  <si>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</si>
  <si>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</si>
  <si>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</si>
  <si>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</si>
  <si>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</si>
  <si>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</si>
  <si>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</si>
  <si>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</si>
  <si>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</si>
  <si>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</si>
  <si>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</si>
  <si>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</si>
  <si>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</si>
  <si>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</si>
  <si>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</si>
  <si>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</si>
  <si>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</si>
  <si>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</si>
  <si>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</si>
  <si>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</si>
  <si>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</si>
  <si>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</si>
  <si>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</si>
  <si>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</si>
  <si>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</si>
  <si>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</si>
  <si>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</si>
  <si>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</si>
  <si>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</si>
  <si>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</si>
  <si>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</si>
  <si>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</si>
  <si>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</si>
  <si>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</si>
  <si>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</si>
  <si>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</si>
  <si>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</si>
  <si>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</si>
  <si>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</si>
  <si>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</si>
  <si>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</si>
  <si>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</si>
  <si>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</si>
  <si>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</si>
  <si>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</si>
  <si>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</si>
  <si>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</si>
  <si>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</si>
  <si>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</si>
  <si>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</si>
  <si>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</si>
  <si>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</si>
  <si>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</si>
  <si>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</si>
  <si>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</si>
  <si>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</si>
  <si>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</si>
  <si>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</si>
  <si>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</si>
  <si>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</si>
  <si>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</si>
  <si>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</si>
  <si>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</si>
  <si>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</si>
  <si>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</si>
  <si>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</si>
  <si>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</si>
  <si>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</si>
  <si>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</si>
  <si>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</si>
  <si>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</si>
  <si>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</si>
  <si>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</si>
  <si>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</si>
  <si>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</si>
  <si>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</si>
  <si>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</si>
  <si>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</si>
  <si>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</si>
  <si>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</si>
  <si>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</si>
  <si>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</si>
  <si>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</si>
  <si>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</si>
  <si>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</si>
  <si>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</si>
  <si>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</si>
  <si>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</si>
  <si>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</si>
  <si>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</si>
  <si>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</si>
  <si>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</si>
  <si>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</si>
  <si>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</si>
  <si>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</si>
  <si>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</si>
  <si>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</si>
  <si>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</si>
  <si>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</si>
  <si>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</si>
  <si>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</si>
  <si>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</si>
  <si>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</si>
  <si>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</si>
  <si>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</si>
  <si>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</si>
  <si>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</si>
  <si>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</si>
  <si>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</si>
  <si>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</si>
  <si>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</si>
  <si>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</si>
  <si>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</si>
  <si>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</si>
  <si>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</si>
  <si>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</si>
  <si>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</si>
  <si>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</si>
  <si>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</si>
  <si>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</si>
  <si>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</si>
  <si>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</si>
  <si>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</si>
  <si>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</si>
  <si>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</si>
  <si>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</si>
  <si>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</si>
  <si>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</si>
  <si>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</si>
  <si>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</si>
  <si>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</si>
  <si>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</si>
  <si>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</si>
  <si>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</si>
  <si>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</si>
  <si>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</si>
  <si>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</si>
  <si>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</si>
  <si>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</si>
  <si>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</si>
  <si>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</si>
  <si>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</si>
  <si>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</si>
  <si>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</si>
  <si>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</si>
  <si>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</si>
  <si>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</si>
  <si>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</si>
  <si>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</si>
  <si>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</si>
  <si>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</si>
  <si>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</si>
  <si>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</si>
  <si>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</si>
  <si>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</si>
  <si>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</si>
  <si>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</si>
  <si>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</si>
  <si>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</si>
  <si>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</si>
  <si>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</si>
  <si>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</si>
  <si>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</si>
  <si>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</si>
  <si>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</si>
  <si>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</si>
  <si>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</si>
  <si>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</si>
  <si>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</si>
  <si>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</si>
  <si>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</si>
  <si>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</si>
  <si>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</si>
  <si>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</si>
  <si>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</si>
  <si>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</si>
  <si>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</si>
  <si>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</si>
  <si>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</si>
  <si>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</si>
  <si>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</si>
  <si>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</si>
  <si>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</si>
  <si>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</si>
  <si>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</si>
  <si>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</si>
  <si>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</si>
  <si>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</si>
  <si>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</si>
  <si>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</si>
  <si>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</si>
  <si>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</si>
  <si>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</si>
  <si>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</si>
  <si>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</si>
  <si>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</si>
  <si>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</si>
  <si>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</si>
  <si>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</si>
  <si>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</si>
  <si>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</si>
  <si>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</si>
  <si>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</si>
  <si>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</si>
  <si>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</si>
  <si>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</si>
  <si>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</si>
  <si>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</si>
  <si>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</si>
  <si>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</si>
  <si>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</si>
  <si>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</si>
  <si>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</si>
  <si>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</si>
  <si>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</si>
  <si>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</si>
  <si>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</si>
  <si>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</si>
  <si>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</si>
  <si>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</si>
  <si>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</si>
  <si>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</si>
  <si>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</si>
  <si>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</si>
  <si>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</si>
  <si>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</si>
  <si>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</si>
  <si>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</si>
  <si>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</si>
  <si>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</si>
  <si>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</si>
  <si>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</si>
  <si>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</si>
  <si>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</si>
  <si>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</si>
  <si>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</si>
  <si>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</si>
  <si>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</si>
  <si>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</si>
  <si>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</si>
  <si>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</si>
  <si>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</si>
  <si>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</si>
  <si>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</si>
  <si>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</si>
  <si>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</si>
  <si>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</si>
  <si>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</si>
  <si>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</si>
  <si>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</si>
  <si>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</si>
  <si>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</si>
  <si>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</si>
  <si>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</si>
  <si>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</si>
  <si>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</si>
  <si>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</si>
  <si>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</si>
  <si>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</si>
  <si>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</si>
  <si>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</si>
  <si>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</si>
  <si>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</si>
  <si>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</si>
  <si>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</si>
  <si>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</si>
  <si>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</si>
  <si>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</si>
  <si>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</si>
  <si>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</si>
  <si>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</si>
  <si>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</si>
  <si>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</si>
  <si>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</si>
  <si>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</si>
  <si>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</si>
  <si>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</si>
  <si>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</si>
  <si>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</si>
  <si>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</si>
  <si>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</si>
  <si>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</si>
  <si>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</si>
  <si>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</si>
  <si>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</si>
  <si>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</si>
  <si>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</si>
  <si>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</si>
  <si>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</si>
  <si>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</si>
  <si>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</si>
  <si>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</si>
  <si>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</si>
  <si>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</si>
  <si>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</si>
  <si>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</si>
  <si>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</si>
  <si>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</si>
  <si>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</si>
  <si>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</si>
  <si>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</si>
  <si>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</si>
  <si>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</si>
  <si>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</si>
  <si>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</si>
  <si>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</si>
  <si>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</si>
  <si>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</si>
  <si>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</si>
  <si>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</si>
  <si>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</si>
  <si>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</si>
  <si>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</si>
  <si>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</si>
  <si>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</si>
  <si>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</si>
  <si>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</si>
  <si>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</si>
  <si>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</si>
  <si>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</si>
  <si>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</si>
  <si>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</si>
  <si>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</si>
  <si>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</si>
  <si>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</si>
  <si>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</si>
  <si>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</si>
  <si>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</si>
  <si>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</si>
  <si>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</si>
  <si>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</si>
  <si>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</si>
  <si>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</si>
  <si>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</si>
  <si>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</si>
  <si>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</si>
  <si>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</si>
  <si>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</si>
  <si>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</si>
  <si>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</si>
  <si>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</si>
  <si>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</si>
  <si>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</si>
  <si>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</si>
  <si>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</si>
  <si>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</si>
  <si>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</si>
  <si>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</si>
  <si>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</si>
  <si>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</si>
  <si>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</si>
  <si>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</si>
  <si>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</si>
  <si>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</si>
  <si>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</si>
  <si>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</si>
  <si>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</si>
  <si>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</si>
  <si>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</si>
  <si>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</si>
  <si>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</si>
  <si>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</si>
  <si>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</si>
  <si>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</si>
  <si>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</si>
  <si>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</si>
  <si>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</si>
  <si>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</si>
  <si>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</si>
  <si>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</si>
  <si>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</si>
  <si>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</si>
  <si>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</si>
  <si>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</si>
  <si>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</si>
  <si>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</si>
  <si>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</si>
  <si>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</si>
  <si>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</si>
  <si>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</si>
  <si>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</si>
  <si>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</si>
  <si>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</si>
  <si>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</si>
  <si>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</si>
  <si>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</si>
  <si>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</si>
  <si>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</si>
  <si>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</si>
  <si>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</si>
  <si>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</si>
  <si>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</si>
  <si>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</si>
  <si>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</si>
  <si>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</si>
  <si>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</si>
  <si>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</si>
  <si>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</si>
  <si>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</si>
  <si>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</si>
  <si>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</si>
  <si>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</si>
  <si>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</si>
  <si>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</si>
  <si>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</si>
  <si>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</si>
  <si>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</si>
  <si>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</si>
  <si>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</si>
  <si>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</si>
  <si>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</si>
  <si>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</si>
  <si>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</si>
  <si>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</si>
  <si>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</si>
  <si>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</si>
  <si>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</si>
  <si>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</si>
  <si>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</si>
  <si>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</si>
  <si>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</si>
  <si>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</si>
  <si>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</si>
  <si>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</si>
  <si>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</si>
  <si>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</si>
  <si>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</si>
  <si>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</si>
  <si>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</si>
  <si>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</si>
  <si>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</si>
  <si>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</si>
  <si>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</si>
  <si>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</si>
  <si>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</si>
  <si>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</si>
  <si>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</si>
  <si>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</si>
  <si>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</si>
  <si>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</si>
  <si>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</si>
  <si>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</si>
  <si>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</si>
  <si>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</si>
  <si>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</si>
  <si>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</si>
  <si>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</si>
  <si>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</si>
  <si>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</si>
  <si>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</si>
  <si>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</si>
  <si>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</si>
  <si>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</si>
  <si>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</si>
  <si>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</si>
  <si>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</si>
  <si>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</si>
  <si>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</si>
  <si>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</si>
  <si>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</si>
  <si>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</si>
  <si>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</si>
  <si>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</si>
  <si>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</si>
  <si>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</si>
  <si>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</si>
  <si>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</si>
  <si>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</si>
  <si>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</si>
  <si>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</si>
  <si>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</si>
  <si>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</si>
  <si>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</si>
  <si>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</si>
  <si>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</si>
  <si>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</si>
  <si>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</si>
  <si>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</si>
  <si>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</si>
  <si>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</si>
  <si>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</si>
  <si>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</si>
  <si>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</si>
  <si>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</si>
  <si>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</si>
  <si>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</si>
  <si>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</si>
  <si>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</si>
  <si>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</si>
  <si>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</si>
  <si>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</si>
  <si>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</si>
  <si>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</si>
  <si>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</si>
  <si>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</si>
  <si>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</si>
  <si>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</si>
  <si>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</si>
  <si>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</si>
  <si>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</si>
  <si>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</si>
  <si>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</si>
  <si>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</si>
  <si>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</si>
  <si>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</si>
  <si>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</si>
  <si>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</si>
  <si>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</si>
  <si>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</si>
  <si>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</si>
  <si>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</si>
  <si>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</si>
  <si>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</si>
  <si>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</si>
  <si>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</si>
  <si>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</si>
  <si>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</si>
  <si>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</si>
  <si>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</si>
  <si>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</si>
  <si>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</si>
  <si>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</si>
  <si>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</si>
  <si>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</si>
  <si>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</si>
  <si>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</si>
  <si>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</si>
  <si>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</si>
  <si>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</si>
  <si>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</si>
  <si>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</si>
  <si>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</si>
  <si>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</si>
  <si>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</si>
  <si>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</si>
  <si>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</si>
  <si>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</si>
  <si>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</si>
  <si>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</si>
  <si>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</si>
  <si>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</si>
  <si>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</si>
  <si>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</si>
  <si>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</si>
  <si>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</si>
  <si>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</si>
  <si>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</si>
  <si>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</si>
  <si>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</si>
  <si>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</si>
  <si>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</si>
  <si>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</si>
  <si>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</si>
  <si>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</si>
  <si>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</si>
  <si>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</si>
  <si>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</si>
  <si>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</si>
  <si>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</si>
  <si>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</si>
  <si>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</si>
  <si>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</si>
  <si>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</si>
  <si>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</si>
  <si>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</si>
  <si>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</si>
  <si>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</si>
  <si>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</si>
  <si>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</si>
  <si>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</si>
  <si>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</si>
  <si>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</si>
  <si>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</si>
  <si>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</si>
  <si>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</si>
  <si>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</si>
  <si>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</si>
  <si>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</si>
  <si>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</si>
  <si>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</si>
  <si>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</si>
  <si>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</si>
  <si>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</si>
  <si>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</si>
  <si>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</si>
  <si>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</si>
  <si>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</si>
  <si>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</si>
  <si>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</si>
  <si>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</si>
  <si>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</si>
  <si>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</si>
  <si>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</si>
  <si>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</si>
  <si>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</si>
  <si>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</si>
  <si>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</si>
  <si>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</si>
  <si>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</si>
  <si>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</si>
  <si>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</si>
  <si>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</si>
  <si>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</si>
  <si>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</si>
  <si>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</si>
  <si>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</si>
  <si>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</si>
  <si>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</si>
  <si>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</si>
  <si>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</si>
  <si>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</si>
  <si>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</si>
  <si>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</si>
  <si>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</si>
  <si>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</si>
  <si>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</si>
  <si>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</si>
  <si>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</si>
  <si>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</si>
  <si>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</si>
  <si>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</si>
  <si>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</si>
  <si>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</si>
  <si>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</si>
  <si>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</si>
  <si>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</si>
  <si>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</si>
  <si>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</si>
  <si>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</si>
  <si>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</si>
  <si>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</si>
  <si>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</si>
  <si>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</si>
  <si>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</si>
  <si>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</si>
  <si>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</si>
  <si>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</si>
  <si>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</si>
  <si>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</si>
  <si>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</si>
  <si>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</si>
  <si>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</si>
  <si>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</si>
  <si>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</si>
  <si>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</si>
  <si>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</si>
  <si>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</si>
  <si>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</si>
  <si>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</si>
  <si>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</si>
  <si>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</si>
  <si>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</si>
  <si>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</si>
  <si>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</si>
  <si>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</si>
  <si>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</si>
  <si>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</si>
  <si>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</si>
  <si>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</si>
  <si>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</si>
  <si>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</si>
  <si>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</si>
  <si>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</si>
  <si>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</si>
  <si>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</si>
  <si>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</si>
  <si>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</si>
  <si>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</si>
  <si>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</si>
  <si>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</si>
  <si>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</si>
  <si>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</si>
  <si>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</si>
  <si>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</si>
  <si>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</si>
  <si>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</si>
  <si>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</si>
  <si>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</si>
  <si>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</si>
  <si>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</si>
  <si>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</si>
  <si>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</si>
  <si>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</si>
  <si>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</si>
  <si>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</si>
  <si>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</si>
  <si>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</si>
  <si>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</si>
  <si>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</si>
  <si>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</si>
  <si>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</si>
  <si>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</si>
  <si>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</si>
  <si>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</si>
  <si>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</si>
  <si>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</si>
  <si>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</si>
  <si>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</si>
  <si>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</si>
  <si>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</si>
  <si>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</si>
  <si>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</si>
  <si>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</si>
  <si>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</si>
  <si>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</si>
  <si>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</si>
  <si>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</si>
  <si>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</si>
  <si>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</si>
  <si>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</si>
  <si>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</si>
  <si>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</si>
  <si>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</si>
  <si>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</si>
  <si>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</si>
  <si>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</si>
  <si>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</si>
  <si>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</si>
  <si>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</si>
  <si>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</si>
  <si>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</si>
  <si>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</si>
  <si>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</si>
  <si>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</si>
  <si>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</si>
  <si>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</si>
  <si>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</si>
  <si>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</si>
  <si>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</si>
  <si>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</si>
  <si>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</si>
  <si>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</si>
  <si>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</si>
  <si>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</si>
  <si>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</si>
  <si>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</si>
  <si>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</si>
  <si>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</si>
  <si>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</si>
  <si>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</si>
  <si>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</si>
  <si>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</si>
  <si>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</si>
  <si>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</si>
  <si>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</si>
  <si>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</si>
  <si>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</si>
  <si>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</si>
  <si>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</si>
  <si>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</si>
  <si>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</si>
  <si>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</si>
  <si>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</si>
  <si>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</si>
  <si>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</si>
  <si>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</si>
  <si>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</si>
  <si>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</si>
  <si>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</si>
  <si>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</si>
  <si>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</si>
  <si>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</si>
  <si>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</si>
  <si>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</si>
  <si>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</si>
  <si>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</si>
  <si>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</si>
  <si>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</si>
  <si>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</si>
  <si>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</si>
  <si>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</si>
  <si>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</si>
  <si>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</si>
  <si>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</si>
  <si>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</si>
  <si>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</si>
  <si>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</si>
  <si>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</si>
  <si>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</si>
  <si>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</si>
  <si>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</si>
  <si>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</si>
  <si>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</si>
  <si>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</si>
  <si>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</si>
  <si>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</si>
  <si>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</si>
  <si>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</si>
  <si>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</si>
  <si>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</si>
  <si>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</si>
  <si>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</si>
  <si>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</si>
  <si>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</si>
  <si>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</si>
  <si>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</si>
  <si>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</si>
  <si>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</si>
  <si>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</si>
  <si>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</si>
  <si>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</si>
  <si>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</si>
  <si>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</si>
  <si>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</si>
  <si>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</si>
  <si>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</si>
  <si>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</si>
  <si>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</si>
  <si>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</si>
  <si>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</si>
  <si>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</si>
  <si>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</si>
  <si>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</si>
  <si>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</si>
  <si>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</si>
  <si>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</si>
  <si>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</si>
  <si>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</si>
  <si>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</si>
  <si>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</si>
  <si>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</si>
  <si>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</si>
  <si>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</si>
  <si>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</si>
  <si>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</si>
  <si>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</si>
  <si>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</si>
  <si>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</si>
  <si>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</si>
  <si>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</si>
  <si>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</si>
  <si>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</si>
  <si>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</si>
  <si>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</si>
  <si>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</si>
  <si>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</si>
  <si>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</si>
  <si>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</si>
  <si>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</si>
  <si>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</si>
  <si>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</si>
  <si>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</si>
  <si>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</si>
  <si>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</si>
  <si>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</si>
  <si>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</si>
  <si>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</si>
  <si>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</si>
  <si>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</si>
  <si>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</si>
  <si>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</si>
  <si>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</si>
  <si>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</si>
  <si>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</si>
  <si>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</si>
  <si>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</si>
  <si>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</si>
  <si>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</si>
  <si>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</si>
  <si>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</si>
  <si>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</si>
  <si>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</si>
  <si>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</si>
  <si>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</si>
  <si>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</si>
  <si>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</si>
  <si>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</si>
  <si>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</si>
  <si>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</si>
  <si>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</si>
  <si>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</si>
  <si>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</si>
  <si>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</si>
  <si>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</si>
  <si>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</si>
  <si>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</si>
  <si>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</si>
  <si>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</si>
  <si>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</si>
  <si>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</si>
  <si>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</si>
  <si>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</si>
  <si>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</si>
  <si>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</si>
  <si>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</si>
  <si>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</si>
  <si>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</si>
  <si>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</si>
  <si>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</si>
  <si>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</si>
  <si>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</si>
  <si>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</si>
  <si>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</si>
  <si>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</si>
  <si>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</si>
  <si>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</si>
  <si>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</si>
  <si>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</si>
  <si>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</si>
  <si>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</si>
  <si>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</si>
  <si>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</si>
  <si>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</si>
  <si>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</si>
  <si>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</si>
  <si>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</si>
  <si>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</si>
  <si>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</si>
  <si>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</si>
  <si>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</si>
  <si>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</si>
  <si>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</si>
  <si>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</si>
  <si>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</si>
  <si>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</si>
  <si>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</si>
  <si>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</si>
  <si>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</si>
  <si>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</si>
  <si>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</si>
  <si>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</si>
  <si>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</si>
  <si>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</si>
  <si>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</si>
  <si>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</si>
  <si>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</si>
  <si>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</si>
  <si>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</si>
  <si>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</si>
  <si>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</si>
  <si>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</si>
  <si>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</si>
  <si>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</si>
  <si>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</si>
  <si>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</si>
  <si>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</si>
  <si>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</si>
  <si>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</si>
  <si>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</si>
  <si>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</si>
  <si>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</si>
  <si>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</si>
  <si>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</si>
  <si>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</si>
  <si>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</si>
  <si>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</si>
  <si>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</si>
  <si>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</si>
  <si>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</si>
  <si>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</si>
  <si>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</si>
  <si>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</si>
  <si>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</si>
  <si>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</si>
  <si>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</si>
  <si>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</si>
  <si>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</si>
  <si>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</si>
  <si>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</si>
  <si>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</si>
  <si>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</si>
  <si>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</si>
  <si>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</si>
  <si>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</si>
  <si>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</si>
  <si>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</si>
  <si>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</si>
  <si>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</si>
  <si>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</si>
  <si>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</si>
  <si>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</si>
  <si>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</si>
  <si>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</si>
  <si>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</si>
  <si>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</si>
  <si>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</si>
  <si>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</si>
  <si>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</si>
  <si>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</si>
  <si>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</si>
  <si>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</si>
  <si>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</si>
  <si>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</si>
  <si>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</si>
  <si>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</si>
  <si>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</si>
  <si>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</si>
  <si>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</si>
  <si>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</si>
  <si>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</si>
  <si>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</si>
  <si>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</si>
  <si>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</si>
  <si>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</si>
  <si>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</si>
  <si>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</si>
  <si>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</si>
  <si>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</si>
  <si>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</si>
  <si>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</si>
  <si>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</si>
  <si>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</si>
  <si>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</si>
  <si>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</si>
  <si>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</si>
  <si>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</si>
  <si>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</si>
  <si>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</si>
  <si>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</si>
  <si>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</si>
  <si>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</si>
  <si>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</si>
  <si>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</si>
  <si>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</si>
  <si>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</si>
  <si>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</si>
  <si>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</si>
  <si>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</si>
  <si>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</si>
  <si>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</si>
  <si>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</si>
  <si>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</si>
  <si>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</si>
  <si>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</si>
  <si>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</si>
  <si>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</si>
  <si>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</si>
  <si>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</si>
  <si>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</si>
  <si>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</si>
  <si>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</si>
  <si>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</si>
  <si>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</si>
  <si>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</si>
  <si>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</si>
  <si>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</si>
  <si>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</si>
  <si>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</si>
  <si>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</si>
  <si>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</si>
  <si>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</si>
  <si>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</si>
  <si>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</si>
  <si>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</si>
  <si>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</si>
  <si>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</si>
  <si>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</si>
  <si>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</si>
  <si>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</si>
  <si>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</si>
  <si>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</si>
  <si>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</si>
  <si>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</si>
  <si>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</si>
  <si>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</si>
  <si>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</si>
  <si>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</si>
  <si>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</si>
  <si>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</si>
  <si>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</si>
  <si>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</si>
  <si>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</si>
  <si>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</si>
  <si>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</si>
  <si>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</si>
  <si>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</si>
  <si>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</si>
  <si>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</si>
  <si>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</si>
  <si>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</si>
  <si>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</si>
  <si>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</si>
  <si>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</si>
  <si>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</si>
  <si>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</si>
  <si>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</si>
  <si>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</si>
  <si>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</si>
  <si>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</si>
  <si>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</si>
  <si>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</si>
  <si>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</si>
  <si>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</si>
  <si>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</si>
  <si>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</si>
  <si>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</si>
  <si>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</si>
  <si>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</si>
  <si>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</si>
  <si>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</si>
  <si>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</si>
  <si>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</si>
  <si>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</si>
  <si>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</si>
  <si>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</si>
  <si>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</si>
  <si>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</si>
  <si>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</si>
  <si>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</si>
  <si>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</si>
  <si>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</si>
  <si>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</si>
  <si>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</si>
  <si>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</si>
  <si>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</si>
  <si>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</si>
  <si>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</si>
  <si>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</si>
  <si>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</si>
  <si>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</si>
  <si>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</si>
  <si>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</si>
  <si>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</si>
  <si>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</si>
  <si>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</si>
  <si>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</si>
  <si>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</si>
  <si>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</si>
  <si>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</si>
  <si>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</si>
  <si>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</si>
  <si>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</si>
  <si>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</si>
  <si>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</si>
  <si>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</si>
  <si>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</si>
  <si>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</si>
  <si>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</si>
  <si>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</si>
  <si>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</si>
  <si>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</si>
  <si>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</si>
  <si>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</si>
  <si>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</si>
  <si>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</si>
  <si>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</si>
  <si>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</si>
  <si>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</si>
  <si>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</si>
  <si>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</si>
  <si>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</si>
  <si>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</si>
  <si>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</si>
  <si>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</si>
  <si>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</si>
  <si>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</si>
  <si>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</si>
  <si>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</si>
  <si>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</si>
  <si>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</si>
  <si>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</si>
  <si>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</si>
  <si>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</si>
  <si>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</si>
  <si>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</si>
  <si>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</si>
  <si>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</si>
  <si>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</si>
  <si>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</si>
  <si>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</si>
  <si>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</si>
  <si>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</si>
  <si>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</si>
  <si>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</si>
  <si>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</si>
  <si>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</si>
  <si>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</si>
  <si>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</si>
  <si>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</si>
  <si>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</si>
  <si>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</si>
  <si>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</si>
  <si>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</si>
  <si>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</si>
  <si>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</si>
  <si>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</si>
  <si>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</si>
  <si>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</si>
  <si>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</si>
  <si>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</si>
  <si>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</si>
  <si>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</si>
  <si>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</si>
  <si>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</si>
  <si>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</si>
  <si>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</si>
  <si>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</si>
  <si>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</si>
  <si>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</si>
  <si>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</si>
  <si>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</si>
  <si>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</si>
  <si>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</si>
  <si>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</si>
  <si>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</si>
  <si>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</si>
  <si>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</si>
  <si>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</si>
  <si>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</si>
  <si>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</si>
  <si>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</si>
  <si>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</si>
  <si>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</si>
  <si>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</si>
  <si>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</si>
  <si>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</si>
  <si>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</si>
  <si>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</si>
  <si>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</si>
  <si>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</si>
  <si>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</si>
  <si>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</si>
  <si>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</si>
  <si>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</si>
  <si>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</si>
  <si>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</si>
  <si>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</si>
  <si>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</si>
  <si>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</si>
  <si>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</si>
  <si>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</si>
  <si>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</si>
  <si>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</si>
  <si>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</si>
  <si>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</si>
  <si>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</si>
  <si>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</si>
  <si>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</si>
  <si>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</si>
  <si>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</si>
  <si>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</si>
  <si>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</si>
  <si>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</si>
  <si>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</si>
  <si>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</si>
  <si>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</si>
  <si>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</si>
  <si>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</si>
  <si>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</si>
  <si>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</si>
  <si>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</si>
  <si>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</si>
  <si>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</si>
  <si>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</si>
  <si>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</si>
  <si>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</si>
  <si>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</si>
  <si>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</si>
  <si>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</si>
  <si>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</si>
  <si>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</si>
  <si>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</si>
  <si>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</si>
  <si>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</si>
  <si>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</si>
  <si>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</si>
  <si>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</si>
  <si>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</si>
  <si>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</si>
  <si>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</si>
  <si>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</si>
  <si>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</si>
  <si>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</si>
  <si>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</si>
  <si>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</si>
  <si>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</si>
  <si>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</si>
  <si>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</si>
  <si>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</si>
  <si>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</si>
  <si>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</si>
  <si>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</si>
  <si>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</si>
  <si>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</si>
  <si>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</si>
  <si>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</si>
  <si>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</si>
  <si>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</si>
  <si>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</si>
  <si>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</si>
  <si>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</si>
  <si>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</si>
  <si>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</si>
  <si>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</si>
  <si>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</si>
  <si>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</si>
  <si>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</si>
  <si>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</si>
  <si>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</si>
  <si>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</si>
  <si>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</si>
  <si>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</si>
  <si>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</si>
  <si>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</si>
  <si>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</si>
  <si>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</si>
  <si>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</si>
  <si>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</si>
  <si>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</si>
  <si>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</si>
  <si>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</si>
  <si>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</si>
  <si>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</si>
  <si>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</si>
  <si>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</si>
  <si>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</si>
  <si>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</si>
  <si>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</si>
  <si>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</si>
  <si>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</si>
  <si>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</si>
  <si>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</si>
  <si>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</si>
  <si>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</si>
  <si>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</si>
  <si>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</si>
  <si>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</si>
  <si>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</si>
  <si>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</si>
  <si>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</si>
  <si>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</si>
  <si>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</si>
  <si>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</si>
  <si>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</si>
  <si>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</si>
  <si>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</si>
  <si>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</si>
  <si>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</si>
  <si>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</si>
  <si>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</si>
  <si>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</si>
  <si>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</si>
  <si>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</si>
  <si>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</si>
  <si>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</si>
  <si>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</si>
  <si>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</si>
  <si>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</si>
  <si>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</si>
  <si>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</si>
  <si>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</si>
  <si>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</si>
  <si>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</si>
  <si>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</si>
  <si>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</si>
  <si>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</si>
  <si>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</si>
  <si>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</si>
  <si>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</si>
  <si>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</si>
  <si>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</si>
  <si>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</si>
  <si>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</si>
  <si>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</si>
  <si>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</si>
  <si>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</si>
  <si>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</si>
  <si>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</si>
  <si>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</si>
  <si>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</si>
  <si>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</si>
  <si>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</si>
  <si>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</si>
  <si>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</si>
  <si>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</si>
  <si>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</si>
  <si>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</si>
  <si>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</si>
  <si>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</si>
  <si>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</si>
  <si>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</si>
  <si>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</si>
  <si>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</si>
  <si>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</si>
  <si>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</si>
  <si>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</si>
  <si>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</si>
  <si>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</si>
  <si>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</si>
  <si>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</si>
  <si>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</si>
  <si>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</si>
  <si>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</si>
  <si>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</si>
  <si>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</si>
  <si>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</si>
  <si>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</si>
  <si>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</si>
  <si>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</si>
  <si>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</si>
  <si>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</si>
  <si>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</si>
  <si>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</si>
  <si>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</si>
  <si>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</si>
  <si>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</si>
  <si>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</si>
  <si>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</si>
  <si>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</si>
  <si>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</si>
  <si>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</si>
  <si>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</si>
  <si>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</si>
  <si>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</si>
  <si>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</si>
  <si>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</si>
  <si>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</si>
  <si>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</si>
  <si>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</si>
  <si>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</si>
  <si>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</si>
  <si>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</si>
  <si>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</si>
  <si>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</si>
  <si>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</si>
  <si>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</si>
  <si>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</si>
  <si>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</si>
  <si>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</si>
  <si>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</si>
  <si>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</si>
  <si>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</si>
  <si>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</si>
  <si>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</si>
  <si>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</si>
  <si>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</si>
  <si>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</si>
  <si>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</si>
  <si>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</si>
  <si>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</si>
  <si>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</si>
  <si>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</si>
  <si>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</si>
  <si>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</si>
  <si>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</si>
  <si>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</si>
  <si>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</si>
  <si>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</si>
  <si>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</si>
  <si>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</si>
  <si>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</si>
  <si>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</si>
  <si>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</si>
  <si>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</si>
  <si>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</si>
  <si>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</si>
  <si>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</si>
  <si>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</si>
  <si>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</si>
  <si>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</si>
  <si>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</si>
  <si>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</si>
  <si>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</si>
  <si>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</si>
  <si>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</si>
  <si>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</si>
  <si>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</si>
  <si>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</si>
  <si>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</si>
  <si>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</si>
  <si>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</si>
  <si>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</si>
  <si>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</si>
  <si>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</si>
  <si>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</si>
  <si>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</si>
  <si>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</si>
  <si>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</si>
  <si>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</si>
  <si>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</si>
  <si>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</si>
  <si>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</si>
  <si>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</si>
  <si>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</si>
  <si>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</si>
  <si>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</si>
  <si>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</si>
  <si>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</si>
  <si>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</si>
  <si>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</si>
  <si>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</si>
  <si>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</si>
  <si>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</si>
  <si>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</si>
  <si>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</si>
  <si>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</si>
  <si>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</si>
  <si>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</si>
  <si>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</si>
  <si>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</si>
  <si>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</si>
  <si>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</si>
  <si>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</si>
  <si>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</si>
  <si>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</si>
  <si>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</si>
  <si>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</si>
  <si>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</si>
  <si>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</si>
  <si>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</si>
  <si>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</si>
  <si>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</si>
  <si>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</si>
  <si>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</si>
  <si>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</si>
  <si>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</si>
  <si>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</si>
  <si>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</si>
  <si>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</si>
  <si>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</si>
  <si>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</si>
  <si>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</si>
  <si>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</si>
  <si>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</si>
  <si>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</si>
  <si>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</si>
  <si>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</si>
  <si>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</si>
  <si>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</si>
  <si>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</si>
  <si>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</si>
  <si>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</si>
  <si>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</si>
  <si>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</si>
  <si>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</si>
  <si>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</si>
  <si>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</si>
  <si>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</si>
  <si>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</si>
  <si>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</si>
  <si>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</si>
  <si>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</si>
  <si>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</si>
  <si>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</si>
  <si>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</si>
  <si>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</si>
  <si>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</si>
  <si>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</si>
  <si>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</si>
  <si>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</si>
  <si>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</si>
  <si>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</si>
  <si>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</si>
  <si>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</si>
  <si>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</si>
  <si>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</si>
  <si>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</si>
  <si>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</si>
  <si>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</si>
  <si>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</si>
  <si>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</si>
  <si>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</si>
  <si>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</si>
  <si>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</si>
  <si>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</si>
  <si>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</si>
  <si>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</si>
  <si>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</si>
  <si>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</si>
  <si>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</si>
  <si>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</si>
  <si>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</si>
  <si>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</si>
  <si>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</si>
  <si>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</si>
  <si>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</si>
  <si>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</si>
  <si>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</si>
  <si>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</si>
  <si>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</si>
  <si>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</si>
  <si>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</si>
  <si>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</si>
  <si>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</si>
  <si>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</si>
  <si>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</si>
  <si>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</si>
  <si>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</si>
  <si>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</si>
  <si>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</si>
  <si>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</si>
  <si>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</si>
  <si>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</si>
  <si>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</si>
  <si>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</si>
  <si>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</si>
  <si>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</si>
  <si>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</si>
  <si>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</si>
  <si>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</si>
  <si>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</si>
  <si>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</si>
  <si>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</si>
  <si>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</si>
  <si>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</si>
  <si>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</si>
  <si>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</si>
  <si>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</si>
  <si>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</si>
  <si>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</si>
  <si>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</si>
  <si>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</si>
  <si>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</si>
  <si>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</si>
  <si>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</si>
  <si>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</si>
  <si>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</si>
  <si>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</si>
  <si>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</si>
  <si>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</si>
  <si>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</si>
  <si>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</si>
  <si>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</si>
  <si>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</si>
  <si>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</si>
  <si>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</si>
  <si>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</si>
  <si>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</si>
  <si>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</si>
  <si>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</si>
  <si>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</si>
  <si>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</si>
  <si>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</si>
  <si>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</si>
  <si>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</si>
  <si>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</si>
  <si>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</si>
  <si>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</si>
  <si>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</si>
  <si>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</si>
  <si>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</si>
  <si>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</si>
  <si>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</si>
  <si>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</si>
  <si>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</si>
  <si>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</si>
  <si>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</si>
  <si>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</si>
  <si>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</si>
  <si>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</si>
  <si>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</si>
  <si>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</si>
  <si>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</si>
  <si>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</si>
  <si>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</si>
  <si>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</si>
  <si>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</si>
  <si>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</si>
  <si>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</si>
  <si>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</si>
  <si>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</si>
  <si>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</si>
  <si>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</si>
  <si>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</si>
  <si>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</si>
  <si>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</si>
  <si>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</si>
  <si>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</si>
  <si>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</si>
  <si>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</si>
  <si>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</si>
  <si>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</si>
  <si>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</si>
  <si>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</si>
  <si>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</si>
  <si>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</si>
  <si>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</si>
  <si>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</si>
  <si>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</si>
  <si>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</si>
  <si>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</si>
  <si>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</si>
  <si>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</si>
  <si>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</si>
  <si>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</si>
  <si>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</si>
  <si>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</si>
  <si>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</si>
  <si>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</si>
  <si>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</si>
  <si>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</si>
  <si>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</si>
  <si>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</si>
  <si>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</si>
  <si>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</si>
  <si>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</si>
  <si>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</si>
  <si>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</si>
  <si>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</si>
  <si>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</si>
  <si>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</si>
  <si>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</si>
  <si>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</si>
  <si>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</si>
  <si>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</si>
  <si>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</si>
  <si>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</si>
  <si>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</si>
  <si>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</si>
  <si>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</si>
  <si>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</si>
  <si>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</si>
  <si>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</si>
  <si>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</si>
  <si>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</si>
  <si>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</si>
  <si>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</si>
  <si>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</si>
  <si>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</si>
  <si>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</si>
  <si>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</si>
  <si>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</si>
  <si>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</si>
  <si>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</si>
  <si>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</si>
  <si>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</si>
  <si>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</si>
  <si>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</si>
  <si>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</si>
  <si>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</si>
  <si>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</si>
  <si>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</si>
  <si>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</si>
  <si>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</si>
  <si>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</si>
  <si>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</si>
  <si>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</si>
  <si>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</si>
  <si>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</si>
  <si>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</si>
  <si>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</si>
  <si>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</si>
  <si>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</si>
  <si>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</si>
  <si>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</si>
  <si>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</si>
  <si>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</si>
  <si>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</si>
  <si>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</si>
  <si>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</si>
  <si>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</si>
  <si>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</si>
  <si>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</si>
  <si>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</si>
  <si>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</si>
  <si>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</si>
  <si>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</si>
  <si>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</si>
  <si>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</si>
  <si>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</si>
  <si>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</si>
  <si>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</si>
  <si>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</si>
  <si>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</si>
  <si>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</si>
  <si>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</si>
  <si>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</si>
  <si>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</si>
  <si>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</si>
  <si>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</si>
  <si>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</si>
  <si>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</si>
  <si>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</si>
  <si>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</si>
  <si>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</si>
  <si>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</si>
  <si>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</si>
  <si>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</si>
  <si>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</si>
  <si>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</si>
  <si>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</si>
  <si>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</si>
  <si>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</si>
  <si>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</si>
  <si>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</si>
  <si>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</si>
  <si>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</si>
  <si>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</si>
  <si>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</si>
  <si>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</si>
  <si>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</si>
  <si>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</si>
  <si>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</si>
  <si>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</si>
  <si>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</si>
  <si>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</si>
  <si>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</si>
  <si>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</si>
  <si>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</si>
  <si>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</si>
  <si>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</si>
  <si>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</si>
  <si>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</si>
  <si>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</si>
  <si>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</si>
  <si>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</si>
  <si>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</si>
  <si>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</si>
  <si>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</si>
  <si>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</si>
  <si>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</si>
  <si>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</si>
  <si>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</si>
  <si>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</si>
  <si>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</si>
  <si>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</si>
  <si>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</si>
  <si>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</si>
  <si>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</si>
  <si>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</si>
  <si>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</si>
  <si>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</si>
  <si>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</si>
  <si>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</si>
  <si>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</si>
  <si>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</si>
  <si>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</si>
  <si>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</si>
  <si>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</si>
  <si>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</si>
  <si>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</si>
  <si>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</si>
  <si>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</si>
  <si>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</si>
  <si>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</si>
  <si>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</si>
  <si>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</si>
  <si>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</si>
  <si>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</si>
  <si>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</si>
  <si>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</si>
  <si>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</si>
  <si>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</si>
  <si>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</si>
  <si>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</si>
  <si>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</si>
  <si>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</si>
  <si>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</si>
  <si>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</si>
  <si>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</si>
  <si>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</si>
  <si>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</si>
  <si>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</si>
  <si>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</si>
  <si>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</si>
  <si>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</si>
  <si>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</si>
  <si>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</si>
  <si>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</si>
  <si>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</si>
  <si>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</si>
  <si>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</si>
  <si>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</si>
  <si>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</si>
  <si>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</si>
  <si>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</si>
  <si>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</si>
  <si>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</si>
  <si>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</si>
  <si>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</si>
  <si>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</si>
  <si>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</si>
  <si>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</si>
  <si>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</si>
  <si>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</si>
  <si>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</si>
  <si>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</si>
  <si>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</si>
  <si>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</si>
  <si>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</si>
  <si>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</si>
  <si>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</si>
  <si>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</si>
  <si>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</si>
  <si>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</si>
  <si>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</si>
  <si>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</si>
  <si>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</si>
  <si>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</si>
  <si>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</si>
  <si>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</si>
  <si>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</si>
  <si>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</si>
  <si>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</si>
  <si>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</si>
  <si>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</si>
  <si>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</si>
  <si>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</si>
  <si>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</si>
  <si>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</si>
  <si>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</si>
  <si>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</si>
  <si>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</si>
  <si>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</si>
  <si>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</si>
  <si>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</si>
  <si>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</si>
  <si>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</si>
  <si>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</si>
  <si>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</si>
  <si>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</si>
  <si>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</si>
  <si>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</si>
  <si>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</si>
  <si>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</si>
  <si>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</si>
  <si>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</si>
  <si>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</si>
  <si>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</si>
  <si>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</si>
  <si>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</si>
  <si>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</si>
  <si>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</si>
  <si>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</si>
  <si>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</si>
  <si>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</si>
  <si>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</si>
  <si>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</si>
  <si>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</si>
  <si>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</si>
  <si>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</si>
  <si>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</si>
  <si>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</si>
  <si>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</si>
  <si>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</si>
  <si>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</si>
  <si>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</si>
  <si>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</si>
  <si>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</si>
  <si>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</si>
  <si>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</si>
  <si>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</si>
  <si>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</si>
  <si>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</si>
  <si>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</si>
  <si>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</si>
  <si>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</si>
  <si>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</si>
  <si>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</si>
  <si>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</si>
  <si>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</si>
  <si>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</si>
  <si>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</si>
  <si>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</si>
  <si>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</si>
  <si>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</si>
  <si>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</si>
  <si>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</si>
  <si>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</si>
  <si>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</si>
  <si>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</si>
  <si>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</si>
  <si>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</si>
  <si>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</si>
  <si>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</si>
  <si>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</si>
  <si>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</si>
  <si>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</si>
  <si>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</si>
  <si>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</si>
  <si>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</si>
  <si>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</si>
  <si>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</si>
  <si>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</si>
  <si>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</si>
  <si>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</si>
  <si>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</si>
  <si>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</si>
  <si>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</si>
  <si>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</si>
  <si>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</si>
  <si>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</si>
  <si>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</si>
  <si>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</si>
  <si>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</si>
  <si>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</si>
  <si>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</si>
  <si>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</si>
  <si>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</si>
  <si>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</si>
  <si>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</si>
  <si>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</si>
  <si>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</si>
  <si>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</si>
  <si>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</si>
  <si>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</si>
  <si>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</si>
  <si>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</si>
  <si>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</si>
  <si>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</si>
  <si>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</si>
  <si>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</si>
  <si>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</si>
  <si>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</si>
  <si>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</si>
  <si>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</si>
  <si>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</si>
  <si>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</si>
  <si>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</si>
  <si>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</si>
  <si>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</si>
  <si>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</si>
  <si>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</si>
  <si>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</si>
  <si>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</si>
  <si>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</si>
  <si>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</si>
  <si>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</si>
  <si>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</si>
  <si>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</si>
  <si>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</si>
  <si>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</si>
  <si>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</si>
  <si>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</si>
  <si>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</si>
  <si>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</si>
  <si>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</si>
  <si>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</si>
  <si>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</si>
  <si>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</si>
  <si>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</si>
  <si>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</si>
  <si>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</si>
  <si>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</si>
  <si>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</si>
  <si>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</si>
  <si>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</si>
  <si>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</si>
  <si>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</si>
  <si>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</si>
  <si>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</si>
  <si>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</si>
  <si>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</si>
  <si>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</si>
  <si>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</si>
  <si>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</si>
  <si>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</si>
  <si>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</si>
  <si>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</si>
  <si>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</si>
  <si>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</si>
  <si>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</si>
  <si>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</si>
  <si>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</si>
  <si>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</si>
  <si>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</si>
  <si>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</si>
  <si>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</si>
  <si>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</si>
  <si>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</si>
  <si>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</si>
  <si>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</si>
  <si>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</si>
  <si>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</si>
  <si>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</si>
  <si>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</si>
  <si>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</si>
  <si>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</si>
  <si>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</si>
  <si>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</si>
  <si>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</si>
  <si>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</si>
  <si>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</si>
  <si>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</si>
  <si>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</si>
  <si>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</si>
  <si>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</si>
  <si>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</si>
  <si>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</si>
  <si>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</si>
  <si>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</si>
  <si>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</si>
  <si>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</si>
  <si>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</si>
  <si>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</si>
  <si>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</si>
  <si>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</si>
  <si>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</si>
  <si>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</si>
  <si>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</si>
  <si>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</si>
  <si>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</si>
  <si>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</si>
  <si>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</si>
  <si>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</si>
  <si>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</si>
  <si>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</si>
  <si>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</si>
  <si>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</si>
  <si>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</si>
  <si>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</si>
  <si>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</si>
  <si>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</si>
  <si>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</si>
  <si>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</si>
  <si>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</si>
  <si>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</si>
  <si>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</si>
  <si>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</si>
  <si>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</si>
  <si>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</si>
  <si>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</si>
  <si>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</si>
  <si>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</si>
  <si>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</si>
  <si>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</si>
  <si>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</si>
  <si>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</si>
  <si>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</si>
  <si>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</si>
  <si>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</si>
  <si>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</si>
  <si>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</si>
  <si>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</si>
  <si>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</si>
  <si>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</si>
  <si>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</si>
  <si>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</si>
  <si>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</si>
  <si>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</si>
  <si>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</si>
  <si>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</si>
  <si>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</si>
  <si>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</si>
  <si>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</si>
  <si>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</si>
  <si>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</si>
  <si>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</si>
  <si>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</si>
  <si>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</si>
  <si>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</si>
  <si>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</si>
  <si>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</si>
  <si>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</si>
  <si>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</si>
  <si>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</si>
  <si>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</si>
  <si>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</si>
  <si>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</si>
  <si>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</si>
  <si>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</si>
  <si>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</si>
  <si>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</si>
  <si>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</si>
  <si>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</si>
  <si>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</si>
  <si>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</si>
  <si>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</si>
  <si>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</si>
  <si>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</si>
  <si>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</si>
  <si>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</si>
  <si>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</si>
  <si>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</si>
  <si>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</si>
  <si>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</si>
  <si>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</si>
  <si>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</si>
  <si>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</si>
  <si>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</si>
  <si>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</si>
  <si>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</si>
  <si>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</si>
  <si>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</si>
  <si>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</si>
  <si>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</si>
  <si>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</si>
  <si>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</si>
  <si>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</si>
  <si>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</si>
  <si>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</si>
  <si>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</si>
  <si>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</si>
  <si>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</si>
  <si>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</si>
  <si>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</si>
  <si>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</si>
  <si>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</si>
  <si>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</si>
  <si>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</si>
  <si>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</si>
  <si>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</si>
  <si>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</si>
  <si>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</si>
  <si>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</si>
  <si>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</si>
  <si>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</si>
  <si>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</si>
  <si>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</si>
  <si>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</si>
  <si>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</si>
  <si>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</si>
  <si>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</si>
  <si>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</si>
  <si>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</si>
  <si>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</si>
  <si>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</si>
  <si>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</si>
  <si>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</si>
  <si>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</si>
  <si>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Rev 1%</t>
  </si>
  <si>
    <t>e$ int #14/3</t>
  </si>
  <si>
    <t>Szr #FnF,scsc</t>
  </si>
  <si>
    <t>6M_liquid #mine</t>
  </si>
  <si>
    <t>Cmlink+Starhub#FnF</t>
  </si>
  <si>
    <t>mom]JB</t>
  </si>
  <si>
    <t>夜市</t>
  </si>
  <si>
    <t>350 plann</t>
  </si>
  <si>
    <t>plann</t>
  </si>
  <si>
    <t>bx placeholder</t>
  </si>
  <si>
    <t>anyW#10/3,17/3</t>
  </si>
  <si>
    <t>stopwarch#spee</t>
  </si>
  <si>
    <t>2000 done</t>
  </si>
  <si>
    <t>SatayBTB #FnF</t>
  </si>
  <si>
    <t>satayBTB</t>
  </si>
  <si>
    <t>arcade</t>
  </si>
  <si>
    <t xml:space="preserve">Szr #FnF  </t>
  </si>
  <si>
    <t>BakKutT #FnF</t>
  </si>
  <si>
    <t>PEK #scsc</t>
  </si>
  <si>
    <t>MB RBBT-I #25/3</t>
  </si>
  <si>
    <t>ATM till 24 Mar</t>
  </si>
  <si>
    <t>DBS198</t>
  </si>
  <si>
    <t>to153 hous`refund</t>
  </si>
  <si>
    <t>sMkt{DBS</t>
  </si>
  <si>
    <t>another 100k?</t>
  </si>
  <si>
    <t>eccard, CIMB, Citi,Rev</t>
  </si>
  <si>
    <t>Syfe guaranteed</t>
  </si>
  <si>
    <t>bonusShare 3/8k so far</t>
  </si>
  <si>
    <t>含pending</t>
  </si>
  <si>
    <t>?</t>
  </si>
  <si>
    <t>tBill 27/3</t>
  </si>
  <si>
    <t>tBill 14/3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</si>
</sst>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3285</v>
      </c>
      <c r="G2" t="s">
        <v>3286</v>
      </c>
      <c r="H2" t="s">
        <v>3285</v>
      </c>
      <c r="K2" t="s">
        <v>3286</v>
      </c>
      <c r="L2" t="s">
        <v>3285</v>
      </c>
      <c r="O2" t="s">
        <v>3286</v>
      </c>
      <c r="R2" s="29" t="s">
        <v>175</v>
      </c>
      <c r="S2" t="s">
        <v>3286</v>
      </c>
      <c r="T2" t="s">
        <v>3285</v>
      </c>
      <c r="V2" s="29" t="s">
        <v>175</v>
      </c>
      <c r="W2" t="s">
        <v>3286</v>
      </c>
      <c r="X2" s="30" t="s">
        <v>3285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3287</v>
      </c>
      <c r="D35" s="34">
        <f>SUM(D3:D33)*88</f>
        <v>1895.7128767123286</v>
      </c>
      <c r="F35" s="29" t="s">
        <v>3287</v>
      </c>
      <c r="H35" s="34">
        <f>SUM(H3:H33)*88</f>
        <v>2121.0410958904108</v>
      </c>
      <c r="J35" s="29" t="s">
        <v>3287</v>
      </c>
      <c r="L35" s="34">
        <f>SUM(L3:L33)*88</f>
        <v>2597.8082191780818</v>
      </c>
      <c r="N35" s="29" t="s">
        <v>3287</v>
      </c>
      <c r="P35" s="34">
        <f>SUM(P3:P33)*88</f>
        <v>2650.7287671232875</v>
      </c>
      <c r="R35" s="29" t="s">
        <v>3287</v>
      </c>
      <c r="T35" s="34">
        <v>292.3</v>
      </c>
      <c r="U35" s="34"/>
      <c r="V35" s="29" t="s">
        <v>3287</v>
      </c>
      <c r="X35" s="30">
        <f>SUM(X3:X33)</f>
        <v>769.29589041095926</v>
      </c>
    </row>
    <row r="36" spans="2:24">
      <c r="B36" s="29" t="s">
        <v>3288</v>
      </c>
      <c r="D36" s="34">
        <f>'HIS19'!KQ21</f>
        <v>1895.66</v>
      </c>
      <c r="F36" s="29" t="s">
        <v>3288</v>
      </c>
      <c r="H36" s="34">
        <f>'HIS19'!KQ22</f>
        <v>2121.2199999999998</v>
      </c>
      <c r="J36" s="29" t="s">
        <v>3288</v>
      </c>
      <c r="L36" s="34">
        <f>'HIS19'!KQ23</f>
        <v>2597.87</v>
      </c>
      <c r="N36" s="29" t="s">
        <v>3288</v>
      </c>
      <c r="P36" s="34">
        <f>'HIS19'!KQ24</f>
        <v>2650.71</v>
      </c>
      <c r="R36" s="29" t="s">
        <v>3288</v>
      </c>
      <c r="T36" s="34">
        <v>292</v>
      </c>
      <c r="U36" s="34"/>
      <c r="V36" s="29" t="s">
        <v>3288</v>
      </c>
      <c r="X36" s="30">
        <v>767</v>
      </c>
    </row>
    <row r="37" spans="2:24">
      <c r="B37" s="29" t="s">
        <v>3289</v>
      </c>
      <c r="D37" s="34">
        <f>D36-D35</f>
        <v>-5.2876712328497888E-2</v>
      </c>
      <c r="F37" s="29" t="s">
        <v>3289</v>
      </c>
      <c r="H37" s="34">
        <f>H36-H35</f>
        <v>0.17890410958898428</v>
      </c>
      <c r="J37" s="29" t="s">
        <v>3289</v>
      </c>
      <c r="L37" s="34">
        <f>L36-L35</f>
        <v>6.1780821918091533E-2</v>
      </c>
      <c r="N37" s="29" t="s">
        <v>3289</v>
      </c>
      <c r="P37" s="34">
        <f>P36-P35</f>
        <v>-1.8767123287489085E-2</v>
      </c>
      <c r="R37" s="29" t="s">
        <v>3289</v>
      </c>
      <c r="T37" s="34">
        <v>-0.29999999999995502</v>
      </c>
      <c r="U37" s="34"/>
      <c r="V37" s="29" t="s">
        <v>3289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3290</v>
      </c>
      <c r="C2" s="16"/>
      <c r="D2" s="15" t="s">
        <v>3291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3292</v>
      </c>
      <c r="I4" s="21" t="s">
        <v>3293</v>
      </c>
      <c r="J4" s="21" t="s">
        <v>3294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3295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3296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3297</v>
      </c>
      <c r="I29" s="14" t="s">
        <v>3298</v>
      </c>
      <c r="J29" s="14" t="s">
        <v>3299</v>
      </c>
      <c r="K29" s="14" t="s">
        <v>3300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3301</v>
      </c>
      <c r="I32" s="14" t="s">
        <v>3301</v>
      </c>
      <c r="J32" s="14" t="s">
        <v>3301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3302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2">
        <f>SUMPRODUCT(D3:D33,E3:E33)/365</f>
        <v>31.812602739726014</v>
      </c>
      <c r="E35" s="692"/>
      <c r="F35" s="26"/>
    </row>
    <row r="36" spans="2:11">
      <c r="B36" s="16" t="s">
        <v>3303</v>
      </c>
      <c r="D36" s="692" t="s">
        <v>3304</v>
      </c>
      <c r="E36" s="69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3305</v>
      </c>
      <c r="C2" s="3" t="s">
        <v>1607</v>
      </c>
      <c r="D2" s="2" t="s">
        <v>3306</v>
      </c>
      <c r="E2" s="4" t="s">
        <v>3307</v>
      </c>
      <c r="F2" s="4" t="s">
        <v>3308</v>
      </c>
      <c r="G2" s="4" t="s">
        <v>3309</v>
      </c>
      <c r="H2" s="3" t="s">
        <v>621</v>
      </c>
      <c r="I2" s="13" t="s">
        <v>3310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3311</v>
      </c>
      <c r="G6" s="5">
        <f>SUM(B6:E6)</f>
        <v>112225.48</v>
      </c>
      <c r="H6" s="7">
        <v>44195</v>
      </c>
      <c r="I6" s="9" t="s">
        <v>3312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3311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3313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3311</v>
      </c>
      <c r="G12" s="5">
        <f t="shared" si="1"/>
        <v>109175.48</v>
      </c>
      <c r="H12" s="7">
        <v>44701</v>
      </c>
      <c r="I12" s="9" t="s">
        <v>3314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3311</v>
      </c>
      <c r="G13" s="5">
        <f t="shared" si="1"/>
        <v>110985.48</v>
      </c>
      <c r="H13" s="7">
        <v>44727</v>
      </c>
      <c r="I13" s="9" t="s">
        <v>3315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3311</v>
      </c>
      <c r="G14" s="5">
        <f t="shared" si="1"/>
        <v>106859.48</v>
      </c>
      <c r="H14" s="7">
        <v>44788</v>
      </c>
      <c r="I14" s="9" t="s">
        <v>3316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3311</v>
      </c>
      <c r="G17" s="5">
        <f t="shared" si="2"/>
        <v>99359.48</v>
      </c>
      <c r="H17" s="7">
        <v>44910</v>
      </c>
      <c r="I17" s="9" t="s">
        <v>3316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3311</v>
      </c>
      <c r="G19" s="5">
        <f t="shared" si="2"/>
        <v>101108.48</v>
      </c>
      <c r="H19" s="7">
        <v>45092</v>
      </c>
      <c r="I19" s="9" t="s">
        <v>3317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3311</v>
      </c>
      <c r="G20" s="5">
        <f t="shared" si="2"/>
        <v>105108.48</v>
      </c>
      <c r="H20" s="7">
        <v>45127</v>
      </c>
      <c r="I20" s="9" t="s">
        <v>3318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3311</v>
      </c>
      <c r="G21" s="5">
        <f t="shared" ref="G21:G22" si="3">SUM(B21:E21)</f>
        <v>107108.48</v>
      </c>
      <c r="H21" s="7">
        <v>45168</v>
      </c>
      <c r="I21" s="9" t="s">
        <v>3319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3311</v>
      </c>
      <c r="G22" s="5">
        <f t="shared" si="3"/>
        <v>105108.48</v>
      </c>
      <c r="H22" s="7">
        <v>45285</v>
      </c>
      <c r="I22" s="9" t="s">
        <v>3320</v>
      </c>
    </row>
    <row r="23" spans="2:9">
      <c r="B23" s="5"/>
      <c r="C23" s="9" t="s">
        <v>3321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3311</v>
      </c>
      <c r="G24" s="5">
        <f t="shared" ref="G24" si="4">SUM(B24:E24)</f>
        <v>110108.48</v>
      </c>
      <c r="H24" s="7">
        <v>45350</v>
      </c>
      <c r="I24" s="9" t="s">
        <v>3322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3323</v>
      </c>
    </row>
    <row r="3" spans="1:2">
      <c r="A3">
        <v>2</v>
      </c>
      <c r="B3" t="s">
        <v>3324</v>
      </c>
    </row>
    <row r="4" spans="1:2">
      <c r="A4">
        <v>3</v>
      </c>
      <c r="B4" t="s">
        <v>3325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40" t="s">
        <v>118</v>
      </c>
      <c r="C1" s="640"/>
      <c r="D1" s="641" t="s">
        <v>119</v>
      </c>
      <c r="E1" s="640"/>
      <c r="F1" s="641" t="s">
        <v>120</v>
      </c>
      <c r="G1" s="640"/>
      <c r="H1" s="639" t="s">
        <v>121</v>
      </c>
      <c r="I1" s="639"/>
      <c r="J1" s="633" t="s">
        <v>119</v>
      </c>
      <c r="K1" s="634"/>
      <c r="L1" s="637" t="s">
        <v>122</v>
      </c>
      <c r="M1" s="638"/>
      <c r="N1" s="639" t="s">
        <v>123</v>
      </c>
      <c r="O1" s="639"/>
      <c r="P1" s="633" t="s">
        <v>124</v>
      </c>
      <c r="Q1" s="634"/>
      <c r="R1" s="637" t="s">
        <v>125</v>
      </c>
      <c r="S1" s="638"/>
      <c r="T1" s="623" t="s">
        <v>126</v>
      </c>
      <c r="U1" s="623"/>
      <c r="V1" s="633" t="s">
        <v>119</v>
      </c>
      <c r="W1" s="634"/>
      <c r="X1" s="629" t="s">
        <v>127</v>
      </c>
      <c r="Y1" s="630"/>
      <c r="Z1" s="623" t="s">
        <v>128</v>
      </c>
      <c r="AA1" s="623"/>
      <c r="AB1" s="627" t="s">
        <v>119</v>
      </c>
      <c r="AC1" s="628"/>
      <c r="AD1" s="635" t="s">
        <v>127</v>
      </c>
      <c r="AE1" s="636"/>
      <c r="AF1" s="623" t="s">
        <v>129</v>
      </c>
      <c r="AG1" s="623"/>
      <c r="AH1" s="627" t="s">
        <v>119</v>
      </c>
      <c r="AI1" s="628"/>
      <c r="AJ1" s="629" t="s">
        <v>130</v>
      </c>
      <c r="AK1" s="630"/>
      <c r="AL1" s="623" t="s">
        <v>131</v>
      </c>
      <c r="AM1" s="623"/>
      <c r="AN1" s="631" t="s">
        <v>119</v>
      </c>
      <c r="AO1" s="632"/>
      <c r="AP1" s="621" t="s">
        <v>132</v>
      </c>
      <c r="AQ1" s="622"/>
      <c r="AR1" s="623" t="s">
        <v>133</v>
      </c>
      <c r="AS1" s="623"/>
      <c r="AV1" s="621" t="s">
        <v>134</v>
      </c>
      <c r="AW1" s="622"/>
      <c r="AX1" s="624" t="s">
        <v>135</v>
      </c>
      <c r="AY1" s="624"/>
      <c r="AZ1" s="624"/>
      <c r="BA1" s="328"/>
      <c r="BB1" s="625">
        <v>42942</v>
      </c>
      <c r="BC1" s="626"/>
      <c r="BD1" s="62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20" t="s">
        <v>151</v>
      </c>
      <c r="U4" s="620"/>
      <c r="X4" s="440" t="s">
        <v>150</v>
      </c>
      <c r="Y4" s="466">
        <f>Y3-Y6</f>
        <v>4.9669099999591708</v>
      </c>
      <c r="Z4" s="620" t="s">
        <v>152</v>
      </c>
      <c r="AA4" s="620"/>
      <c r="AD4" s="409" t="s">
        <v>150</v>
      </c>
      <c r="AE4" s="409">
        <f>AE3-AE5</f>
        <v>-52.526899999851594</v>
      </c>
      <c r="AF4" s="620" t="s">
        <v>152</v>
      </c>
      <c r="AG4" s="620"/>
      <c r="AH4" s="67"/>
      <c r="AI4" s="67"/>
      <c r="AJ4" s="409" t="s">
        <v>150</v>
      </c>
      <c r="AK4" s="409">
        <f>AK3-AK5</f>
        <v>94.988909999992757</v>
      </c>
      <c r="AL4" s="620" t="s">
        <v>152</v>
      </c>
      <c r="AM4" s="620"/>
      <c r="AP4" s="53" t="s">
        <v>150</v>
      </c>
      <c r="AQ4" s="52">
        <f>AQ3-AQ5</f>
        <v>33.841989999942598</v>
      </c>
      <c r="AR4" s="620" t="s">
        <v>152</v>
      </c>
      <c r="AS4" s="620"/>
      <c r="AX4" s="620" t="s">
        <v>153</v>
      </c>
      <c r="AY4" s="620"/>
      <c r="BB4" s="620" t="s">
        <v>154</v>
      </c>
      <c r="BC4" s="62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20"/>
      <c r="U5" s="620"/>
      <c r="V5" s="322" t="s">
        <v>159</v>
      </c>
      <c r="W5">
        <v>2050</v>
      </c>
      <c r="X5" s="414"/>
      <c r="Z5" s="620"/>
      <c r="AA5" s="62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20"/>
      <c r="AG5" s="620"/>
      <c r="AH5" s="67"/>
      <c r="AI5" s="67"/>
      <c r="AJ5" s="409" t="s">
        <v>161</v>
      </c>
      <c r="AK5" s="467">
        <f>SUM(AK11:AK59)</f>
        <v>30858.011000000002</v>
      </c>
      <c r="AL5" s="620"/>
      <c r="AM5" s="62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20"/>
      <c r="AS5" s="620"/>
      <c r="AX5" s="620"/>
      <c r="AY5" s="620"/>
      <c r="BB5" s="620"/>
      <c r="BC5" s="620"/>
      <c r="BD5" s="619" t="s">
        <v>163</v>
      </c>
      <c r="BE5" s="619"/>
      <c r="BF5" s="619"/>
      <c r="BG5" s="619"/>
      <c r="BH5" s="619"/>
      <c r="BI5" s="619"/>
      <c r="BJ5" s="619"/>
      <c r="BK5" s="61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15" t="s">
        <v>362</v>
      </c>
      <c r="W23" s="61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7"/>
      <c r="W24" s="61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51" t="s">
        <v>541</v>
      </c>
      <c r="H2" s="652"/>
      <c r="I2" s="369"/>
      <c r="J2" s="651" t="s">
        <v>542</v>
      </c>
      <c r="K2" s="652"/>
      <c r="L2" s="369"/>
      <c r="M2" s="651" t="s">
        <v>3334</v>
      </c>
      <c r="N2" s="652"/>
      <c r="O2" s="369"/>
      <c r="P2" s="651" t="s">
        <v>543</v>
      </c>
      <c r="Q2" s="652"/>
      <c r="R2" s="651">
        <v>42401</v>
      </c>
      <c r="S2" s="65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5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3" t="s">
        <v>3326</v>
      </c>
      <c r="C17" s="323" t="s">
        <v>570</v>
      </c>
      <c r="D17" s="646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4"/>
      <c r="C18" s="323" t="s">
        <v>570</v>
      </c>
      <c r="D18" s="646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6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6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6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6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6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6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7" t="s">
        <v>596</v>
      </c>
      <c r="D31" s="648"/>
      <c r="E31" s="649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50">
        <f>G40/$F$38</f>
        <v>2147628.7910447759</v>
      </c>
      <c r="H39" s="650"/>
      <c r="I39" s="401"/>
      <c r="J39" s="650">
        <f>J40/$F$38</f>
        <v>1922776.1194029849</v>
      </c>
      <c r="K39" s="650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2">
        <f>H36*$F$38+G36</f>
        <v>2877822.58</v>
      </c>
      <c r="H40" s="642"/>
      <c r="J40" s="642">
        <f>K36*$F$38+J36</f>
        <v>2576520</v>
      </c>
      <c r="K40" s="642"/>
      <c r="M40" s="642">
        <f>N36*1.37+M36</f>
        <v>1877697.6600000001</v>
      </c>
      <c r="N40" s="642"/>
      <c r="P40" s="642">
        <f>Q36*1.37+P36</f>
        <v>1789659</v>
      </c>
      <c r="Q40" s="642"/>
      <c r="R40" s="642">
        <f>S36*1.36+R36</f>
        <v>1320187.2</v>
      </c>
      <c r="S40" s="642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3" t="s">
        <v>648</v>
      </c>
      <c r="F38" s="654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5" t="s">
        <v>651</v>
      </c>
      <c r="C41" s="655"/>
      <c r="D41" s="655"/>
      <c r="E41" s="655"/>
      <c r="F41" s="655"/>
      <c r="G41" s="655"/>
      <c r="H41" s="65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0" t="s">
        <v>662</v>
      </c>
      <c r="C1" s="640"/>
      <c r="D1" s="635" t="s">
        <v>663</v>
      </c>
      <c r="E1" s="636"/>
      <c r="F1" s="640" t="s">
        <v>664</v>
      </c>
      <c r="G1" s="640"/>
      <c r="H1" s="661" t="s">
        <v>665</v>
      </c>
      <c r="I1" s="662"/>
      <c r="J1" s="635" t="s">
        <v>663</v>
      </c>
      <c r="K1" s="636"/>
      <c r="L1" s="640" t="s">
        <v>666</v>
      </c>
      <c r="M1" s="640"/>
      <c r="N1" s="661" t="s">
        <v>665</v>
      </c>
      <c r="O1" s="662"/>
      <c r="P1" s="635" t="s">
        <v>663</v>
      </c>
      <c r="Q1" s="636"/>
      <c r="R1" s="640" t="s">
        <v>667</v>
      </c>
      <c r="S1" s="640"/>
      <c r="T1" s="661" t="s">
        <v>665</v>
      </c>
      <c r="U1" s="662"/>
      <c r="V1" s="635" t="s">
        <v>663</v>
      </c>
      <c r="W1" s="636"/>
      <c r="X1" s="640" t="s">
        <v>668</v>
      </c>
      <c r="Y1" s="640"/>
      <c r="Z1" s="661" t="s">
        <v>665</v>
      </c>
      <c r="AA1" s="662"/>
      <c r="AB1" s="635" t="s">
        <v>663</v>
      </c>
      <c r="AC1" s="636"/>
      <c r="AD1" s="640" t="s">
        <v>669</v>
      </c>
      <c r="AE1" s="640"/>
      <c r="AF1" s="661" t="s">
        <v>665</v>
      </c>
      <c r="AG1" s="662"/>
      <c r="AH1" s="635" t="s">
        <v>663</v>
      </c>
      <c r="AI1" s="636"/>
      <c r="AJ1" s="640" t="s">
        <v>670</v>
      </c>
      <c r="AK1" s="640"/>
      <c r="AL1" s="661" t="s">
        <v>671</v>
      </c>
      <c r="AM1" s="662"/>
      <c r="AN1" s="635" t="s">
        <v>672</v>
      </c>
      <c r="AO1" s="636"/>
      <c r="AP1" s="640" t="s">
        <v>673</v>
      </c>
      <c r="AQ1" s="640"/>
      <c r="AR1" s="661" t="s">
        <v>665</v>
      </c>
      <c r="AS1" s="662"/>
      <c r="AT1" s="635" t="s">
        <v>663</v>
      </c>
      <c r="AU1" s="636"/>
      <c r="AV1" s="640" t="s">
        <v>674</v>
      </c>
      <c r="AW1" s="640"/>
      <c r="AX1" s="661" t="s">
        <v>665</v>
      </c>
      <c r="AY1" s="662"/>
      <c r="AZ1" s="635" t="s">
        <v>663</v>
      </c>
      <c r="BA1" s="636"/>
      <c r="BB1" s="640" t="s">
        <v>675</v>
      </c>
      <c r="BC1" s="640"/>
      <c r="BD1" s="661" t="s">
        <v>665</v>
      </c>
      <c r="BE1" s="662"/>
      <c r="BF1" s="635" t="s">
        <v>663</v>
      </c>
      <c r="BG1" s="636"/>
      <c r="BH1" s="640" t="s">
        <v>676</v>
      </c>
      <c r="BI1" s="640"/>
      <c r="BJ1" s="661" t="s">
        <v>665</v>
      </c>
      <c r="BK1" s="662"/>
      <c r="BL1" s="635" t="s">
        <v>663</v>
      </c>
      <c r="BM1" s="636"/>
      <c r="BN1" s="640" t="s">
        <v>677</v>
      </c>
      <c r="BO1" s="640"/>
      <c r="BP1" s="661" t="s">
        <v>665</v>
      </c>
      <c r="BQ1" s="662"/>
      <c r="BR1" s="635" t="s">
        <v>663</v>
      </c>
      <c r="BS1" s="636"/>
      <c r="BT1" s="640" t="s">
        <v>678</v>
      </c>
      <c r="BU1" s="640"/>
      <c r="BV1" s="661" t="s">
        <v>679</v>
      </c>
      <c r="BW1" s="662"/>
      <c r="BX1" s="635" t="s">
        <v>680</v>
      </c>
      <c r="BY1" s="636"/>
      <c r="BZ1" s="640" t="s">
        <v>681</v>
      </c>
      <c r="CA1" s="640"/>
      <c r="CB1" s="661" t="s">
        <v>682</v>
      </c>
      <c r="CC1" s="662"/>
      <c r="CD1" s="635" t="s">
        <v>683</v>
      </c>
      <c r="CE1" s="636"/>
      <c r="CF1" s="640" t="s">
        <v>684</v>
      </c>
      <c r="CG1" s="640"/>
      <c r="CH1" s="661" t="s">
        <v>682</v>
      </c>
      <c r="CI1" s="662"/>
      <c r="CJ1" s="635" t="s">
        <v>683</v>
      </c>
      <c r="CK1" s="636"/>
      <c r="CL1" s="640" t="s">
        <v>685</v>
      </c>
      <c r="CM1" s="640"/>
      <c r="CN1" s="661" t="s">
        <v>682</v>
      </c>
      <c r="CO1" s="662"/>
      <c r="CP1" s="635" t="s">
        <v>683</v>
      </c>
      <c r="CQ1" s="636"/>
      <c r="CR1" s="640" t="s">
        <v>686</v>
      </c>
      <c r="CS1" s="640"/>
      <c r="CT1" s="661" t="s">
        <v>682</v>
      </c>
      <c r="CU1" s="662"/>
      <c r="CV1" s="663" t="s">
        <v>683</v>
      </c>
      <c r="CW1" s="664"/>
      <c r="CX1" s="640" t="s">
        <v>687</v>
      </c>
      <c r="CY1" s="640"/>
      <c r="CZ1" s="661" t="s">
        <v>682</v>
      </c>
      <c r="DA1" s="662"/>
      <c r="DB1" s="663" t="s">
        <v>683</v>
      </c>
      <c r="DC1" s="664"/>
      <c r="DD1" s="640" t="s">
        <v>688</v>
      </c>
      <c r="DE1" s="640"/>
      <c r="DF1" s="661" t="s">
        <v>689</v>
      </c>
      <c r="DG1" s="662"/>
      <c r="DH1" s="663" t="s">
        <v>690</v>
      </c>
      <c r="DI1" s="664"/>
      <c r="DJ1" s="640" t="s">
        <v>691</v>
      </c>
      <c r="DK1" s="640"/>
      <c r="DL1" s="661" t="s">
        <v>689</v>
      </c>
      <c r="DM1" s="662"/>
      <c r="DN1" s="663" t="s">
        <v>683</v>
      </c>
      <c r="DO1" s="664"/>
      <c r="DP1" s="640" t="s">
        <v>692</v>
      </c>
      <c r="DQ1" s="640"/>
      <c r="DR1" s="661" t="s">
        <v>689</v>
      </c>
      <c r="DS1" s="662"/>
      <c r="DT1" s="663" t="s">
        <v>683</v>
      </c>
      <c r="DU1" s="664"/>
      <c r="DV1" s="640" t="s">
        <v>693</v>
      </c>
      <c r="DW1" s="640"/>
      <c r="DX1" s="661" t="s">
        <v>689</v>
      </c>
      <c r="DY1" s="662"/>
      <c r="DZ1" s="663" t="s">
        <v>683</v>
      </c>
      <c r="EA1" s="664"/>
      <c r="EB1" s="640" t="s">
        <v>694</v>
      </c>
      <c r="EC1" s="640"/>
      <c r="ED1" s="661" t="s">
        <v>689</v>
      </c>
      <c r="EE1" s="662"/>
      <c r="EF1" s="663" t="s">
        <v>683</v>
      </c>
      <c r="EG1" s="664"/>
      <c r="EH1" s="640" t="s">
        <v>695</v>
      </c>
      <c r="EI1" s="640"/>
      <c r="EJ1" s="661" t="s">
        <v>689</v>
      </c>
      <c r="EK1" s="662"/>
      <c r="EL1" s="663" t="s">
        <v>696</v>
      </c>
      <c r="EM1" s="664"/>
      <c r="EN1" s="640" t="s">
        <v>697</v>
      </c>
      <c r="EO1" s="640"/>
      <c r="EP1" s="661" t="s">
        <v>689</v>
      </c>
      <c r="EQ1" s="662"/>
      <c r="ER1" s="663" t="s">
        <v>698</v>
      </c>
      <c r="ES1" s="664"/>
      <c r="ET1" s="640" t="s">
        <v>699</v>
      </c>
      <c r="EU1" s="640"/>
      <c r="EV1" s="661" t="s">
        <v>689</v>
      </c>
      <c r="EW1" s="662"/>
      <c r="EX1" s="663" t="s">
        <v>130</v>
      </c>
      <c r="EY1" s="664"/>
      <c r="EZ1" s="640" t="s">
        <v>700</v>
      </c>
      <c r="FA1" s="640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60" t="s">
        <v>765</v>
      </c>
      <c r="CU7" s="64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60" t="s">
        <v>795</v>
      </c>
      <c r="DA8" s="64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60" t="s">
        <v>795</v>
      </c>
      <c r="DG8" s="64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60" t="s">
        <v>795</v>
      </c>
      <c r="DM8" s="64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60" t="s">
        <v>795</v>
      </c>
      <c r="DS8" s="640"/>
      <c r="DT8" s="14" t="s">
        <v>793</v>
      </c>
      <c r="DU8" s="14">
        <f>SUM(DU13:DU17)</f>
        <v>32</v>
      </c>
      <c r="DV8" s="9"/>
      <c r="DW8" s="9"/>
      <c r="DX8" s="660" t="s">
        <v>795</v>
      </c>
      <c r="DY8" s="64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60" t="s">
        <v>796</v>
      </c>
      <c r="EK8" s="64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60" t="s">
        <v>796</v>
      </c>
      <c r="EQ9" s="64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60" t="s">
        <v>796</v>
      </c>
      <c r="EW9" s="64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60" t="s">
        <v>796</v>
      </c>
      <c r="EE11" s="64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60" t="s">
        <v>795</v>
      </c>
      <c r="CU12" s="64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3" t="s">
        <v>1005</v>
      </c>
      <c r="CU19" s="62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8" t="s">
        <v>1036</v>
      </c>
      <c r="FA21" s="658"/>
      <c r="FC21" s="340">
        <f>FC20-FC22</f>
        <v>113457.16899999997</v>
      </c>
      <c r="FD21" s="318"/>
      <c r="FE21" s="659" t="s">
        <v>1038</v>
      </c>
      <c r="FF21" s="659"/>
      <c r="FG21" s="65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8" t="s">
        <v>574</v>
      </c>
      <c r="FA22" s="658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8" t="s">
        <v>1061</v>
      </c>
      <c r="FA23" s="658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8" t="s">
        <v>1071</v>
      </c>
      <c r="FA24" s="658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6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7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6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7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R1" workbookViewId="0">
      <selection activeCell="MB15" sqref="MB1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80" t="s">
        <v>1109</v>
      </c>
      <c r="B1" s="680"/>
      <c r="C1" s="631" t="s">
        <v>119</v>
      </c>
      <c r="D1" s="632"/>
      <c r="E1" s="621" t="s">
        <v>1110</v>
      </c>
      <c r="F1" s="622"/>
      <c r="G1" s="680" t="s">
        <v>1111</v>
      </c>
      <c r="H1" s="680"/>
      <c r="I1" s="631" t="s">
        <v>119</v>
      </c>
      <c r="J1" s="632"/>
      <c r="K1" s="621" t="s">
        <v>1112</v>
      </c>
      <c r="L1" s="622"/>
      <c r="M1" s="680" t="s">
        <v>1113</v>
      </c>
      <c r="N1" s="680"/>
      <c r="O1" s="631" t="s">
        <v>119</v>
      </c>
      <c r="P1" s="632"/>
      <c r="Q1" s="621" t="s">
        <v>1114</v>
      </c>
      <c r="R1" s="622"/>
      <c r="S1" s="680" t="s">
        <v>1115</v>
      </c>
      <c r="T1" s="680"/>
      <c r="U1" s="631" t="s">
        <v>119</v>
      </c>
      <c r="V1" s="632"/>
      <c r="W1" s="621" t="s">
        <v>672</v>
      </c>
      <c r="X1" s="622"/>
      <c r="Y1" s="680" t="s">
        <v>1116</v>
      </c>
      <c r="Z1" s="680"/>
      <c r="AA1" s="631" t="s">
        <v>119</v>
      </c>
      <c r="AB1" s="632"/>
      <c r="AC1" s="621" t="s">
        <v>1117</v>
      </c>
      <c r="AD1" s="622"/>
      <c r="AE1" s="680" t="s">
        <v>1118</v>
      </c>
      <c r="AF1" s="680"/>
      <c r="AG1" s="631" t="s">
        <v>119</v>
      </c>
      <c r="AH1" s="632"/>
      <c r="AI1" s="621" t="s">
        <v>1119</v>
      </c>
      <c r="AJ1" s="622"/>
      <c r="AK1" s="680" t="s">
        <v>1120</v>
      </c>
      <c r="AL1" s="680"/>
      <c r="AM1" s="631" t="s">
        <v>1121</v>
      </c>
      <c r="AN1" s="632"/>
      <c r="AO1" s="621" t="s">
        <v>1122</v>
      </c>
      <c r="AP1" s="622"/>
      <c r="AQ1" s="680" t="s">
        <v>1123</v>
      </c>
      <c r="AR1" s="680"/>
      <c r="AS1" s="631" t="s">
        <v>1121</v>
      </c>
      <c r="AT1" s="632"/>
      <c r="AU1" s="621" t="s">
        <v>1124</v>
      </c>
      <c r="AV1" s="622"/>
      <c r="AW1" s="680" t="s">
        <v>1125</v>
      </c>
      <c r="AX1" s="680"/>
      <c r="AY1" s="621" t="s">
        <v>1126</v>
      </c>
      <c r="AZ1" s="622"/>
      <c r="BA1" s="680" t="s">
        <v>1125</v>
      </c>
      <c r="BB1" s="680"/>
      <c r="BC1" s="631" t="s">
        <v>689</v>
      </c>
      <c r="BD1" s="632"/>
      <c r="BE1" s="621" t="s">
        <v>1127</v>
      </c>
      <c r="BF1" s="622"/>
      <c r="BG1" s="680" t="s">
        <v>1128</v>
      </c>
      <c r="BH1" s="680"/>
      <c r="BI1" s="631" t="s">
        <v>689</v>
      </c>
      <c r="BJ1" s="632"/>
      <c r="BK1" s="621" t="s">
        <v>1127</v>
      </c>
      <c r="BL1" s="622"/>
      <c r="BM1" s="680" t="s">
        <v>1129</v>
      </c>
      <c r="BN1" s="680"/>
      <c r="BO1" s="631" t="s">
        <v>689</v>
      </c>
      <c r="BP1" s="632"/>
      <c r="BQ1" s="621" t="s">
        <v>1130</v>
      </c>
      <c r="BR1" s="622"/>
      <c r="BS1" s="680" t="s">
        <v>1131</v>
      </c>
      <c r="BT1" s="680"/>
      <c r="BU1" s="631" t="s">
        <v>689</v>
      </c>
      <c r="BV1" s="632"/>
      <c r="BW1" s="621" t="s">
        <v>1132</v>
      </c>
      <c r="BX1" s="622"/>
      <c r="BY1" s="680" t="s">
        <v>1133</v>
      </c>
      <c r="BZ1" s="680"/>
      <c r="CA1" s="631" t="s">
        <v>689</v>
      </c>
      <c r="CB1" s="632"/>
      <c r="CC1" s="621" t="s">
        <v>1130</v>
      </c>
      <c r="CD1" s="622"/>
      <c r="CE1" s="680" t="s">
        <v>1134</v>
      </c>
      <c r="CF1" s="680"/>
      <c r="CG1" s="631" t="s">
        <v>689</v>
      </c>
      <c r="CH1" s="632"/>
      <c r="CI1" s="621" t="s">
        <v>1132</v>
      </c>
      <c r="CJ1" s="622"/>
      <c r="CK1" s="680" t="s">
        <v>1135</v>
      </c>
      <c r="CL1" s="680"/>
      <c r="CM1" s="631" t="s">
        <v>689</v>
      </c>
      <c r="CN1" s="632"/>
      <c r="CO1" s="621" t="s">
        <v>1130</v>
      </c>
      <c r="CP1" s="622"/>
      <c r="CQ1" s="680" t="s">
        <v>1136</v>
      </c>
      <c r="CR1" s="680"/>
      <c r="CS1" s="690" t="s">
        <v>689</v>
      </c>
      <c r="CT1" s="691"/>
      <c r="CU1" s="621" t="s">
        <v>1137</v>
      </c>
      <c r="CV1" s="622"/>
      <c r="CW1" s="680" t="s">
        <v>1138</v>
      </c>
      <c r="CX1" s="680"/>
      <c r="CY1" s="690" t="s">
        <v>689</v>
      </c>
      <c r="CZ1" s="691"/>
      <c r="DA1" s="621" t="s">
        <v>1139</v>
      </c>
      <c r="DB1" s="622"/>
      <c r="DC1" s="680" t="s">
        <v>1140</v>
      </c>
      <c r="DD1" s="680"/>
      <c r="DE1" s="690" t="s">
        <v>689</v>
      </c>
      <c r="DF1" s="691"/>
      <c r="DG1" s="621" t="s">
        <v>1141</v>
      </c>
      <c r="DH1" s="622"/>
      <c r="DI1" s="680" t="s">
        <v>1142</v>
      </c>
      <c r="DJ1" s="680"/>
      <c r="DK1" s="690" t="s">
        <v>689</v>
      </c>
      <c r="DL1" s="691"/>
      <c r="DM1" s="621" t="s">
        <v>1137</v>
      </c>
      <c r="DN1" s="622"/>
      <c r="DO1" s="680" t="s">
        <v>1143</v>
      </c>
      <c r="DP1" s="680"/>
      <c r="DQ1" s="690" t="s">
        <v>689</v>
      </c>
      <c r="DR1" s="691"/>
      <c r="DS1" s="621" t="s">
        <v>1144</v>
      </c>
      <c r="DT1" s="622"/>
      <c r="DU1" s="680" t="s">
        <v>1145</v>
      </c>
      <c r="DV1" s="680"/>
      <c r="DW1" s="690" t="s">
        <v>689</v>
      </c>
      <c r="DX1" s="691"/>
      <c r="DY1" s="621" t="s">
        <v>1146</v>
      </c>
      <c r="DZ1" s="622"/>
      <c r="EA1" s="686" t="s">
        <v>1147</v>
      </c>
      <c r="EB1" s="686"/>
      <c r="EC1" s="690" t="s">
        <v>689</v>
      </c>
      <c r="ED1" s="691"/>
      <c r="EE1" s="621" t="s">
        <v>1144</v>
      </c>
      <c r="EF1" s="622"/>
      <c r="EG1" s="48"/>
      <c r="EH1" s="686" t="s">
        <v>1148</v>
      </c>
      <c r="EI1" s="686"/>
      <c r="EJ1" s="690" t="s">
        <v>689</v>
      </c>
      <c r="EK1" s="691"/>
      <c r="EL1" s="621" t="s">
        <v>1149</v>
      </c>
      <c r="EM1" s="622"/>
      <c r="EN1" s="686" t="s">
        <v>1150</v>
      </c>
      <c r="EO1" s="686"/>
      <c r="EP1" s="690" t="s">
        <v>689</v>
      </c>
      <c r="EQ1" s="691"/>
      <c r="ER1" s="621" t="s">
        <v>1151</v>
      </c>
      <c r="ES1" s="622"/>
      <c r="ET1" s="686" t="s">
        <v>1152</v>
      </c>
      <c r="EU1" s="686"/>
      <c r="EV1" s="690" t="s">
        <v>689</v>
      </c>
      <c r="EW1" s="691"/>
      <c r="EX1" s="621" t="s">
        <v>1146</v>
      </c>
      <c r="EY1" s="622"/>
      <c r="EZ1" s="686" t="s">
        <v>1153</v>
      </c>
      <c r="FA1" s="686"/>
      <c r="FB1" s="690" t="s">
        <v>689</v>
      </c>
      <c r="FC1" s="691"/>
      <c r="FD1" s="621" t="s">
        <v>1139</v>
      </c>
      <c r="FE1" s="622"/>
      <c r="FF1" s="686" t="s">
        <v>1154</v>
      </c>
      <c r="FG1" s="686"/>
      <c r="FH1" s="690" t="s">
        <v>689</v>
      </c>
      <c r="FI1" s="691"/>
      <c r="FJ1" s="621" t="s">
        <v>1137</v>
      </c>
      <c r="FK1" s="622"/>
      <c r="FL1" s="686" t="s">
        <v>1155</v>
      </c>
      <c r="FM1" s="686"/>
      <c r="FN1" s="690" t="s">
        <v>689</v>
      </c>
      <c r="FO1" s="691"/>
      <c r="FP1" s="621" t="s">
        <v>1156</v>
      </c>
      <c r="FQ1" s="622"/>
      <c r="FR1" s="686" t="s">
        <v>1157</v>
      </c>
      <c r="FS1" s="686"/>
      <c r="FT1" s="690" t="s">
        <v>689</v>
      </c>
      <c r="FU1" s="691"/>
      <c r="FV1" s="621" t="s">
        <v>1156</v>
      </c>
      <c r="FW1" s="622"/>
      <c r="FX1" s="686" t="s">
        <v>1158</v>
      </c>
      <c r="FY1" s="686"/>
      <c r="FZ1" s="690" t="s">
        <v>689</v>
      </c>
      <c r="GA1" s="691"/>
      <c r="GB1" s="621" t="s">
        <v>1146</v>
      </c>
      <c r="GC1" s="622"/>
      <c r="GD1" s="686" t="s">
        <v>1159</v>
      </c>
      <c r="GE1" s="686"/>
      <c r="GF1" s="690" t="s">
        <v>689</v>
      </c>
      <c r="GG1" s="691"/>
      <c r="GH1" s="621" t="s">
        <v>1144</v>
      </c>
      <c r="GI1" s="622"/>
      <c r="GJ1" s="686" t="s">
        <v>1160</v>
      </c>
      <c r="GK1" s="686"/>
      <c r="GL1" s="690" t="s">
        <v>689</v>
      </c>
      <c r="GM1" s="691"/>
      <c r="GN1" s="621" t="s">
        <v>1144</v>
      </c>
      <c r="GO1" s="622"/>
      <c r="GP1" s="686" t="s">
        <v>1161</v>
      </c>
      <c r="GQ1" s="686"/>
      <c r="GR1" s="690" t="s">
        <v>689</v>
      </c>
      <c r="GS1" s="691"/>
      <c r="GT1" s="621" t="s">
        <v>1149</v>
      </c>
      <c r="GU1" s="622"/>
      <c r="GV1" s="686" t="s">
        <v>1162</v>
      </c>
      <c r="GW1" s="686"/>
      <c r="GX1" s="690" t="s">
        <v>689</v>
      </c>
      <c r="GY1" s="691"/>
      <c r="GZ1" s="621" t="s">
        <v>1163</v>
      </c>
      <c r="HA1" s="622"/>
      <c r="HB1" s="686" t="s">
        <v>1164</v>
      </c>
      <c r="HC1" s="686"/>
      <c r="HD1" s="690" t="s">
        <v>689</v>
      </c>
      <c r="HE1" s="691"/>
      <c r="HF1" s="621" t="s">
        <v>1151</v>
      </c>
      <c r="HG1" s="622"/>
      <c r="HH1" s="686" t="s">
        <v>1165</v>
      </c>
      <c r="HI1" s="686"/>
      <c r="HJ1" s="690" t="s">
        <v>689</v>
      </c>
      <c r="HK1" s="691"/>
      <c r="HL1" s="621" t="s">
        <v>1137</v>
      </c>
      <c r="HM1" s="622"/>
      <c r="HN1" s="686" t="s">
        <v>1166</v>
      </c>
      <c r="HO1" s="686"/>
      <c r="HP1" s="690" t="s">
        <v>689</v>
      </c>
      <c r="HQ1" s="691"/>
      <c r="HR1" s="621" t="s">
        <v>1137</v>
      </c>
      <c r="HS1" s="622"/>
      <c r="HT1" s="686" t="s">
        <v>1167</v>
      </c>
      <c r="HU1" s="686"/>
      <c r="HV1" s="690" t="s">
        <v>689</v>
      </c>
      <c r="HW1" s="691"/>
      <c r="HX1" s="621" t="s">
        <v>1146</v>
      </c>
      <c r="HY1" s="622"/>
      <c r="HZ1" s="686" t="s">
        <v>1168</v>
      </c>
      <c r="IA1" s="686"/>
      <c r="IB1" s="690" t="s">
        <v>689</v>
      </c>
      <c r="IC1" s="691"/>
      <c r="ID1" s="621" t="s">
        <v>1151</v>
      </c>
      <c r="IE1" s="622"/>
      <c r="IF1" s="686" t="s">
        <v>1169</v>
      </c>
      <c r="IG1" s="686"/>
      <c r="IH1" s="690" t="s">
        <v>689</v>
      </c>
      <c r="II1" s="691"/>
      <c r="IJ1" s="621" t="s">
        <v>1144</v>
      </c>
      <c r="IK1" s="622"/>
      <c r="IL1" s="686" t="s">
        <v>1170</v>
      </c>
      <c r="IM1" s="686"/>
      <c r="IN1" s="690" t="s">
        <v>689</v>
      </c>
      <c r="IO1" s="691"/>
      <c r="IP1" s="621" t="s">
        <v>1146</v>
      </c>
      <c r="IQ1" s="622"/>
      <c r="IR1" s="686" t="s">
        <v>1171</v>
      </c>
      <c r="IS1" s="686"/>
      <c r="IT1" s="690" t="s">
        <v>689</v>
      </c>
      <c r="IU1" s="691"/>
      <c r="IV1" s="621" t="s">
        <v>1172</v>
      </c>
      <c r="IW1" s="622"/>
      <c r="IX1" s="686" t="s">
        <v>1173</v>
      </c>
      <c r="IY1" s="686"/>
      <c r="IZ1" s="690" t="s">
        <v>689</v>
      </c>
      <c r="JA1" s="691"/>
      <c r="JB1" s="621" t="s">
        <v>1156</v>
      </c>
      <c r="JC1" s="622"/>
      <c r="JD1" s="686" t="s">
        <v>1174</v>
      </c>
      <c r="JE1" s="686"/>
      <c r="JF1" s="690" t="s">
        <v>689</v>
      </c>
      <c r="JG1" s="691"/>
      <c r="JH1" s="621" t="s">
        <v>1172</v>
      </c>
      <c r="JI1" s="622"/>
      <c r="JJ1" s="686" t="s">
        <v>1175</v>
      </c>
      <c r="JK1" s="686"/>
      <c r="JL1" s="582" t="s">
        <v>689</v>
      </c>
      <c r="JM1" s="105"/>
      <c r="JN1" s="548" t="s">
        <v>1172</v>
      </c>
      <c r="JO1" s="48"/>
      <c r="JP1" s="686" t="s">
        <v>1176</v>
      </c>
      <c r="JQ1" s="686"/>
      <c r="JR1" s="582" t="s">
        <v>689</v>
      </c>
      <c r="JS1" s="105"/>
      <c r="JT1" s="548" t="s">
        <v>1149</v>
      </c>
      <c r="JU1" s="48"/>
      <c r="JV1" s="686" t="s">
        <v>1177</v>
      </c>
      <c r="JW1" s="686"/>
      <c r="JX1" s="582" t="s">
        <v>689</v>
      </c>
      <c r="JY1" s="105"/>
      <c r="JZ1" s="548" t="s">
        <v>1178</v>
      </c>
      <c r="KA1" s="48"/>
      <c r="KB1" s="686" t="s">
        <v>1179</v>
      </c>
      <c r="KC1" s="686"/>
      <c r="KD1" s="582" t="s">
        <v>689</v>
      </c>
      <c r="KE1" s="105"/>
      <c r="KF1" s="548" t="s">
        <v>1137</v>
      </c>
      <c r="KG1" s="48"/>
      <c r="KH1" s="686" t="s">
        <v>1180</v>
      </c>
      <c r="KI1" s="686"/>
      <c r="KJ1" s="582" t="s">
        <v>689</v>
      </c>
      <c r="KK1" s="105"/>
      <c r="KL1" s="548" t="s">
        <v>1144</v>
      </c>
      <c r="KM1" s="48"/>
      <c r="KN1" s="686" t="s">
        <v>1181</v>
      </c>
      <c r="KO1" s="686"/>
      <c r="KP1" s="582" t="s">
        <v>689</v>
      </c>
      <c r="KQ1" s="105"/>
      <c r="KR1" s="548" t="s">
        <v>1144</v>
      </c>
      <c r="KS1" s="48"/>
      <c r="KT1" s="686" t="s">
        <v>1182</v>
      </c>
      <c r="KU1" s="686"/>
      <c r="KV1" s="582" t="s">
        <v>689</v>
      </c>
      <c r="KW1" s="105"/>
      <c r="KX1" s="548" t="s">
        <v>1144</v>
      </c>
      <c r="KY1" s="48"/>
      <c r="KZ1" s="686" t="s">
        <v>1183</v>
      </c>
      <c r="LA1" s="686"/>
      <c r="LB1" s="582" t="s">
        <v>689</v>
      </c>
      <c r="LC1" s="105"/>
      <c r="LD1" s="548" t="s">
        <v>1172</v>
      </c>
      <c r="LE1" s="48"/>
      <c r="LF1" s="686" t="s">
        <v>1184</v>
      </c>
      <c r="LG1" s="686"/>
      <c r="LH1" s="582" t="s">
        <v>689</v>
      </c>
      <c r="LI1" s="105"/>
      <c r="LJ1" s="548" t="s">
        <v>1172</v>
      </c>
      <c r="LK1" s="48"/>
      <c r="LL1" s="686" t="s">
        <v>1185</v>
      </c>
      <c r="LM1" s="686"/>
      <c r="LN1" s="582" t="s">
        <v>689</v>
      </c>
      <c r="LO1" s="303"/>
      <c r="LP1" s="548" t="s">
        <v>1172</v>
      </c>
      <c r="LQ1" s="48"/>
      <c r="LR1" s="686" t="s">
        <v>1186</v>
      </c>
      <c r="LS1" s="686"/>
      <c r="LT1" s="582" t="s">
        <v>689</v>
      </c>
      <c r="LU1" s="303"/>
      <c r="LV1" s="548" t="s">
        <v>1172</v>
      </c>
      <c r="LW1" s="48"/>
      <c r="LX1" s="686" t="s">
        <v>1187</v>
      </c>
      <c r="LY1" s="686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3327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SUM(LU4:LU36)</f>
        <v>20337.371999999999</v>
      </c>
      <c r="LV2" s="70" t="s">
        <v>143</v>
      </c>
      <c r="LW2" s="591">
        <f>LU2+LS2-LY2</f>
        <v>147634.56199999998</v>
      </c>
      <c r="LX2" s="14" t="s">
        <v>3348</v>
      </c>
      <c r="LY2" s="44">
        <f>SUM(LY8:LY36)</f>
        <v>251217</v>
      </c>
    </row>
    <row r="3" spans="1:339">
      <c r="A3" s="666" t="s">
        <v>1197</v>
      </c>
      <c r="B3" s="666"/>
      <c r="E3" s="53" t="s">
        <v>150</v>
      </c>
      <c r="F3" s="52">
        <f>F2-F4</f>
        <v>17</v>
      </c>
      <c r="G3" s="666" t="s">
        <v>1197</v>
      </c>
      <c r="H3" s="66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LW2-LU40-LU39</f>
        <v>4628.6919999999736</v>
      </c>
      <c r="LX3" s="14" t="s">
        <v>1218</v>
      </c>
      <c r="LY3" s="44">
        <f>SUM(LY9:LY10)</f>
        <v>-195975</v>
      </c>
    </row>
    <row r="4" spans="1:339" ht="12.75" customHeight="1">
      <c r="A4" s="666"/>
      <c r="B4" s="666"/>
      <c r="E4" s="53" t="s">
        <v>161</v>
      </c>
      <c r="F4" s="52">
        <f>SUM(F14:F57)</f>
        <v>12750</v>
      </c>
      <c r="G4" s="666"/>
      <c r="H4" s="66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0.33199999999487773</v>
      </c>
      <c r="LX4" s="106" t="s">
        <v>1241</v>
      </c>
      <c r="LY4" s="312">
        <f>SUM(LY14:LY23)+LY3</f>
        <v>200047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SUM(LW6:LW61)</f>
        <v>147634.22999999998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3333</v>
      </c>
      <c r="LW6" s="57" t="s">
        <v>3331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3332</v>
      </c>
      <c r="LW7" s="57">
        <v>40</v>
      </c>
      <c r="LX7" s="37">
        <v>20000</v>
      </c>
      <c r="LY7" s="38">
        <v>45412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3335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46"/>
    </row>
    <row r="9" spans="1:339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3336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3367</v>
      </c>
      <c r="LW9" s="42">
        <v>39000</v>
      </c>
      <c r="LX9" s="14" t="s">
        <v>1444</v>
      </c>
      <c r="LY9" s="44">
        <v>-68605</v>
      </c>
      <c r="LZ9" s="46">
        <v>45378</v>
      </c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3372</v>
      </c>
      <c r="LW10" s="42">
        <v>2000.03</v>
      </c>
      <c r="LX10" s="14" t="s">
        <v>1495</v>
      </c>
      <c r="LY10" s="44">
        <v>-127370</v>
      </c>
      <c r="LZ10" s="46">
        <v>45378</v>
      </c>
    </row>
    <row r="11" spans="1:339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7" t="s">
        <v>3345</v>
      </c>
      <c r="LU11" s="250">
        <v>0.8</v>
      </c>
      <c r="LV11" s="593" t="s">
        <v>3328</v>
      </c>
      <c r="LW11" s="42"/>
      <c r="LX11" s="63" t="s">
        <v>1303</v>
      </c>
      <c r="LY11" s="44">
        <v>-4000</v>
      </c>
      <c r="LZ11" s="46"/>
    </row>
    <row r="12" spans="1:339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46">
        <v>45378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3341</v>
      </c>
      <c r="LW13" s="603">
        <v>50000</v>
      </c>
      <c r="LX13" s="63" t="s">
        <v>1542</v>
      </c>
      <c r="LY13" s="44">
        <v>0</v>
      </c>
      <c r="LZ13" s="46">
        <v>45378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87" t="s">
        <v>1685</v>
      </c>
      <c r="DP14" s="688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86" t="s">
        <v>1705</v>
      </c>
      <c r="HK14" s="686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00" t="s">
        <v>3337</v>
      </c>
      <c r="LW14" s="42">
        <v>330.77</v>
      </c>
      <c r="LX14" s="63" t="s">
        <v>1731</v>
      </c>
      <c r="LY14" s="44">
        <v>241002</v>
      </c>
      <c r="LZ14" s="46">
        <v>45378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689" t="s">
        <v>1659</v>
      </c>
      <c r="KE15" s="689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43" t="s">
        <v>3354</v>
      </c>
      <c r="LW15" s="57"/>
      <c r="LX15" s="63" t="s">
        <v>1661</v>
      </c>
      <c r="LY15" s="44">
        <v>101740</v>
      </c>
      <c r="LZ15" s="46">
        <v>45378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1947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3346</v>
      </c>
      <c r="LU16" s="250">
        <v>283.13</v>
      </c>
      <c r="LV16" s="157" t="s">
        <v>1667</v>
      </c>
      <c r="LW16" s="57">
        <v>500</v>
      </c>
      <c r="LX16" s="612" t="s">
        <v>3371</v>
      </c>
      <c r="LY16" s="44">
        <v>100001</v>
      </c>
      <c r="LZ16" s="46" t="s">
        <v>3369</v>
      </c>
      <c r="MA16" s="94"/>
    </row>
    <row r="17" spans="1:339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2015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157" t="s">
        <v>1733</v>
      </c>
      <c r="LW17" s="57" t="s">
        <v>3352</v>
      </c>
      <c r="LX17" s="69" t="s">
        <v>1726</v>
      </c>
      <c r="LY17" s="245"/>
      <c r="LZ17" s="46"/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1898</v>
      </c>
      <c r="N18" s="55">
        <v>1218</v>
      </c>
      <c r="Q18" s="53"/>
      <c r="S18" s="21" t="s">
        <v>1898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1899</v>
      </c>
      <c r="AD18" s="14">
        <v>104</v>
      </c>
      <c r="AE18" s="21" t="s">
        <v>1844</v>
      </c>
      <c r="AF18" s="55"/>
      <c r="AI18" s="67" t="s">
        <v>1900</v>
      </c>
      <c r="AJ18" s="61">
        <v>0</v>
      </c>
      <c r="AK18" s="21" t="s">
        <v>1844</v>
      </c>
      <c r="AL18" s="55"/>
      <c r="AM18" s="14" t="s">
        <v>1672</v>
      </c>
      <c r="AO18" s="58" t="s">
        <v>1901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1902</v>
      </c>
      <c r="BF18" s="61" t="s">
        <v>740</v>
      </c>
      <c r="BG18" s="21" t="s">
        <v>1797</v>
      </c>
      <c r="BH18" s="55"/>
      <c r="BJ18" s="61"/>
      <c r="BK18" s="88" t="s">
        <v>1902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1903</v>
      </c>
      <c r="BR18" s="61">
        <v>172</v>
      </c>
      <c r="BS18" s="21" t="s">
        <v>1797</v>
      </c>
      <c r="BT18" s="22"/>
      <c r="BU18" s="61"/>
      <c r="BV18" s="61"/>
      <c r="BW18" s="88" t="s">
        <v>1904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1905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1898</v>
      </c>
      <c r="CL18" s="55">
        <v>21145.64</v>
      </c>
      <c r="CM18" s="57" t="s">
        <v>1325</v>
      </c>
      <c r="CN18" s="43">
        <f>5+5</f>
        <v>10</v>
      </c>
      <c r="CO18" s="88" t="s">
        <v>1902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1906</v>
      </c>
      <c r="DB18" s="61">
        <v>115.81</v>
      </c>
      <c r="DC18" s="21" t="s">
        <v>1797</v>
      </c>
      <c r="DD18" s="55"/>
      <c r="DE18" s="57" t="s">
        <v>1907</v>
      </c>
      <c r="DF18" s="61">
        <v>57.6</v>
      </c>
      <c r="DG18" s="114" t="s">
        <v>1908</v>
      </c>
      <c r="DH18" s="57">
        <v>2000</v>
      </c>
      <c r="DI18" s="687" t="s">
        <v>1909</v>
      </c>
      <c r="DJ18" s="688"/>
      <c r="DK18" s="57"/>
      <c r="DM18" s="114" t="s">
        <v>1613</v>
      </c>
      <c r="DN18" s="57"/>
      <c r="DO18" s="21" t="s">
        <v>1910</v>
      </c>
      <c r="DP18" s="92">
        <v>10000</v>
      </c>
      <c r="DQ18" s="57"/>
      <c r="DS18" s="115" t="s">
        <v>1911</v>
      </c>
      <c r="DT18" s="45">
        <v>382</v>
      </c>
      <c r="DU18" s="21" t="s">
        <v>1801</v>
      </c>
      <c r="DV18" s="92">
        <v>40000</v>
      </c>
      <c r="DY18" s="66" t="s">
        <v>1912</v>
      </c>
      <c r="DZ18" s="14">
        <v>140.94999999999999</v>
      </c>
      <c r="EA18" s="21" t="s">
        <v>1854</v>
      </c>
      <c r="EB18" s="92">
        <v>10000</v>
      </c>
      <c r="EE18" s="66" t="s">
        <v>1912</v>
      </c>
      <c r="EF18" s="14">
        <v>140.44999999999999</v>
      </c>
      <c r="EH18" s="49" t="s">
        <v>1913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1914</v>
      </c>
      <c r="EO18" s="94">
        <v>5000</v>
      </c>
      <c r="ER18" s="164" t="s">
        <v>1856</v>
      </c>
      <c r="ES18" s="14">
        <v>0</v>
      </c>
      <c r="ET18" s="49" t="s">
        <v>1915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1916</v>
      </c>
      <c r="FE18" s="14">
        <v>139.01</v>
      </c>
      <c r="FF18" s="49" t="s">
        <v>1687</v>
      </c>
      <c r="FG18" s="94">
        <v>15000</v>
      </c>
      <c r="FH18" s="61" t="s">
        <v>1917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1918</v>
      </c>
      <c r="FO18" s="17">
        <v>55</v>
      </c>
      <c r="FP18" s="164" t="s">
        <v>1919</v>
      </c>
      <c r="FQ18" s="14">
        <v>184.77</v>
      </c>
      <c r="FR18" s="61" t="s">
        <v>1920</v>
      </c>
      <c r="FS18" s="91"/>
      <c r="FU18" s="17"/>
      <c r="FV18" s="164" t="s">
        <v>1921</v>
      </c>
      <c r="FW18" s="14">
        <f>3.08+89.15</f>
        <v>92.23</v>
      </c>
      <c r="FX18" s="49" t="s">
        <v>1922</v>
      </c>
      <c r="FY18" s="77">
        <v>748</v>
      </c>
      <c r="GB18" s="157" t="s">
        <v>1923</v>
      </c>
      <c r="GD18" s="49" t="s">
        <v>1922</v>
      </c>
      <c r="GE18" s="77">
        <v>856</v>
      </c>
      <c r="GF18" s="14" t="s">
        <v>1468</v>
      </c>
      <c r="GG18" s="14" t="s">
        <v>740</v>
      </c>
      <c r="GH18" s="157" t="s">
        <v>1924</v>
      </c>
      <c r="GI18" s="14">
        <v>3.87</v>
      </c>
      <c r="GJ18" s="65" t="s">
        <v>1925</v>
      </c>
      <c r="GK18" s="14">
        <v>1200</v>
      </c>
      <c r="GM18" s="17"/>
      <c r="GN18" s="157" t="s">
        <v>1926</v>
      </c>
      <c r="GO18" s="14">
        <v>54.38</v>
      </c>
      <c r="GP18" s="77" t="s">
        <v>1927</v>
      </c>
      <c r="GR18" s="14" t="s">
        <v>1468</v>
      </c>
      <c r="GS18" s="14">
        <v>13.53</v>
      </c>
      <c r="GT18" s="164" t="s">
        <v>1928</v>
      </c>
      <c r="GU18" s="14">
        <v>67.42</v>
      </c>
      <c r="GV18" s="65" t="s">
        <v>1925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1929</v>
      </c>
      <c r="HE18" s="14">
        <f>1.25*3</f>
        <v>3.75</v>
      </c>
      <c r="HF18" s="157" t="s">
        <v>1930</v>
      </c>
      <c r="HG18" s="14">
        <v>33</v>
      </c>
      <c r="HH18" s="65" t="s">
        <v>1925</v>
      </c>
      <c r="HI18" s="14">
        <v>2041</v>
      </c>
      <c r="HJ18" s="189">
        <v>23.05</v>
      </c>
      <c r="HK18" s="182" t="s">
        <v>1871</v>
      </c>
      <c r="HL18" s="164" t="s">
        <v>1931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1932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1933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1934</v>
      </c>
      <c r="IG18" s="44">
        <v>295021.18</v>
      </c>
      <c r="IH18" s="14" t="s">
        <v>1935</v>
      </c>
      <c r="II18" s="213">
        <v>17.73</v>
      </c>
      <c r="IJ18" s="164" t="s">
        <v>1516</v>
      </c>
      <c r="IK18" s="14" t="s">
        <v>1876</v>
      </c>
      <c r="IL18" s="77" t="s">
        <v>1936</v>
      </c>
      <c r="IM18" s="44">
        <f>100*(120+1000+330+310)</f>
        <v>176000</v>
      </c>
      <c r="IN18" s="14" t="s">
        <v>1661</v>
      </c>
      <c r="IO18" s="14">
        <v>3</v>
      </c>
      <c r="IP18" s="164" t="s">
        <v>1937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1938</v>
      </c>
      <c r="IW18" s="45">
        <v>110.02</v>
      </c>
      <c r="IX18" s="63" t="s">
        <v>1939</v>
      </c>
      <c r="IY18" s="245">
        <v>4175</v>
      </c>
      <c r="IZ18" s="188"/>
      <c r="JA18" s="206"/>
      <c r="JB18" s="164" t="s">
        <v>1940</v>
      </c>
      <c r="JC18" s="42">
        <v>110.79</v>
      </c>
      <c r="JD18" s="63" t="s">
        <v>1941</v>
      </c>
      <c r="JE18" s="245">
        <v>3083</v>
      </c>
      <c r="JF18" s="188"/>
      <c r="JG18" s="206"/>
      <c r="JH18" s="164" t="s">
        <v>1942</v>
      </c>
      <c r="JI18" s="42">
        <v>30</v>
      </c>
      <c r="JJ18" s="63" t="s">
        <v>1941</v>
      </c>
      <c r="JK18" s="44">
        <v>99936</v>
      </c>
      <c r="JL18" s="188" t="s">
        <v>1943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1944</v>
      </c>
      <c r="JW18" s="44">
        <v>15</v>
      </c>
      <c r="JX18" s="43" t="s">
        <v>1945</v>
      </c>
      <c r="JY18" s="250">
        <f>65.16+2.55</f>
        <v>67.709999999999994</v>
      </c>
      <c r="JZ18" s="157" t="s">
        <v>1946</v>
      </c>
      <c r="KA18" s="42">
        <v>5.01</v>
      </c>
      <c r="KB18" s="63" t="s">
        <v>1944</v>
      </c>
      <c r="KC18" s="44">
        <v>14</v>
      </c>
      <c r="KD18" s="43" t="s">
        <v>1945</v>
      </c>
      <c r="KE18" s="250">
        <v>92.26</v>
      </c>
      <c r="KF18" s="147" t="s">
        <v>2065</v>
      </c>
      <c r="KG18" s="42">
        <v>10</v>
      </c>
      <c r="KH18" s="61" t="s">
        <v>1948</v>
      </c>
      <c r="KI18" s="167"/>
      <c r="KJ18" s="43" t="s">
        <v>1949</v>
      </c>
      <c r="KK18" s="250">
        <v>12.01</v>
      </c>
      <c r="KL18" s="296" t="s">
        <v>1950</v>
      </c>
      <c r="KM18" s="80">
        <v>147.75</v>
      </c>
      <c r="KN18" s="69" t="s">
        <v>1726</v>
      </c>
      <c r="KO18" s="245"/>
      <c r="KP18" s="43" t="s">
        <v>1951</v>
      </c>
      <c r="KQ18" s="206">
        <v>939.02</v>
      </c>
      <c r="KR18" s="67" t="s">
        <v>1952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1953</v>
      </c>
      <c r="KY18" s="61">
        <v>32</v>
      </c>
      <c r="KZ18" s="69" t="s">
        <v>1841</v>
      </c>
      <c r="LA18" s="167">
        <v>-78.540000000000006</v>
      </c>
      <c r="LB18" s="61" t="s">
        <v>1954</v>
      </c>
      <c r="LC18" s="14">
        <v>32.479999999999997</v>
      </c>
      <c r="LD18" s="86" t="s">
        <v>1955</v>
      </c>
      <c r="LE18" s="61">
        <v>51.99</v>
      </c>
      <c r="LF18" s="283">
        <v>192373</v>
      </c>
      <c r="LG18" s="568" t="s">
        <v>1956</v>
      </c>
      <c r="LH18" s="49" t="s">
        <v>2024</v>
      </c>
      <c r="LI18" s="250">
        <f>212+76+43</f>
        <v>331</v>
      </c>
      <c r="LJ18" s="88" t="s">
        <v>1957</v>
      </c>
      <c r="LK18" s="61">
        <v>66</v>
      </c>
      <c r="LL18" s="283">
        <v>176526</v>
      </c>
      <c r="LM18" s="614" t="s">
        <v>3373</v>
      </c>
      <c r="LN18" s="61" t="s">
        <v>1958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4" t="s">
        <v>3373</v>
      </c>
      <c r="LT18" s="61" t="s">
        <v>1785</v>
      </c>
      <c r="LU18" s="42">
        <v>10.37</v>
      </c>
      <c r="LV18" s="157" t="s">
        <v>1786</v>
      </c>
      <c r="LW18" s="57">
        <f>749.38+250.7</f>
        <v>1000.0799999999999</v>
      </c>
      <c r="LX18" s="49" t="s">
        <v>1782</v>
      </c>
      <c r="LY18" s="94">
        <v>-325</v>
      </c>
      <c r="LZ18" s="46">
        <v>45378</v>
      </c>
      <c r="MA18" s="94"/>
    </row>
    <row r="19" spans="1:339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1959</v>
      </c>
      <c r="N19" s="55">
        <v>550</v>
      </c>
      <c r="Q19" s="58" t="s">
        <v>1787</v>
      </c>
      <c r="S19" s="21" t="s">
        <v>1960</v>
      </c>
      <c r="T19" s="55">
        <v>550</v>
      </c>
      <c r="W19" s="58" t="s">
        <v>1961</v>
      </c>
      <c r="Y19" s="21" t="s">
        <v>1898</v>
      </c>
      <c r="Z19" s="55">
        <v>1142</v>
      </c>
      <c r="AA19" s="14" t="s">
        <v>1962</v>
      </c>
      <c r="AB19" s="14">
        <v>50</v>
      </c>
      <c r="AC19" s="67" t="s">
        <v>1963</v>
      </c>
      <c r="AD19" s="14">
        <v>0</v>
      </c>
      <c r="AE19" s="21" t="s">
        <v>1848</v>
      </c>
      <c r="AF19" s="55">
        <v>10001</v>
      </c>
      <c r="AI19" s="67" t="s">
        <v>1964</v>
      </c>
      <c r="AJ19" s="61">
        <v>56</v>
      </c>
      <c r="AK19" s="21" t="s">
        <v>1848</v>
      </c>
      <c r="AL19" s="55" t="s">
        <v>1861</v>
      </c>
      <c r="AM19" s="24"/>
      <c r="AO19" s="58" t="s">
        <v>1965</v>
      </c>
      <c r="AP19" s="61">
        <v>146</v>
      </c>
      <c r="AQ19" s="21" t="s">
        <v>1848</v>
      </c>
      <c r="AR19" s="55">
        <f>AN21</f>
        <v>2200</v>
      </c>
      <c r="AU19" s="58" t="s">
        <v>1966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1967</v>
      </c>
      <c r="BE19" s="66" t="s">
        <v>1968</v>
      </c>
      <c r="BF19" s="61">
        <v>325.27999999999997</v>
      </c>
      <c r="BG19" s="21" t="s">
        <v>1848</v>
      </c>
      <c r="BH19" s="55">
        <v>10000</v>
      </c>
      <c r="BK19" s="88" t="s">
        <v>1968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1969</v>
      </c>
      <c r="BR19" s="43">
        <v>280</v>
      </c>
      <c r="BS19" s="21" t="s">
        <v>1848</v>
      </c>
      <c r="BT19" s="22">
        <v>7025</v>
      </c>
      <c r="BU19" s="61"/>
      <c r="BW19" s="88" t="s">
        <v>1968</v>
      </c>
      <c r="BX19" s="43" t="s">
        <v>740</v>
      </c>
      <c r="BY19" s="21" t="s">
        <v>1898</v>
      </c>
      <c r="BZ19" s="55">
        <v>7142</v>
      </c>
      <c r="CA19" s="61"/>
      <c r="CC19" s="88" t="s">
        <v>1968</v>
      </c>
      <c r="CD19" s="43" t="s">
        <v>1970</v>
      </c>
      <c r="CE19" s="21" t="s">
        <v>1898</v>
      </c>
      <c r="CF19" s="55">
        <v>11142</v>
      </c>
      <c r="CG19" s="57"/>
      <c r="CI19" s="88" t="s">
        <v>1971</v>
      </c>
      <c r="CJ19" s="61">
        <v>172</v>
      </c>
      <c r="CK19" s="21" t="s">
        <v>1960</v>
      </c>
      <c r="CL19" s="55">
        <v>527.62</v>
      </c>
      <c r="CM19" s="57"/>
      <c r="CO19" s="88" t="s">
        <v>1575</v>
      </c>
      <c r="CP19" s="102" t="s">
        <v>740</v>
      </c>
      <c r="CQ19" s="21" t="s">
        <v>1898</v>
      </c>
      <c r="CR19" s="55">
        <v>26991</v>
      </c>
      <c r="CS19" s="43" t="s">
        <v>1672</v>
      </c>
      <c r="CT19" s="61" t="s">
        <v>740</v>
      </c>
      <c r="CU19" s="89" t="s">
        <v>1972</v>
      </c>
      <c r="CV19" s="61">
        <v>70.38</v>
      </c>
      <c r="CW19" s="21" t="s">
        <v>1973</v>
      </c>
      <c r="CX19" s="55">
        <v>17242.32</v>
      </c>
      <c r="CY19" s="57"/>
      <c r="CZ19" s="61"/>
      <c r="DA19" s="88" t="s">
        <v>1974</v>
      </c>
      <c r="DB19" s="61">
        <v>51.41</v>
      </c>
      <c r="DC19" s="21" t="s">
        <v>1848</v>
      </c>
      <c r="DD19" s="55">
        <v>60</v>
      </c>
      <c r="DE19" s="57" t="s">
        <v>1975</v>
      </c>
      <c r="DF19" s="43">
        <v>192.6</v>
      </c>
      <c r="DG19" s="114" t="s">
        <v>1289</v>
      </c>
      <c r="DH19" s="45">
        <v>1800.01</v>
      </c>
      <c r="DI19" s="21" t="s">
        <v>1976</v>
      </c>
      <c r="DJ19" s="22">
        <v>2065</v>
      </c>
      <c r="DM19" s="115" t="s">
        <v>1977</v>
      </c>
      <c r="DN19" s="45">
        <v>2454.0500000000002</v>
      </c>
      <c r="DO19" s="21" t="s">
        <v>1913</v>
      </c>
      <c r="DP19" s="92">
        <v>10000</v>
      </c>
      <c r="DS19" s="88" t="s">
        <v>1753</v>
      </c>
      <c r="DT19" s="57" t="s">
        <v>1978</v>
      </c>
      <c r="DU19" s="21" t="s">
        <v>1854</v>
      </c>
      <c r="DV19" s="92">
        <v>10000</v>
      </c>
      <c r="DY19" s="66" t="s">
        <v>1979</v>
      </c>
      <c r="DZ19" s="14">
        <v>11</v>
      </c>
      <c r="EA19" s="21" t="s">
        <v>1913</v>
      </c>
      <c r="EB19" s="92">
        <v>10000</v>
      </c>
      <c r="EC19" s="568" t="s">
        <v>1695</v>
      </c>
      <c r="ED19" s="14" t="s">
        <v>740</v>
      </c>
      <c r="EE19" s="66" t="s">
        <v>1979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1980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1915</v>
      </c>
      <c r="EU19" s="94">
        <v>5000</v>
      </c>
      <c r="EV19" s="61" t="s">
        <v>1854</v>
      </c>
      <c r="EW19" s="14">
        <v>39.85</v>
      </c>
      <c r="EX19" s="164" t="s">
        <v>1912</v>
      </c>
      <c r="EY19" s="14">
        <v>145.44999999999999</v>
      </c>
      <c r="EZ19" s="49" t="s">
        <v>1915</v>
      </c>
      <c r="FA19" s="94">
        <v>0</v>
      </c>
      <c r="FB19" s="568" t="s">
        <v>1981</v>
      </c>
      <c r="FC19" s="14">
        <v>30</v>
      </c>
      <c r="FD19" s="164" t="s">
        <v>1982</v>
      </c>
      <c r="FE19" s="14">
        <f>6.5+15</f>
        <v>21.5</v>
      </c>
      <c r="FF19" s="49" t="s">
        <v>1915</v>
      </c>
      <c r="FG19" s="94">
        <v>1000</v>
      </c>
      <c r="FH19" s="61" t="s">
        <v>1983</v>
      </c>
      <c r="FI19" s="64">
        <v>7.64</v>
      </c>
      <c r="FJ19" s="164" t="s">
        <v>1984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1985</v>
      </c>
      <c r="FV19" s="164" t="s">
        <v>1632</v>
      </c>
      <c r="FW19" s="14">
        <v>140.44999999999999</v>
      </c>
      <c r="FX19" s="49" t="s">
        <v>1986</v>
      </c>
      <c r="FY19" s="77">
        <v>39</v>
      </c>
      <c r="FZ19" s="568" t="s">
        <v>1987</v>
      </c>
      <c r="GB19" s="164" t="s">
        <v>1633</v>
      </c>
      <c r="GC19" s="14">
        <v>90.65</v>
      </c>
      <c r="GD19" s="49" t="s">
        <v>1986</v>
      </c>
      <c r="GE19" s="77">
        <v>33</v>
      </c>
      <c r="GH19" s="164" t="s">
        <v>1633</v>
      </c>
      <c r="GI19" s="14">
        <v>73.959999999999994</v>
      </c>
      <c r="GJ19" s="77" t="s">
        <v>1988</v>
      </c>
      <c r="GL19" s="568" t="s">
        <v>1989</v>
      </c>
      <c r="GN19" s="157" t="s">
        <v>1334</v>
      </c>
      <c r="GO19" s="14">
        <v>1867</v>
      </c>
      <c r="GP19" s="65" t="s">
        <v>1925</v>
      </c>
      <c r="GQ19" s="14">
        <v>2000.001</v>
      </c>
      <c r="GR19" s="14" t="s">
        <v>1990</v>
      </c>
      <c r="GS19" s="14">
        <v>1.1000000000000001</v>
      </c>
      <c r="GT19" s="164" t="s">
        <v>1991</v>
      </c>
      <c r="GU19" s="14" t="s">
        <v>1992</v>
      </c>
      <c r="GV19" s="49" t="s">
        <v>1922</v>
      </c>
      <c r="GW19" s="77">
        <v>745</v>
      </c>
      <c r="GZ19" s="164" t="s">
        <v>1993</v>
      </c>
      <c r="HA19" s="14">
        <v>77.3</v>
      </c>
      <c r="HB19" s="65" t="s">
        <v>1925</v>
      </c>
      <c r="HC19" s="14">
        <v>2041</v>
      </c>
      <c r="HD19" s="14" t="s">
        <v>1994</v>
      </c>
      <c r="HE19" s="14">
        <v>106.89</v>
      </c>
      <c r="HF19" s="157" t="s">
        <v>1995</v>
      </c>
      <c r="HG19" s="14">
        <v>12</v>
      </c>
      <c r="HH19" s="49" t="s">
        <v>1996</v>
      </c>
      <c r="HI19" s="77" t="s">
        <v>1997</v>
      </c>
      <c r="HJ19" s="194">
        <v>1580.64</v>
      </c>
      <c r="HK19" s="183" t="s">
        <v>1998</v>
      </c>
      <c r="HL19" s="147" t="s">
        <v>1999</v>
      </c>
      <c r="HM19" s="14">
        <v>20</v>
      </c>
      <c r="HN19" s="77" t="s">
        <v>1868</v>
      </c>
      <c r="HR19" s="164" t="s">
        <v>2000</v>
      </c>
      <c r="HS19" s="14">
        <v>160</v>
      </c>
      <c r="HT19" s="63" t="s">
        <v>1709</v>
      </c>
      <c r="HU19" s="14">
        <v>0</v>
      </c>
      <c r="HV19" s="188" t="s">
        <v>2001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2002</v>
      </c>
      <c r="IC19" s="220">
        <v>146.22999999999999</v>
      </c>
      <c r="ID19" s="164" t="s">
        <v>1633</v>
      </c>
      <c r="IE19" s="180">
        <v>16.18</v>
      </c>
      <c r="IF19" s="63" t="s">
        <v>2003</v>
      </c>
      <c r="IG19" s="44">
        <v>2234</v>
      </c>
      <c r="IH19" s="14" t="s">
        <v>2004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2005</v>
      </c>
      <c r="IQ19" s="42">
        <f>IM29</f>
        <v>21.35</v>
      </c>
      <c r="IR19" s="49" t="s">
        <v>2006</v>
      </c>
      <c r="IS19" s="14">
        <v>170</v>
      </c>
      <c r="IT19" s="193" t="s">
        <v>2007</v>
      </c>
      <c r="IU19" s="206">
        <v>6</v>
      </c>
      <c r="IV19" s="164" t="s">
        <v>1763</v>
      </c>
      <c r="IW19" s="42">
        <f>9</f>
        <v>9</v>
      </c>
      <c r="IX19" s="63" t="s">
        <v>2008</v>
      </c>
      <c r="IY19" s="44">
        <v>10</v>
      </c>
      <c r="JB19" s="164" t="s">
        <v>1827</v>
      </c>
      <c r="JC19" s="42">
        <v>109.57</v>
      </c>
      <c r="JD19" s="63" t="s">
        <v>2009</v>
      </c>
      <c r="JE19" s="44">
        <v>0</v>
      </c>
      <c r="JH19" s="164" t="s">
        <v>1721</v>
      </c>
      <c r="JI19" s="45">
        <v>115.37</v>
      </c>
      <c r="JJ19" s="63" t="s">
        <v>2009</v>
      </c>
      <c r="JK19" s="44">
        <v>0</v>
      </c>
      <c r="JL19" s="14" t="s">
        <v>2010</v>
      </c>
      <c r="JM19" s="14">
        <v>2</v>
      </c>
      <c r="JN19" s="164" t="s">
        <v>1623</v>
      </c>
      <c r="JO19" s="42">
        <f>15+6.5+30</f>
        <v>51.5</v>
      </c>
      <c r="JP19" s="63" t="s">
        <v>1944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2011</v>
      </c>
      <c r="JW19" s="44">
        <v>240</v>
      </c>
      <c r="JX19" s="43" t="s">
        <v>2012</v>
      </c>
      <c r="JY19" s="250">
        <v>24.55</v>
      </c>
      <c r="JZ19" s="157" t="s">
        <v>2013</v>
      </c>
      <c r="KA19" s="14">
        <v>10.87</v>
      </c>
      <c r="KB19" s="49" t="s">
        <v>2011</v>
      </c>
      <c r="KC19" s="44">
        <v>220</v>
      </c>
      <c r="KD19" s="43" t="s">
        <v>2014</v>
      </c>
      <c r="KE19" s="250">
        <v>31.03</v>
      </c>
      <c r="KF19" s="147" t="s">
        <v>2110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2016</v>
      </c>
      <c r="KM19" s="80">
        <f>1413.64/10</f>
        <v>141.364</v>
      </c>
      <c r="KN19" s="49" t="s">
        <v>2017</v>
      </c>
      <c r="KO19" s="187">
        <v>-114.8</v>
      </c>
      <c r="KP19" s="43" t="s">
        <v>2018</v>
      </c>
      <c r="KQ19" s="206">
        <v>14.02</v>
      </c>
      <c r="KR19" s="67" t="s">
        <v>2019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2020</v>
      </c>
      <c r="KY19" s="61">
        <f>466.26+15.92</f>
        <v>482.18</v>
      </c>
      <c r="KZ19" s="61" t="s">
        <v>2021</v>
      </c>
      <c r="LA19" s="44">
        <f>KZ20-0.99*195000</f>
        <v>-1722</v>
      </c>
      <c r="LB19" s="61" t="s">
        <v>2022</v>
      </c>
      <c r="LC19" s="14">
        <v>21.18</v>
      </c>
      <c r="LD19" s="86" t="s">
        <v>2023</v>
      </c>
      <c r="LE19" s="61">
        <v>83.17</v>
      </c>
      <c r="LF19" s="61" t="s">
        <v>1530</v>
      </c>
      <c r="LG19" s="301">
        <v>2600</v>
      </c>
      <c r="LH19" s="43" t="s">
        <v>2071</v>
      </c>
      <c r="LI19" s="250">
        <f>34.38+0.62+0.58</f>
        <v>35.58</v>
      </c>
      <c r="LJ19" s="88" t="s">
        <v>2025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2026</v>
      </c>
      <c r="LQ19" s="57">
        <f>38.8+16.8</f>
        <v>55.599999999999994</v>
      </c>
      <c r="LR19" s="61" t="s">
        <v>1530</v>
      </c>
      <c r="LS19" s="44">
        <v>2601</v>
      </c>
      <c r="LT19" s="14" t="s">
        <v>1468</v>
      </c>
      <c r="LU19" s="250"/>
      <c r="LV19" s="590" t="s">
        <v>1923</v>
      </c>
      <c r="LW19" s="57"/>
      <c r="LX19" s="61" t="s">
        <v>1894</v>
      </c>
      <c r="LY19" s="44">
        <f>LX20-0.99*195000</f>
        <v>-51228</v>
      </c>
      <c r="MA19" s="94"/>
    </row>
    <row r="20" spans="1:339">
      <c r="A20" s="21" t="s">
        <v>1898</v>
      </c>
      <c r="B20" s="55">
        <v>1218</v>
      </c>
      <c r="E20" s="58"/>
      <c r="F20" s="58"/>
      <c r="G20" s="21" t="s">
        <v>1898</v>
      </c>
      <c r="H20" s="55">
        <v>1218</v>
      </c>
      <c r="K20" s="58"/>
      <c r="M20" s="21"/>
      <c r="N20" s="55"/>
      <c r="Q20" s="58" t="s">
        <v>373</v>
      </c>
      <c r="S20" s="21" t="s">
        <v>1973</v>
      </c>
      <c r="T20" s="55">
        <v>3800</v>
      </c>
      <c r="W20" s="66" t="s">
        <v>1671</v>
      </c>
      <c r="X20" s="14">
        <v>0</v>
      </c>
      <c r="Y20" s="21" t="s">
        <v>1960</v>
      </c>
      <c r="Z20" s="55">
        <v>550</v>
      </c>
      <c r="AC20" s="67" t="s">
        <v>2027</v>
      </c>
      <c r="AD20" s="14">
        <v>132.35</v>
      </c>
      <c r="AE20" s="21" t="s">
        <v>1898</v>
      </c>
      <c r="AF20" s="55">
        <v>1142</v>
      </c>
      <c r="AI20" s="67" t="s">
        <v>2027</v>
      </c>
      <c r="AJ20" s="14">
        <v>250</v>
      </c>
      <c r="AK20" s="21" t="s">
        <v>1898</v>
      </c>
      <c r="AL20" s="55">
        <v>1142</v>
      </c>
      <c r="AO20" s="66" t="s">
        <v>1735</v>
      </c>
      <c r="AP20" s="61">
        <v>0</v>
      </c>
      <c r="AQ20" s="21" t="s">
        <v>1898</v>
      </c>
      <c r="AR20" s="55">
        <v>1142</v>
      </c>
      <c r="AU20" s="66" t="s">
        <v>1735</v>
      </c>
      <c r="AV20" s="61" t="s">
        <v>740</v>
      </c>
      <c r="AW20" s="21" t="s">
        <v>1898</v>
      </c>
      <c r="AX20" s="55">
        <v>1142</v>
      </c>
      <c r="AY20" s="66"/>
      <c r="AZ20" s="61"/>
      <c r="BA20" s="21" t="s">
        <v>1898</v>
      </c>
      <c r="BB20" s="55">
        <f t="shared" si="0"/>
        <v>1142</v>
      </c>
      <c r="BC20" s="14" t="s">
        <v>2028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1898</v>
      </c>
      <c r="BH20" s="55">
        <v>1142</v>
      </c>
      <c r="BI20" s="57"/>
      <c r="BK20" s="88" t="s">
        <v>1575</v>
      </c>
      <c r="BL20" s="61" t="s">
        <v>740</v>
      </c>
      <c r="BM20" s="21" t="s">
        <v>1898</v>
      </c>
      <c r="BN20" s="55">
        <v>1142</v>
      </c>
      <c r="BO20" s="57"/>
      <c r="BQ20" s="88" t="s">
        <v>1575</v>
      </c>
      <c r="BR20" s="61" t="s">
        <v>740</v>
      </c>
      <c r="BS20" s="21" t="s">
        <v>1898</v>
      </c>
      <c r="BT20" s="22">
        <v>1142</v>
      </c>
      <c r="BU20" s="57"/>
      <c r="BW20" s="88" t="s">
        <v>1575</v>
      </c>
      <c r="BX20" s="61" t="s">
        <v>740</v>
      </c>
      <c r="BY20" s="21" t="s">
        <v>1960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1960</v>
      </c>
      <c r="CF20" s="55">
        <v>527.62</v>
      </c>
      <c r="CI20" s="88" t="s">
        <v>1575</v>
      </c>
      <c r="CJ20" s="102">
        <v>1316.1</v>
      </c>
      <c r="CK20" s="21" t="s">
        <v>1973</v>
      </c>
      <c r="CL20" s="55">
        <v>17242.32</v>
      </c>
      <c r="CO20" s="88" t="s">
        <v>1735</v>
      </c>
      <c r="CP20" s="61" t="s">
        <v>740</v>
      </c>
      <c r="CQ20" s="21" t="s">
        <v>1960</v>
      </c>
      <c r="CR20" s="55">
        <v>527.62</v>
      </c>
      <c r="CS20" s="57" t="s">
        <v>1325</v>
      </c>
      <c r="CU20" s="89" t="s">
        <v>2029</v>
      </c>
      <c r="CV20" s="61">
        <v>45.3</v>
      </c>
      <c r="CW20" s="21" t="s">
        <v>1960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1973</v>
      </c>
      <c r="DD20" s="55">
        <v>17242</v>
      </c>
      <c r="DE20" s="57" t="s">
        <v>2030</v>
      </c>
      <c r="DF20" s="43">
        <v>100</v>
      </c>
      <c r="DG20" s="114" t="s">
        <v>2031</v>
      </c>
      <c r="DH20" s="45">
        <v>30.01</v>
      </c>
      <c r="DI20" s="21" t="s">
        <v>2032</v>
      </c>
      <c r="DJ20" s="92">
        <v>10000</v>
      </c>
      <c r="DK20" s="583" t="s">
        <v>2033</v>
      </c>
      <c r="DM20" s="115" t="s">
        <v>1866</v>
      </c>
      <c r="DN20" s="45">
        <v>420</v>
      </c>
      <c r="DO20" s="21" t="s">
        <v>2034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1913</v>
      </c>
      <c r="DV20" s="92">
        <v>10000</v>
      </c>
      <c r="DY20" s="66" t="s">
        <v>1984</v>
      </c>
      <c r="DZ20" s="14" t="s">
        <v>2035</v>
      </c>
      <c r="EA20" s="21"/>
      <c r="EB20" s="92"/>
      <c r="EE20" s="66" t="s">
        <v>1984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1912</v>
      </c>
      <c r="EM20" s="14">
        <v>158.44999999999999</v>
      </c>
      <c r="EN20" s="49" t="s">
        <v>2036</v>
      </c>
      <c r="EO20" s="94">
        <f>5000+5000</f>
        <v>10000</v>
      </c>
      <c r="ER20" s="164" t="s">
        <v>1912</v>
      </c>
      <c r="ES20" s="14">
        <v>136.79</v>
      </c>
      <c r="ET20" s="49" t="s">
        <v>1914</v>
      </c>
      <c r="EU20" s="94">
        <v>7000</v>
      </c>
      <c r="EV20" s="61" t="s">
        <v>2037</v>
      </c>
      <c r="EW20" s="14">
        <v>15</v>
      </c>
      <c r="EX20" s="164" t="s">
        <v>1979</v>
      </c>
      <c r="EY20" s="14" t="s">
        <v>2038</v>
      </c>
      <c r="EZ20" s="49" t="s">
        <v>1915</v>
      </c>
      <c r="FA20" s="94">
        <v>1000</v>
      </c>
      <c r="FB20" s="14" t="s">
        <v>2037</v>
      </c>
      <c r="FC20" s="14">
        <v>8.7100000000000009</v>
      </c>
      <c r="FD20" s="164" t="s">
        <v>2039</v>
      </c>
      <c r="FE20" s="14">
        <v>32</v>
      </c>
      <c r="FF20" s="49" t="s">
        <v>1915</v>
      </c>
      <c r="FG20" s="94">
        <v>1000</v>
      </c>
      <c r="FH20" s="61"/>
      <c r="FI20" s="64"/>
      <c r="FJ20" s="164" t="s">
        <v>2040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2041</v>
      </c>
      <c r="FU20" s="14">
        <v>1200</v>
      </c>
      <c r="FV20" s="164" t="s">
        <v>1623</v>
      </c>
      <c r="FW20" s="14">
        <f>6.5+15</f>
        <v>21.5</v>
      </c>
      <c r="FX20" s="49" t="s">
        <v>2042</v>
      </c>
      <c r="FY20" s="94">
        <v>209</v>
      </c>
      <c r="FZ20" s="14" t="s">
        <v>2043</v>
      </c>
      <c r="GA20" s="14">
        <f>207-202</f>
        <v>5</v>
      </c>
      <c r="GB20" s="164" t="s">
        <v>2044</v>
      </c>
      <c r="GC20" s="14">
        <v>126.93</v>
      </c>
      <c r="GD20" s="49" t="s">
        <v>2042</v>
      </c>
      <c r="GE20" s="94">
        <v>1202</v>
      </c>
      <c r="GF20" s="14" t="s">
        <v>1259</v>
      </c>
      <c r="GG20" s="17"/>
      <c r="GH20" s="164" t="s">
        <v>2044</v>
      </c>
      <c r="GI20" s="14">
        <v>95.54</v>
      </c>
      <c r="GJ20" s="49" t="s">
        <v>1922</v>
      </c>
      <c r="GK20" s="77">
        <v>744</v>
      </c>
      <c r="GL20" s="14" t="s">
        <v>2045</v>
      </c>
      <c r="GM20" s="14">
        <f>1966-2002</f>
        <v>-36</v>
      </c>
      <c r="GN20" s="164" t="s">
        <v>1928</v>
      </c>
      <c r="GO20" s="14" t="s">
        <v>2046</v>
      </c>
      <c r="GP20" s="49" t="s">
        <v>1922</v>
      </c>
      <c r="GQ20" s="77">
        <v>745</v>
      </c>
      <c r="GR20" s="69" t="s">
        <v>2047</v>
      </c>
      <c r="GS20" s="14">
        <v>128.33000000000001</v>
      </c>
      <c r="GT20" s="164" t="s">
        <v>1632</v>
      </c>
      <c r="GU20" s="14">
        <v>140.44999999999999</v>
      </c>
      <c r="GV20" s="49" t="s">
        <v>1986</v>
      </c>
      <c r="GW20" s="77">
        <v>33</v>
      </c>
      <c r="GZ20" s="164" t="s">
        <v>1991</v>
      </c>
      <c r="HA20" s="14">
        <v>97.12</v>
      </c>
      <c r="HB20" s="49" t="s">
        <v>1922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2048</v>
      </c>
      <c r="HL20" s="147" t="s">
        <v>2049</v>
      </c>
      <c r="HM20" s="14">
        <v>33.5</v>
      </c>
      <c r="HN20" s="65" t="s">
        <v>1925</v>
      </c>
      <c r="HO20" s="14">
        <v>1000</v>
      </c>
      <c r="HR20" s="164" t="s">
        <v>2050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2051</v>
      </c>
      <c r="IC20" s="223">
        <v>626.70000000000005</v>
      </c>
      <c r="ID20" s="164" t="s">
        <v>1516</v>
      </c>
      <c r="IE20" s="180" t="s">
        <v>2052</v>
      </c>
      <c r="IF20" s="63" t="s">
        <v>2053</v>
      </c>
      <c r="IG20" s="44">
        <v>60000</v>
      </c>
      <c r="IH20" s="14" t="s">
        <v>2054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2053</v>
      </c>
      <c r="IM20" s="44">
        <v>60000</v>
      </c>
      <c r="IO20" s="213"/>
      <c r="IP20" s="164" t="s">
        <v>2015</v>
      </c>
      <c r="IQ20" s="42">
        <f>17.6+10+15.04+18.67+17.63+10+18.43+12.51+10+16.42</f>
        <v>146.30000000000001</v>
      </c>
      <c r="IR20" s="69" t="s">
        <v>2055</v>
      </c>
      <c r="IT20" s="188"/>
      <c r="IU20" s="206"/>
      <c r="IV20" s="164" t="s">
        <v>2015</v>
      </c>
      <c r="IW20" s="42">
        <f>15.7+10+18.29+10+10+15.09+18.53+17.55+15.01+10+16.79</f>
        <v>156.95999999999998</v>
      </c>
      <c r="IX20" s="49" t="s">
        <v>2056</v>
      </c>
      <c r="IY20" s="14">
        <v>190</v>
      </c>
      <c r="IZ20" s="188"/>
      <c r="JA20" s="206"/>
      <c r="JB20" s="164" t="s">
        <v>2057</v>
      </c>
      <c r="JC20" s="42">
        <f>10+30</f>
        <v>40</v>
      </c>
      <c r="JD20" s="63" t="s">
        <v>1944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2058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2011</v>
      </c>
      <c r="JQ20" s="44">
        <v>210</v>
      </c>
      <c r="JR20" s="253" t="s">
        <v>2059</v>
      </c>
      <c r="JS20" s="255">
        <v>15.42</v>
      </c>
      <c r="JT20" s="164" t="s">
        <v>2060</v>
      </c>
      <c r="JU20" s="42">
        <f>64+64+3</f>
        <v>131</v>
      </c>
      <c r="JV20" s="49" t="s">
        <v>2061</v>
      </c>
      <c r="JW20" s="94"/>
      <c r="JX20" s="43" t="s">
        <v>2062</v>
      </c>
      <c r="JY20" s="250">
        <v>27.05</v>
      </c>
      <c r="JZ20" s="72" t="s">
        <v>1528</v>
      </c>
      <c r="KA20" s="213">
        <v>1347.2</v>
      </c>
      <c r="KB20" s="49" t="s">
        <v>2061</v>
      </c>
      <c r="KC20" s="44"/>
      <c r="KD20" s="43" t="s">
        <v>2063</v>
      </c>
      <c r="KE20" s="250" t="s">
        <v>2064</v>
      </c>
      <c r="KF20" s="147" t="s">
        <v>2154</v>
      </c>
      <c r="KG20" s="14">
        <v>135.69999999999999</v>
      </c>
      <c r="KH20" s="61" t="s">
        <v>2066</v>
      </c>
      <c r="KI20" s="14">
        <f>KH21-0.99*195000</f>
        <v>-242</v>
      </c>
      <c r="KJ20" s="43" t="s">
        <v>2067</v>
      </c>
      <c r="KK20" s="250">
        <v>33</v>
      </c>
      <c r="KL20" s="67" t="s">
        <v>2068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2021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2069</v>
      </c>
      <c r="KY20" s="61">
        <v>20.05</v>
      </c>
      <c r="KZ20" s="283">
        <v>191328</v>
      </c>
      <c r="LB20" s="61" t="s">
        <v>2070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2118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2072</v>
      </c>
      <c r="LQ20" s="56">
        <v>92.66</v>
      </c>
      <c r="LR20" s="63" t="s">
        <v>1585</v>
      </c>
      <c r="LS20" s="44">
        <v>841</v>
      </c>
      <c r="LT20" s="43" t="s">
        <v>1652</v>
      </c>
      <c r="LV20" s="590" t="s">
        <v>3338</v>
      </c>
      <c r="LW20" s="57"/>
      <c r="LX20" s="283">
        <v>141822</v>
      </c>
      <c r="LY20" s="14" t="s">
        <v>3373</v>
      </c>
      <c r="LZ20" s="46">
        <v>45378</v>
      </c>
      <c r="MA20" s="283"/>
    </row>
    <row r="21" spans="1:339">
      <c r="A21" s="21" t="s">
        <v>1959</v>
      </c>
      <c r="B21" s="55">
        <v>551</v>
      </c>
      <c r="E21" s="59"/>
      <c r="F21" s="58"/>
      <c r="G21" s="21" t="s">
        <v>1959</v>
      </c>
      <c r="H21" s="55">
        <v>551</v>
      </c>
      <c r="K21" s="66" t="s">
        <v>1671</v>
      </c>
      <c r="L21" s="14">
        <v>0</v>
      </c>
      <c r="M21" s="685" t="s">
        <v>357</v>
      </c>
      <c r="N21" s="685"/>
      <c r="Q21" s="58" t="s">
        <v>382</v>
      </c>
      <c r="S21" s="685" t="s">
        <v>357</v>
      </c>
      <c r="T21" s="685"/>
      <c r="W21" s="66" t="s">
        <v>1735</v>
      </c>
      <c r="X21" s="14">
        <v>0</v>
      </c>
      <c r="Y21" s="21" t="s">
        <v>1973</v>
      </c>
      <c r="Z21" s="55">
        <v>13800</v>
      </c>
      <c r="AC21" s="67" t="s">
        <v>2074</v>
      </c>
      <c r="AD21" s="14">
        <v>0</v>
      </c>
      <c r="AE21" s="21" t="s">
        <v>1960</v>
      </c>
      <c r="AF21" s="55">
        <v>527</v>
      </c>
      <c r="AI21" s="67" t="s">
        <v>2074</v>
      </c>
      <c r="AJ21" s="61">
        <v>64</v>
      </c>
      <c r="AK21" s="21" t="s">
        <v>1960</v>
      </c>
      <c r="AL21" s="55">
        <v>527</v>
      </c>
      <c r="AM21" s="14" t="s">
        <v>1741</v>
      </c>
      <c r="AN21" s="14">
        <v>2200</v>
      </c>
      <c r="AO21" s="66" t="s">
        <v>2075</v>
      </c>
      <c r="AP21" s="61">
        <v>325</v>
      </c>
      <c r="AQ21" s="21" t="s">
        <v>1960</v>
      </c>
      <c r="AR21" s="55">
        <v>527</v>
      </c>
      <c r="AU21" s="66" t="s">
        <v>1968</v>
      </c>
      <c r="AV21" s="61" t="s">
        <v>740</v>
      </c>
      <c r="AW21" s="21" t="s">
        <v>1960</v>
      </c>
      <c r="AX21" s="55">
        <v>527.62</v>
      </c>
      <c r="AY21" s="66"/>
      <c r="AZ21" s="61"/>
      <c r="BA21" s="21" t="s">
        <v>1960</v>
      </c>
      <c r="BB21" s="55">
        <f t="shared" si="0"/>
        <v>527.62</v>
      </c>
      <c r="BC21" s="57"/>
      <c r="BE21" s="66" t="s">
        <v>1735</v>
      </c>
      <c r="BF21" s="61"/>
      <c r="BG21" s="21" t="s">
        <v>1960</v>
      </c>
      <c r="BH21" s="55">
        <v>527.62</v>
      </c>
      <c r="BK21" s="88" t="s">
        <v>1735</v>
      </c>
      <c r="BL21" s="61" t="s">
        <v>740</v>
      </c>
      <c r="BM21" s="21" t="s">
        <v>1960</v>
      </c>
      <c r="BN21" s="55">
        <v>527.62</v>
      </c>
      <c r="BO21" s="57" t="s">
        <v>2076</v>
      </c>
      <c r="BP21" s="43">
        <v>4.5</v>
      </c>
      <c r="BQ21" s="88" t="s">
        <v>1735</v>
      </c>
      <c r="BR21" s="61" t="s">
        <v>740</v>
      </c>
      <c r="BS21" s="21" t="s">
        <v>1960</v>
      </c>
      <c r="BT21" s="22">
        <v>527.62</v>
      </c>
      <c r="BU21" s="57"/>
      <c r="BW21" s="88" t="s">
        <v>1735</v>
      </c>
      <c r="BX21" s="61" t="s">
        <v>740</v>
      </c>
      <c r="BY21" s="21" t="s">
        <v>1973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1973</v>
      </c>
      <c r="CF21" s="55">
        <v>22203.86</v>
      </c>
      <c r="CI21" s="88" t="s">
        <v>1735</v>
      </c>
      <c r="CJ21" s="61" t="s">
        <v>740</v>
      </c>
      <c r="CK21" s="21" t="s">
        <v>2077</v>
      </c>
      <c r="CL21" s="55" t="s">
        <v>740</v>
      </c>
      <c r="CO21" s="89" t="s">
        <v>1753</v>
      </c>
      <c r="CP21" s="61" t="s">
        <v>2078</v>
      </c>
      <c r="CQ21" s="21" t="s">
        <v>1973</v>
      </c>
      <c r="CR21" s="55">
        <v>17242.32</v>
      </c>
      <c r="CS21" s="57"/>
      <c r="CU21" s="89" t="s">
        <v>1623</v>
      </c>
      <c r="CV21" s="61">
        <v>13</v>
      </c>
      <c r="CW21" s="21" t="s">
        <v>1898</v>
      </c>
      <c r="CX21" s="55">
        <f>26991+10000</f>
        <v>36991</v>
      </c>
      <c r="DA21" s="88" t="s">
        <v>1912</v>
      </c>
      <c r="DB21" s="61">
        <v>119.11</v>
      </c>
      <c r="DC21" s="21" t="s">
        <v>1960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2079</v>
      </c>
      <c r="DJ21" s="92">
        <v>10000</v>
      </c>
      <c r="DK21" s="61" t="s">
        <v>1917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2080</v>
      </c>
      <c r="DT21" s="57">
        <f>6.5+15+171+12</f>
        <v>204.5</v>
      </c>
      <c r="DU21" s="21"/>
      <c r="DV21" s="92"/>
      <c r="DY21" s="66" t="s">
        <v>2081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2081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2082</v>
      </c>
      <c r="EK21" s="14">
        <v>57.67</v>
      </c>
      <c r="EL21" s="66" t="s">
        <v>1979</v>
      </c>
      <c r="EM21" s="14">
        <v>11</v>
      </c>
      <c r="EN21" s="49" t="s">
        <v>1750</v>
      </c>
      <c r="EO21" s="94">
        <v>10000</v>
      </c>
      <c r="ER21" s="164" t="s">
        <v>1979</v>
      </c>
      <c r="ES21" s="14">
        <v>11</v>
      </c>
      <c r="ET21" s="49" t="s">
        <v>2083</v>
      </c>
      <c r="EU21" s="94">
        <v>12000</v>
      </c>
      <c r="EV21" s="61" t="s">
        <v>2084</v>
      </c>
      <c r="EW21" s="14">
        <v>18</v>
      </c>
      <c r="EX21" s="164" t="s">
        <v>1984</v>
      </c>
      <c r="EY21" s="14">
        <f>64+64</f>
        <v>128</v>
      </c>
      <c r="EZ21" s="49" t="s">
        <v>1914</v>
      </c>
      <c r="FA21" s="94">
        <v>8000</v>
      </c>
      <c r="FB21" s="61" t="s">
        <v>2085</v>
      </c>
      <c r="FC21" s="684" t="s">
        <v>2086</v>
      </c>
      <c r="FD21" s="164" t="s">
        <v>1459</v>
      </c>
      <c r="FE21" s="14">
        <v>9</v>
      </c>
      <c r="FF21" s="49" t="s">
        <v>1914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1915</v>
      </c>
      <c r="FM21" s="94">
        <v>0</v>
      </c>
      <c r="FN21" s="568" t="s">
        <v>2087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2088</v>
      </c>
      <c r="FU21" s="14">
        <v>200</v>
      </c>
      <c r="FV21" s="164" t="s">
        <v>2089</v>
      </c>
      <c r="FW21" s="14">
        <v>10.96</v>
      </c>
      <c r="FX21" s="49" t="s">
        <v>1625</v>
      </c>
      <c r="FY21" s="94">
        <v>3000</v>
      </c>
      <c r="FZ21" s="14" t="s">
        <v>2090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1986</v>
      </c>
      <c r="GK21" s="77">
        <v>33</v>
      </c>
      <c r="GL21" s="14" t="s">
        <v>2045</v>
      </c>
      <c r="GM21" s="14">
        <f>819.61-808</f>
        <v>11.610000000000014</v>
      </c>
      <c r="GN21" s="164" t="s">
        <v>2044</v>
      </c>
      <c r="GO21" s="14">
        <v>111.54</v>
      </c>
      <c r="GP21" s="49" t="s">
        <v>1986</v>
      </c>
      <c r="GQ21" s="77">
        <v>33</v>
      </c>
      <c r="GR21" s="14" t="s">
        <v>2091</v>
      </c>
      <c r="GS21" s="17"/>
      <c r="GT21" s="164" t="s">
        <v>2092</v>
      </c>
      <c r="GU21" s="14">
        <f>9.01+15+6.5</f>
        <v>30.509999999999998</v>
      </c>
      <c r="GV21" s="49" t="s">
        <v>2042</v>
      </c>
      <c r="GW21" s="94">
        <v>48</v>
      </c>
      <c r="GZ21" s="164" t="s">
        <v>1632</v>
      </c>
      <c r="HA21" s="14">
        <v>140.44999999999999</v>
      </c>
      <c r="HB21" s="49" t="s">
        <v>1986</v>
      </c>
      <c r="HC21" s="77">
        <v>0</v>
      </c>
      <c r="HD21" s="14" t="s">
        <v>2093</v>
      </c>
      <c r="HF21" s="164" t="s">
        <v>2094</v>
      </c>
      <c r="HG21" s="61">
        <v>85</v>
      </c>
      <c r="HH21" s="49" t="s">
        <v>2095</v>
      </c>
      <c r="HI21" s="94">
        <v>4000</v>
      </c>
      <c r="HK21" s="183"/>
      <c r="HL21" s="147" t="s">
        <v>2096</v>
      </c>
      <c r="HM21" s="14">
        <v>48.88</v>
      </c>
      <c r="HN21" s="49" t="s">
        <v>1520</v>
      </c>
      <c r="HO21" s="94">
        <v>3000</v>
      </c>
      <c r="HR21" s="164" t="s">
        <v>2097</v>
      </c>
      <c r="HS21" s="14">
        <v>64</v>
      </c>
      <c r="HT21" s="63" t="s">
        <v>2098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1934</v>
      </c>
      <c r="IA21" s="80">
        <v>345026.96</v>
      </c>
      <c r="IB21" s="224" t="s">
        <v>2051</v>
      </c>
      <c r="IC21" s="225">
        <v>598.5</v>
      </c>
      <c r="ID21" s="164" t="s">
        <v>2099</v>
      </c>
      <c r="IE21" s="14">
        <v>137.03</v>
      </c>
      <c r="IF21" s="63" t="s">
        <v>2100</v>
      </c>
      <c r="IG21" s="44">
        <v>50001</v>
      </c>
      <c r="IH21" s="14" t="s">
        <v>2101</v>
      </c>
      <c r="II21" s="14">
        <v>18</v>
      </c>
      <c r="IJ21" s="164" t="s">
        <v>1763</v>
      </c>
      <c r="IK21" s="14">
        <v>9</v>
      </c>
      <c r="IL21" s="63" t="s">
        <v>1934</v>
      </c>
      <c r="IM21" s="17">
        <v>65005</v>
      </c>
      <c r="IO21" s="213"/>
      <c r="IP21" s="147" t="s">
        <v>2102</v>
      </c>
      <c r="IQ21" s="42">
        <v>30</v>
      </c>
      <c r="IR21" s="65" t="s">
        <v>2103</v>
      </c>
      <c r="IS21" s="14">
        <v>2007</v>
      </c>
      <c r="IT21" s="193"/>
      <c r="IV21" s="147" t="s">
        <v>2104</v>
      </c>
      <c r="IW21" s="42">
        <v>80</v>
      </c>
      <c r="IX21" s="65" t="s">
        <v>2103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2011</v>
      </c>
      <c r="JE21" s="14">
        <v>130</v>
      </c>
      <c r="JF21" s="188"/>
      <c r="JG21" s="206"/>
      <c r="JH21" s="164" t="s">
        <v>2105</v>
      </c>
      <c r="JI21" s="42">
        <v>27</v>
      </c>
      <c r="JJ21" s="63" t="s">
        <v>1944</v>
      </c>
      <c r="JK21" s="245">
        <v>10</v>
      </c>
      <c r="JN21" s="164" t="s">
        <v>2015</v>
      </c>
      <c r="JO21" s="42">
        <f>11.94+10+20.54+17.31+14.45+15.78+10</f>
        <v>100.02</v>
      </c>
      <c r="JP21" s="49" t="s">
        <v>2061</v>
      </c>
      <c r="JQ21" s="44"/>
      <c r="JR21" s="256" t="s">
        <v>2106</v>
      </c>
      <c r="JS21" s="257">
        <f>783.33+1167.38+1493.5+2179.3</f>
        <v>5623.51</v>
      </c>
      <c r="JT21" s="164" t="s">
        <v>1947</v>
      </c>
      <c r="JU21" s="42">
        <v>6.97</v>
      </c>
      <c r="JV21" s="65" t="s">
        <v>2103</v>
      </c>
      <c r="JW21" s="44">
        <v>1000</v>
      </c>
      <c r="JX21" s="43" t="s">
        <v>2107</v>
      </c>
      <c r="JY21" s="250">
        <v>13.23</v>
      </c>
      <c r="JZ21" s="72" t="s">
        <v>2108</v>
      </c>
      <c r="KA21" s="213">
        <v>1322.98</v>
      </c>
      <c r="KB21" s="65" t="s">
        <v>2103</v>
      </c>
      <c r="KC21" s="44">
        <v>1000</v>
      </c>
      <c r="KD21" s="49" t="s">
        <v>2109</v>
      </c>
      <c r="KE21" s="206">
        <f>63.91+71.9+199.73+2.07</f>
        <v>337.60999999999996</v>
      </c>
      <c r="KF21" s="147" t="s">
        <v>2197</v>
      </c>
      <c r="KG21" s="101">
        <v>10</v>
      </c>
      <c r="KH21" s="283">
        <v>192808</v>
      </c>
      <c r="KJ21" s="43" t="s">
        <v>2111</v>
      </c>
      <c r="KK21" s="250">
        <v>20.67</v>
      </c>
      <c r="KL21" s="67" t="s">
        <v>1654</v>
      </c>
      <c r="KM21" s="42">
        <v>81.91</v>
      </c>
      <c r="KN21" s="61" t="s">
        <v>2112</v>
      </c>
      <c r="KO21" s="44">
        <f>KN22-0.99*195000</f>
        <v>-55900</v>
      </c>
      <c r="KP21" s="61" t="s">
        <v>2113</v>
      </c>
      <c r="KQ21" s="14">
        <v>1895.66</v>
      </c>
      <c r="KR21" s="67" t="s">
        <v>2114</v>
      </c>
      <c r="KS21" s="42">
        <v>30</v>
      </c>
      <c r="KT21" s="283">
        <v>192582</v>
      </c>
      <c r="KV21" s="61" t="s">
        <v>2115</v>
      </c>
      <c r="KW21" s="14">
        <v>546.92999999999995</v>
      </c>
      <c r="KX21" s="86" t="s">
        <v>2116</v>
      </c>
      <c r="KY21" s="61">
        <v>399.3</v>
      </c>
      <c r="KZ21" s="61" t="s">
        <v>1530</v>
      </c>
      <c r="LA21" s="44">
        <v>2600</v>
      </c>
      <c r="LB21" s="61" t="s">
        <v>2117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2162</v>
      </c>
      <c r="LI21" s="14">
        <v>9.26</v>
      </c>
      <c r="LJ21" s="67" t="s">
        <v>1952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2119</v>
      </c>
      <c r="LQ21" s="57">
        <v>153</v>
      </c>
      <c r="LR21" s="63" t="s">
        <v>1651</v>
      </c>
      <c r="LS21" s="234">
        <v>1531</v>
      </c>
      <c r="LT21" s="683" t="s">
        <v>1659</v>
      </c>
      <c r="LU21" s="683"/>
      <c r="LV21" s="590" t="s">
        <v>1923</v>
      </c>
      <c r="LW21" s="57">
        <v>0</v>
      </c>
      <c r="LX21" s="61" t="s">
        <v>3366</v>
      </c>
      <c r="LY21" s="44">
        <v>2600</v>
      </c>
      <c r="LZ21" s="46">
        <v>45378</v>
      </c>
      <c r="MA21" s="44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67" t="s">
        <v>2120</v>
      </c>
      <c r="N22" s="667"/>
      <c r="Q22" s="58" t="s">
        <v>391</v>
      </c>
      <c r="S22" s="667" t="s">
        <v>2120</v>
      </c>
      <c r="T22" s="667"/>
      <c r="W22" s="66" t="s">
        <v>1789</v>
      </c>
      <c r="X22" s="14">
        <v>0</v>
      </c>
      <c r="Y22" s="685" t="s">
        <v>357</v>
      </c>
      <c r="Z22" s="685"/>
      <c r="AC22" s="67" t="s">
        <v>2121</v>
      </c>
      <c r="AD22" s="14">
        <v>80.001000000000005</v>
      </c>
      <c r="AE22" s="21" t="s">
        <v>1973</v>
      </c>
      <c r="AF22" s="55" t="s">
        <v>1861</v>
      </c>
      <c r="AI22" s="67" t="s">
        <v>2121</v>
      </c>
      <c r="AJ22" s="61">
        <v>150</v>
      </c>
      <c r="AK22" s="21" t="s">
        <v>1973</v>
      </c>
      <c r="AL22" s="55" t="s">
        <v>1861</v>
      </c>
      <c r="AO22" s="66" t="s">
        <v>1902</v>
      </c>
      <c r="AP22" s="61">
        <v>0</v>
      </c>
      <c r="AQ22" s="21" t="s">
        <v>1973</v>
      </c>
      <c r="AR22" s="55">
        <v>20000</v>
      </c>
      <c r="AU22" s="66" t="s">
        <v>1902</v>
      </c>
      <c r="AV22" s="61">
        <f>200+150+172</f>
        <v>522</v>
      </c>
      <c r="AW22" s="21" t="s">
        <v>1973</v>
      </c>
      <c r="AX22" s="81">
        <v>19203.86</v>
      </c>
      <c r="AY22" s="66"/>
      <c r="AZ22" s="61"/>
      <c r="BA22" s="21" t="s">
        <v>1973</v>
      </c>
      <c r="BB22" s="55">
        <f t="shared" si="0"/>
        <v>19203.86</v>
      </c>
      <c r="BE22" s="66" t="s">
        <v>1671</v>
      </c>
      <c r="BG22" s="21" t="s">
        <v>1973</v>
      </c>
      <c r="BH22" s="81">
        <v>19203.86</v>
      </c>
      <c r="BK22" s="88" t="s">
        <v>1671</v>
      </c>
      <c r="BL22" s="43" t="s">
        <v>740</v>
      </c>
      <c r="BM22" s="21" t="s">
        <v>1973</v>
      </c>
      <c r="BN22" s="81">
        <v>19203.86</v>
      </c>
      <c r="BQ22" s="88" t="s">
        <v>1671</v>
      </c>
      <c r="BR22" s="43" t="s">
        <v>740</v>
      </c>
      <c r="BS22" s="21" t="s">
        <v>1973</v>
      </c>
      <c r="BT22" s="22">
        <v>22203.86</v>
      </c>
      <c r="BW22" s="88" t="s">
        <v>1671</v>
      </c>
      <c r="BX22" s="43" t="s">
        <v>740</v>
      </c>
      <c r="BY22" s="21" t="s">
        <v>2122</v>
      </c>
      <c r="BZ22" s="55">
        <f>10000+4000</f>
        <v>14000</v>
      </c>
      <c r="CC22" s="88" t="s">
        <v>1671</v>
      </c>
      <c r="CD22" s="43" t="s">
        <v>740</v>
      </c>
      <c r="CE22" s="21" t="s">
        <v>2077</v>
      </c>
      <c r="CF22" s="55">
        <v>10000</v>
      </c>
      <c r="CI22" s="89" t="s">
        <v>2123</v>
      </c>
      <c r="CJ22" s="61">
        <v>91.86</v>
      </c>
      <c r="CK22" s="82" t="s">
        <v>1460</v>
      </c>
      <c r="CL22" s="99">
        <v>-20000</v>
      </c>
      <c r="CO22" s="89" t="s">
        <v>2124</v>
      </c>
      <c r="CP22" s="61">
        <v>57.34</v>
      </c>
      <c r="CQ22" s="82" t="s">
        <v>1460</v>
      </c>
      <c r="CR22" s="99">
        <v>-20000</v>
      </c>
      <c r="CS22" s="57" t="s">
        <v>2125</v>
      </c>
      <c r="CT22" s="57" t="s">
        <v>2126</v>
      </c>
      <c r="CU22" s="89" t="s">
        <v>1912</v>
      </c>
      <c r="CV22" s="61">
        <v>136.53</v>
      </c>
      <c r="CW22" s="82" t="s">
        <v>1460</v>
      </c>
      <c r="CX22" s="99">
        <v>-20000</v>
      </c>
      <c r="DA22" s="88" t="s">
        <v>2127</v>
      </c>
      <c r="DB22" s="61">
        <v>53.24</v>
      </c>
      <c r="DC22" s="21" t="s">
        <v>1898</v>
      </c>
      <c r="DD22" s="55">
        <v>45991</v>
      </c>
      <c r="DF22" s="61"/>
      <c r="DG22" s="114" t="s">
        <v>2128</v>
      </c>
      <c r="DH22" s="57" t="s">
        <v>740</v>
      </c>
      <c r="DI22" s="21" t="s">
        <v>2129</v>
      </c>
      <c r="DJ22" s="92">
        <v>10000</v>
      </c>
      <c r="DM22" s="116" t="s">
        <v>2130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1912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2131</v>
      </c>
      <c r="EF22" s="14">
        <v>10</v>
      </c>
      <c r="EH22" s="49" t="s">
        <v>1914</v>
      </c>
      <c r="EI22" s="94">
        <v>10000</v>
      </c>
      <c r="EJ22" s="14" t="s">
        <v>2132</v>
      </c>
      <c r="EK22" s="14">
        <v>33.71</v>
      </c>
      <c r="EL22" s="66" t="s">
        <v>1984</v>
      </c>
      <c r="EM22" s="14">
        <f>64+32</f>
        <v>96</v>
      </c>
      <c r="EN22" s="49" t="s">
        <v>1801</v>
      </c>
      <c r="EO22" s="94">
        <v>30000</v>
      </c>
      <c r="ER22" s="164" t="s">
        <v>1984</v>
      </c>
      <c r="ES22" s="14">
        <v>0</v>
      </c>
      <c r="ET22" s="49" t="s">
        <v>2133</v>
      </c>
      <c r="EU22" s="94">
        <v>13000</v>
      </c>
      <c r="EV22" s="61" t="s">
        <v>2134</v>
      </c>
      <c r="EW22" s="14">
        <f>4074+4965-9000</f>
        <v>39</v>
      </c>
      <c r="EX22" s="164" t="s">
        <v>2081</v>
      </c>
      <c r="EY22" s="14">
        <f>5.2+0.88+2.24+16.2+10+1.44+10.21+16.7+1.31+15.1+2.62+2.62+2.53+2.62+2.62+4.71</f>
        <v>97</v>
      </c>
      <c r="EZ22" s="49" t="s">
        <v>2083</v>
      </c>
      <c r="FA22" s="94">
        <v>2000</v>
      </c>
      <c r="FB22" s="61"/>
      <c r="FC22" s="684"/>
      <c r="FD22" s="164" t="s">
        <v>2081</v>
      </c>
      <c r="FE22" s="14">
        <f>2.62+4.71+2.62+13.99+15.65+7.92+10.66+6.21</f>
        <v>64.38</v>
      </c>
      <c r="FF22" s="49" t="s">
        <v>2083</v>
      </c>
      <c r="FG22" s="94">
        <v>2000</v>
      </c>
      <c r="FH22" s="61"/>
      <c r="FJ22" s="164" t="s">
        <v>2081</v>
      </c>
      <c r="FK22" s="14">
        <f>8.69+8.74+7.36+10.96+7.08+7.26</f>
        <v>50.089999999999996</v>
      </c>
      <c r="FL22" s="49" t="s">
        <v>1915</v>
      </c>
      <c r="FM22" s="94">
        <v>0</v>
      </c>
      <c r="FP22" s="164" t="s">
        <v>1984</v>
      </c>
      <c r="FQ22" s="14">
        <v>64</v>
      </c>
      <c r="FR22" s="49" t="s">
        <v>1914</v>
      </c>
      <c r="FS22" s="94" t="s">
        <v>1861</v>
      </c>
      <c r="FT22" s="14" t="s">
        <v>2135</v>
      </c>
      <c r="FU22" s="14">
        <v>1193.8599999999999</v>
      </c>
      <c r="FV22" s="164" t="s">
        <v>1984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1989</v>
      </c>
      <c r="GH22" s="164" t="s">
        <v>1623</v>
      </c>
      <c r="GI22" s="14">
        <f>13+30</f>
        <v>43</v>
      </c>
      <c r="GJ22" s="49" t="s">
        <v>2042</v>
      </c>
      <c r="GK22" s="94">
        <v>182</v>
      </c>
      <c r="GN22" s="164" t="s">
        <v>1632</v>
      </c>
      <c r="GO22" s="14">
        <v>140.44999999999999</v>
      </c>
      <c r="GP22" s="49" t="s">
        <v>2042</v>
      </c>
      <c r="GQ22" s="94">
        <v>2148</v>
      </c>
      <c r="GS22" s="17"/>
      <c r="GT22" s="164" t="s">
        <v>2089</v>
      </c>
      <c r="GU22" s="14">
        <v>10.96</v>
      </c>
      <c r="GV22" s="49" t="s">
        <v>1520</v>
      </c>
      <c r="GW22" s="94">
        <v>3000</v>
      </c>
      <c r="GZ22" s="164" t="s">
        <v>2136</v>
      </c>
      <c r="HA22" s="14">
        <f>10.96+9.01+6.5+15</f>
        <v>41.47</v>
      </c>
      <c r="HB22" s="49" t="s">
        <v>2042</v>
      </c>
      <c r="HC22" s="94">
        <v>0</v>
      </c>
      <c r="HD22" s="568" t="s">
        <v>2137</v>
      </c>
      <c r="HE22" s="14">
        <v>10</v>
      </c>
      <c r="HF22" s="164" t="s">
        <v>1991</v>
      </c>
      <c r="HG22" s="14">
        <v>16.71</v>
      </c>
      <c r="HH22" s="49" t="s">
        <v>1637</v>
      </c>
      <c r="HI22" s="94">
        <v>25000</v>
      </c>
      <c r="HK22" s="183"/>
      <c r="HL22" s="147" t="s">
        <v>2138</v>
      </c>
      <c r="HM22" s="14">
        <v>115.9</v>
      </c>
      <c r="HN22" s="49" t="s">
        <v>1572</v>
      </c>
      <c r="HO22" s="94">
        <v>4000</v>
      </c>
      <c r="HR22" s="164" t="s">
        <v>2139</v>
      </c>
      <c r="HS22" s="14">
        <v>10</v>
      </c>
      <c r="HT22" s="63" t="s">
        <v>2140</v>
      </c>
      <c r="HU22" s="14">
        <f>5002+10000+5002+10002+5000</f>
        <v>35006</v>
      </c>
      <c r="HW22" s="183"/>
      <c r="HX22" s="164" t="s">
        <v>2141</v>
      </c>
      <c r="HY22" s="14">
        <v>64</v>
      </c>
      <c r="HZ22" s="63" t="s">
        <v>1661</v>
      </c>
      <c r="IA22" s="94">
        <v>2000</v>
      </c>
      <c r="IB22" s="226" t="s">
        <v>1933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2142</v>
      </c>
      <c r="II22" s="14">
        <f>9.86*4</f>
        <v>39.44</v>
      </c>
      <c r="IJ22" s="164" t="s">
        <v>2143</v>
      </c>
      <c r="IK22" s="14">
        <v>64</v>
      </c>
      <c r="IL22" s="63" t="s">
        <v>2003</v>
      </c>
      <c r="IM22" s="44">
        <v>2190</v>
      </c>
      <c r="IO22" s="213"/>
      <c r="IP22" s="147" t="s">
        <v>2144</v>
      </c>
      <c r="IQ22" s="42">
        <v>10</v>
      </c>
      <c r="IR22" s="69" t="s">
        <v>2145</v>
      </c>
      <c r="IT22" s="680" t="s">
        <v>2146</v>
      </c>
      <c r="IU22" s="680"/>
      <c r="IV22" s="147" t="s">
        <v>2147</v>
      </c>
      <c r="IW22" s="42">
        <v>42.51</v>
      </c>
      <c r="IX22" s="69" t="s">
        <v>2145</v>
      </c>
      <c r="IZ22" s="188"/>
      <c r="JA22" s="206"/>
      <c r="JB22" s="164" t="s">
        <v>1623</v>
      </c>
      <c r="JC22" s="42">
        <f>13+30</f>
        <v>43</v>
      </c>
      <c r="JD22" s="49" t="s">
        <v>2061</v>
      </c>
      <c r="JH22" s="164" t="s">
        <v>1763</v>
      </c>
      <c r="JI22" s="42">
        <f>9+14.32</f>
        <v>23.32</v>
      </c>
      <c r="JJ22" s="49" t="s">
        <v>2011</v>
      </c>
      <c r="JK22" s="14">
        <v>230</v>
      </c>
      <c r="JL22" s="188"/>
      <c r="JM22" s="206"/>
      <c r="JN22" s="147" t="s">
        <v>2148</v>
      </c>
      <c r="JO22" s="44">
        <v>2953</v>
      </c>
      <c r="JP22" s="65" t="s">
        <v>2103</v>
      </c>
      <c r="JQ22" s="44">
        <v>1000</v>
      </c>
      <c r="JR22" s="256" t="s">
        <v>2149</v>
      </c>
      <c r="JS22" s="257"/>
      <c r="JT22" s="164" t="s">
        <v>2015</v>
      </c>
      <c r="JU22" s="42">
        <f>17.57+15.78+10+10+16.81+16.4+1.52+17.15+1.19+10.85</f>
        <v>117.26999999999998</v>
      </c>
      <c r="JV22" s="69" t="s">
        <v>2145</v>
      </c>
      <c r="JW22" s="42"/>
      <c r="JX22" s="43" t="s">
        <v>2150</v>
      </c>
      <c r="JY22" s="250">
        <v>31.96</v>
      </c>
      <c r="JZ22" s="72" t="s">
        <v>2151</v>
      </c>
      <c r="KA22" s="213">
        <v>1730.87</v>
      </c>
      <c r="KB22" s="69" t="s">
        <v>2152</v>
      </c>
      <c r="KC22" s="42"/>
      <c r="KD22" s="61" t="s">
        <v>2153</v>
      </c>
      <c r="KE22" s="206">
        <f>7000*(1-98.14%)</f>
        <v>130.19999999999965</v>
      </c>
      <c r="KF22" s="147" t="s">
        <v>2248</v>
      </c>
      <c r="KG22" s="101">
        <v>38</v>
      </c>
      <c r="KH22" s="61" t="s">
        <v>1530</v>
      </c>
      <c r="KI22" s="44">
        <v>2600</v>
      </c>
      <c r="KJ22" s="43" t="s">
        <v>2155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2156</v>
      </c>
      <c r="KQ22" s="180">
        <v>2121.2199999999998</v>
      </c>
      <c r="KR22" s="67" t="s">
        <v>2157</v>
      </c>
      <c r="KS22" s="42">
        <v>100</v>
      </c>
      <c r="KT22" s="61" t="s">
        <v>1530</v>
      </c>
      <c r="KU22" s="44">
        <v>2600</v>
      </c>
      <c r="KV22" s="61" t="s">
        <v>2158</v>
      </c>
      <c r="KW22" s="14">
        <v>297.89999999999998</v>
      </c>
      <c r="KX22" s="86" t="s">
        <v>2159</v>
      </c>
      <c r="KY22" s="61">
        <f>388.8-248.41</f>
        <v>140.39000000000001</v>
      </c>
      <c r="KZ22" s="63" t="s">
        <v>1585</v>
      </c>
      <c r="LA22" s="44">
        <v>656</v>
      </c>
      <c r="LB22" s="61" t="s">
        <v>2160</v>
      </c>
      <c r="LC22" s="14">
        <v>93.25</v>
      </c>
      <c r="LD22" s="67" t="s">
        <v>1952</v>
      </c>
      <c r="LE22" s="56">
        <v>135</v>
      </c>
      <c r="LF22" s="63" t="s">
        <v>2161</v>
      </c>
      <c r="LG22" s="44">
        <v>10</v>
      </c>
      <c r="LH22" s="61" t="s">
        <v>2160</v>
      </c>
      <c r="LI22" s="14">
        <v>93.25</v>
      </c>
      <c r="LJ22" s="67" t="s">
        <v>2163</v>
      </c>
      <c r="LK22" s="57">
        <v>42.95</v>
      </c>
      <c r="LL22" s="63" t="s">
        <v>2161</v>
      </c>
      <c r="LM22" s="44">
        <v>10</v>
      </c>
      <c r="LN22" s="49" t="s">
        <v>2164</v>
      </c>
      <c r="LO22" s="250">
        <f>212.33+76.44+67.94</f>
        <v>356.71</v>
      </c>
      <c r="LP22" s="67" t="s">
        <v>1654</v>
      </c>
      <c r="LQ22" s="42">
        <v>23.1</v>
      </c>
      <c r="LR22" s="63" t="s">
        <v>2161</v>
      </c>
      <c r="LS22" s="44">
        <v>10</v>
      </c>
      <c r="LT22" s="61" t="s">
        <v>1896</v>
      </c>
      <c r="LU22" s="42">
        <v>94.75</v>
      </c>
      <c r="LV22" s="88" t="s">
        <v>1897</v>
      </c>
      <c r="LW22" s="57"/>
      <c r="LX22" s="63" t="s">
        <v>1585</v>
      </c>
      <c r="LY22" s="44">
        <v>665</v>
      </c>
      <c r="LZ22" s="46">
        <v>45378</v>
      </c>
      <c r="MA22" s="44"/>
    </row>
    <row r="23" spans="1:339">
      <c r="A23" s="685" t="s">
        <v>357</v>
      </c>
      <c r="B23" s="685"/>
      <c r="E23" s="569" t="s">
        <v>429</v>
      </c>
      <c r="F23" s="58"/>
      <c r="G23" s="685" t="s">
        <v>357</v>
      </c>
      <c r="H23" s="685"/>
      <c r="K23" s="66" t="s">
        <v>1789</v>
      </c>
      <c r="L23" s="14">
        <v>0</v>
      </c>
      <c r="M23" s="675"/>
      <c r="N23" s="675"/>
      <c r="Q23" s="58" t="s">
        <v>1961</v>
      </c>
      <c r="S23" s="675"/>
      <c r="T23" s="675"/>
      <c r="W23" s="66" t="s">
        <v>1575</v>
      </c>
      <c r="X23" s="61">
        <v>0</v>
      </c>
      <c r="Y23" s="667" t="s">
        <v>2120</v>
      </c>
      <c r="Z23" s="667"/>
      <c r="AE23" s="685" t="s">
        <v>357</v>
      </c>
      <c r="AF23" s="685"/>
      <c r="AK23" s="685" t="s">
        <v>357</v>
      </c>
      <c r="AL23" s="685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1900</v>
      </c>
      <c r="BF23" s="61" t="s">
        <v>756</v>
      </c>
      <c r="BG23" s="82" t="s">
        <v>317</v>
      </c>
      <c r="BH23" s="82">
        <v>-30000</v>
      </c>
      <c r="BK23" s="89" t="s">
        <v>1900</v>
      </c>
      <c r="BL23" s="61" t="s">
        <v>756</v>
      </c>
      <c r="BM23" s="82" t="s">
        <v>317</v>
      </c>
      <c r="BN23" s="82">
        <v>-30000</v>
      </c>
      <c r="BQ23" s="89" t="s">
        <v>2166</v>
      </c>
      <c r="BR23" s="61">
        <v>121.05</v>
      </c>
      <c r="BS23" s="82" t="s">
        <v>2167</v>
      </c>
      <c r="BT23" s="95">
        <v>-20000</v>
      </c>
      <c r="BW23" s="89" t="s">
        <v>1900</v>
      </c>
      <c r="BX23" s="61" t="s">
        <v>756</v>
      </c>
      <c r="BY23" s="82" t="s">
        <v>1460</v>
      </c>
      <c r="BZ23" s="99">
        <v>-20000</v>
      </c>
      <c r="CC23" s="89" t="s">
        <v>1900</v>
      </c>
      <c r="CD23" s="61">
        <v>47.12</v>
      </c>
      <c r="CE23" s="82" t="s">
        <v>1460</v>
      </c>
      <c r="CF23" s="99">
        <v>-20000</v>
      </c>
      <c r="CI23" s="89" t="s">
        <v>2168</v>
      </c>
      <c r="CJ23" s="61">
        <v>72.42</v>
      </c>
      <c r="CK23" s="61" t="s">
        <v>2169</v>
      </c>
      <c r="CL23" s="101">
        <v>802</v>
      </c>
      <c r="CO23" s="89" t="s">
        <v>1623</v>
      </c>
      <c r="CP23" s="61">
        <v>13</v>
      </c>
      <c r="CQ23" s="69" t="s">
        <v>2169</v>
      </c>
      <c r="CR23" s="69">
        <f>802-791</f>
        <v>11</v>
      </c>
      <c r="CU23" s="89" t="s">
        <v>2127</v>
      </c>
      <c r="CV23" s="61">
        <v>53.24</v>
      </c>
      <c r="CW23" s="111" t="s">
        <v>2169</v>
      </c>
      <c r="CX23" s="55"/>
      <c r="DA23" s="88" t="s">
        <v>2170</v>
      </c>
      <c r="DB23" s="61">
        <v>64</v>
      </c>
      <c r="DC23" s="82" t="s">
        <v>1460</v>
      </c>
      <c r="DD23" s="99">
        <v>-20000</v>
      </c>
      <c r="DE23" s="57" t="s">
        <v>2171</v>
      </c>
      <c r="DF23" s="43">
        <f>7.1+13</f>
        <v>20.100000000000001</v>
      </c>
      <c r="DG23" s="115" t="s">
        <v>2172</v>
      </c>
      <c r="DH23" s="45">
        <v>35.630000000000003</v>
      </c>
      <c r="DI23" s="21" t="s">
        <v>2173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2127</v>
      </c>
      <c r="DT23" s="57">
        <v>11</v>
      </c>
      <c r="DU23" s="21" t="s">
        <v>1688</v>
      </c>
      <c r="DV23" s="92">
        <v>5000</v>
      </c>
      <c r="DY23" s="147" t="s">
        <v>2174</v>
      </c>
      <c r="DZ23" s="14">
        <v>25</v>
      </c>
      <c r="EA23" s="21" t="s">
        <v>2175</v>
      </c>
      <c r="EB23" s="92">
        <v>5000</v>
      </c>
      <c r="EE23" s="677" t="s">
        <v>2176</v>
      </c>
      <c r="EF23" s="677"/>
      <c r="EH23" s="49" t="s">
        <v>1980</v>
      </c>
      <c r="EI23" s="94">
        <v>5000</v>
      </c>
      <c r="EL23" s="66" t="s">
        <v>2081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2081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2177</v>
      </c>
      <c r="EW23" s="684" t="s">
        <v>2086</v>
      </c>
      <c r="EX23" s="147" t="s">
        <v>2178</v>
      </c>
      <c r="EY23" s="14">
        <f>6+3.65</f>
        <v>9.65</v>
      </c>
      <c r="EZ23" s="49" t="s">
        <v>2133</v>
      </c>
      <c r="FA23" s="94">
        <v>3000</v>
      </c>
      <c r="FB23" s="61"/>
      <c r="FC23" s="684"/>
      <c r="FD23" s="147" t="s">
        <v>2179</v>
      </c>
      <c r="FE23" s="14">
        <v>10</v>
      </c>
      <c r="FF23" s="49" t="s">
        <v>2133</v>
      </c>
      <c r="FG23" s="94">
        <v>3000</v>
      </c>
      <c r="FJ23" s="147" t="s">
        <v>2180</v>
      </c>
      <c r="FK23" s="14">
        <v>70</v>
      </c>
      <c r="FL23" s="49" t="s">
        <v>1914</v>
      </c>
      <c r="FM23" s="94">
        <v>2000</v>
      </c>
      <c r="FN23" s="61"/>
      <c r="FO23" s="64"/>
      <c r="FP23" s="164" t="s">
        <v>2040</v>
      </c>
      <c r="FQ23" s="14">
        <v>12</v>
      </c>
      <c r="FR23" s="49" t="s">
        <v>2083</v>
      </c>
      <c r="FS23" s="94">
        <v>2000</v>
      </c>
      <c r="FT23" s="568" t="s">
        <v>1987</v>
      </c>
      <c r="FV23" s="164" t="s">
        <v>2040</v>
      </c>
      <c r="FW23" s="14">
        <v>12</v>
      </c>
      <c r="FX23" s="49" t="s">
        <v>1858</v>
      </c>
      <c r="FY23" s="94">
        <v>25000</v>
      </c>
      <c r="GB23" s="164" t="s">
        <v>2089</v>
      </c>
      <c r="GC23" s="14">
        <v>10.96</v>
      </c>
      <c r="GD23" s="49" t="s">
        <v>1858</v>
      </c>
      <c r="GE23" s="94">
        <v>25000</v>
      </c>
      <c r="GF23" s="14" t="s">
        <v>2045</v>
      </c>
      <c r="GG23" s="14">
        <f>990.58-1001</f>
        <v>-10.419999999999959</v>
      </c>
      <c r="GH23" s="164" t="s">
        <v>2089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2181</v>
      </c>
      <c r="GT23" s="164" t="s">
        <v>1984</v>
      </c>
      <c r="GU23" s="14">
        <v>64</v>
      </c>
      <c r="GV23" s="49" t="s">
        <v>2095</v>
      </c>
      <c r="GW23" s="94">
        <v>4000</v>
      </c>
      <c r="GZ23" s="164" t="s">
        <v>2182</v>
      </c>
      <c r="HA23" s="14">
        <f>10+2.2</f>
        <v>12.2</v>
      </c>
      <c r="HB23" s="49" t="s">
        <v>1520</v>
      </c>
      <c r="HC23" s="94">
        <v>3000</v>
      </c>
      <c r="HD23" s="14" t="s">
        <v>2183</v>
      </c>
      <c r="HF23" s="164" t="s">
        <v>1632</v>
      </c>
      <c r="HG23" s="14">
        <v>140.44999999999999</v>
      </c>
      <c r="HH23" s="49" t="s">
        <v>1980</v>
      </c>
      <c r="HI23" s="94">
        <v>2000</v>
      </c>
      <c r="HJ23" s="680" t="s">
        <v>2146</v>
      </c>
      <c r="HK23" s="680"/>
      <c r="HL23" s="147" t="s">
        <v>2184</v>
      </c>
      <c r="HM23" s="14">
        <v>57.3</v>
      </c>
      <c r="HN23" s="49" t="s">
        <v>1637</v>
      </c>
      <c r="HO23" s="94">
        <v>25000</v>
      </c>
      <c r="HR23" s="164" t="s">
        <v>1931</v>
      </c>
      <c r="HS23" s="192">
        <f>16.5+14.09+10+1.34+13.21+16.39+15.89+17.3</f>
        <v>104.72</v>
      </c>
      <c r="HT23" s="63" t="s">
        <v>2185</v>
      </c>
      <c r="HU23" s="14">
        <f>5002+10000+10000+5000</f>
        <v>30002</v>
      </c>
      <c r="HV23" s="680" t="s">
        <v>2146</v>
      </c>
      <c r="HW23" s="680"/>
      <c r="HX23" s="164" t="s">
        <v>2186</v>
      </c>
      <c r="HY23" s="14">
        <v>30</v>
      </c>
      <c r="HZ23" s="63" t="s">
        <v>2053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2187</v>
      </c>
      <c r="II23" s="14">
        <f>2.74+2.52+1.19*2</f>
        <v>7.64</v>
      </c>
      <c r="IJ23" s="164" t="s">
        <v>2015</v>
      </c>
      <c r="IK23" s="192">
        <f>20.75+15.85+16.8+10+21.56+17.42+14.05+10</f>
        <v>126.43</v>
      </c>
      <c r="IL23" s="49" t="s">
        <v>2188</v>
      </c>
      <c r="IM23" s="14">
        <v>150</v>
      </c>
      <c r="IO23" s="213"/>
      <c r="IP23" s="147" t="s">
        <v>2189</v>
      </c>
      <c r="IQ23" s="42">
        <v>80</v>
      </c>
      <c r="IR23" s="69" t="s">
        <v>2152</v>
      </c>
      <c r="IS23" s="97"/>
      <c r="IT23" s="163" t="s">
        <v>1283</v>
      </c>
      <c r="IU23" s="91">
        <f>SUM(IW7:IW9)</f>
        <v>3911.02</v>
      </c>
      <c r="IV23" s="147" t="s">
        <v>2190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2103</v>
      </c>
      <c r="JE23" s="14">
        <v>1000</v>
      </c>
      <c r="JF23" s="188"/>
      <c r="JG23" s="206"/>
      <c r="JH23" s="248" t="s">
        <v>2191</v>
      </c>
      <c r="JI23" s="101">
        <v>4.05</v>
      </c>
      <c r="JJ23" s="49" t="s">
        <v>2061</v>
      </c>
      <c r="JL23" s="188"/>
      <c r="JM23" s="206"/>
      <c r="JN23" s="147" t="s">
        <v>2192</v>
      </c>
      <c r="JO23" s="42">
        <v>50.23</v>
      </c>
      <c r="JP23" s="69" t="s">
        <v>2145</v>
      </c>
      <c r="JQ23" s="44"/>
      <c r="JS23" s="206"/>
      <c r="JT23" s="147" t="s">
        <v>2193</v>
      </c>
      <c r="JU23" s="42">
        <v>10</v>
      </c>
      <c r="JV23" s="69" t="s">
        <v>2152</v>
      </c>
      <c r="JW23" s="42"/>
      <c r="JX23" s="49" t="s">
        <v>2194</v>
      </c>
      <c r="JY23" s="250">
        <f>85.99+30.96</f>
        <v>116.94999999999999</v>
      </c>
      <c r="JZ23" s="72" t="s">
        <v>2195</v>
      </c>
      <c r="KA23" s="213">
        <v>1713.69</v>
      </c>
      <c r="KB23" s="69" t="s">
        <v>2145</v>
      </c>
      <c r="KC23" s="42"/>
      <c r="KD23" s="61" t="s">
        <v>2196</v>
      </c>
      <c r="KE23" s="14">
        <f>1660.5+1107</f>
        <v>2767.5</v>
      </c>
      <c r="KF23" s="147" t="s">
        <v>2292</v>
      </c>
      <c r="KG23" s="101">
        <v>25.9</v>
      </c>
      <c r="KH23" s="63" t="s">
        <v>1585</v>
      </c>
      <c r="KI23" s="44">
        <v>1</v>
      </c>
      <c r="KJ23" s="43" t="s">
        <v>2198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2199</v>
      </c>
      <c r="KQ23" s="180">
        <v>2597.87</v>
      </c>
      <c r="KR23" s="67" t="s">
        <v>2200</v>
      </c>
      <c r="KS23" s="45">
        <v>109.75</v>
      </c>
      <c r="KT23" s="63" t="s">
        <v>1585</v>
      </c>
      <c r="KU23" s="44">
        <v>1238</v>
      </c>
      <c r="KV23" s="61" t="s">
        <v>2160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2201</v>
      </c>
      <c r="LC23" s="14">
        <v>93</v>
      </c>
      <c r="LD23" s="67" t="s">
        <v>2202</v>
      </c>
      <c r="LE23" s="56">
        <v>176.86</v>
      </c>
      <c r="LF23" s="49" t="s">
        <v>2203</v>
      </c>
      <c r="LG23" s="44">
        <v>160</v>
      </c>
      <c r="LH23" s="61" t="s">
        <v>2253</v>
      </c>
      <c r="LI23" s="250">
        <v>92.25</v>
      </c>
      <c r="LJ23" s="67" t="s">
        <v>1654</v>
      </c>
      <c r="LK23" s="42">
        <v>40.950000000000003</v>
      </c>
      <c r="LL23" s="49" t="s">
        <v>2203</v>
      </c>
      <c r="LM23" s="44">
        <v>210</v>
      </c>
      <c r="LN23" s="43" t="s">
        <v>2204</v>
      </c>
      <c r="LO23" s="250">
        <f>34.36+1.52+0.5</f>
        <v>36.380000000000003</v>
      </c>
      <c r="LP23" s="67" t="s">
        <v>2205</v>
      </c>
      <c r="LQ23" s="42">
        <f>200+339</f>
        <v>539</v>
      </c>
      <c r="LR23" s="49" t="s">
        <v>2203</v>
      </c>
      <c r="LS23" s="44">
        <v>100</v>
      </c>
      <c r="LT23" s="306" t="s">
        <v>3376</v>
      </c>
      <c r="LU23" s="306">
        <f>113.1*2</f>
        <v>226.2</v>
      </c>
      <c r="LV23" s="67" t="s">
        <v>3364</v>
      </c>
      <c r="LW23" s="56">
        <v>138.97</v>
      </c>
      <c r="LX23" s="63" t="s">
        <v>1651</v>
      </c>
      <c r="LY23" s="234">
        <v>1567</v>
      </c>
      <c r="LZ23" s="46">
        <v>45378</v>
      </c>
      <c r="MA23" s="234"/>
    </row>
    <row r="24" spans="1:339">
      <c r="A24" s="667" t="s">
        <v>2120</v>
      </c>
      <c r="B24" s="667"/>
      <c r="E24" s="569" t="s">
        <v>298</v>
      </c>
      <c r="F24" s="58"/>
      <c r="G24" s="667" t="s">
        <v>2120</v>
      </c>
      <c r="H24" s="667"/>
      <c r="K24" s="66" t="s">
        <v>1575</v>
      </c>
      <c r="L24" s="61">
        <v>0</v>
      </c>
      <c r="M24" s="675"/>
      <c r="N24" s="675"/>
      <c r="Q24" s="66" t="s">
        <v>1671</v>
      </c>
      <c r="R24" s="14">
        <v>0</v>
      </c>
      <c r="S24" s="675"/>
      <c r="T24" s="675"/>
      <c r="W24" s="66" t="s">
        <v>2206</v>
      </c>
      <c r="X24" s="14">
        <v>910.17</v>
      </c>
      <c r="Y24" s="675"/>
      <c r="Z24" s="675"/>
      <c r="AC24" s="73" t="s">
        <v>2207</v>
      </c>
      <c r="AD24" s="14">
        <v>90</v>
      </c>
      <c r="AE24" s="667" t="s">
        <v>2120</v>
      </c>
      <c r="AF24" s="667"/>
      <c r="AI24" s="72" t="s">
        <v>2208</v>
      </c>
      <c r="AJ24" s="14">
        <v>30</v>
      </c>
      <c r="AK24" s="667" t="s">
        <v>2120</v>
      </c>
      <c r="AL24" s="667"/>
      <c r="AO24" s="66" t="s">
        <v>1575</v>
      </c>
      <c r="AP24" s="61">
        <v>0</v>
      </c>
      <c r="AQ24" s="61" t="s">
        <v>2209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1963</v>
      </c>
      <c r="BF24" s="61">
        <v>54.83</v>
      </c>
      <c r="BG24" s="667"/>
      <c r="BH24" s="667"/>
      <c r="BK24" s="89" t="s">
        <v>2210</v>
      </c>
      <c r="BL24" s="61">
        <v>48.54</v>
      </c>
      <c r="BM24" s="667"/>
      <c r="BN24" s="667"/>
      <c r="BQ24" s="89" t="s">
        <v>1963</v>
      </c>
      <c r="BR24" s="61">
        <v>50.15</v>
      </c>
      <c r="BS24" s="667" t="s">
        <v>2211</v>
      </c>
      <c r="BT24" s="667"/>
      <c r="BW24" s="89" t="s">
        <v>1963</v>
      </c>
      <c r="BX24" s="61">
        <v>48.54</v>
      </c>
      <c r="BY24" s="667"/>
      <c r="BZ24" s="667"/>
      <c r="CC24" s="89" t="s">
        <v>1963</v>
      </c>
      <c r="CD24" s="61">
        <v>142.91</v>
      </c>
      <c r="CE24" s="667"/>
      <c r="CF24" s="667"/>
      <c r="CI24" s="89" t="s">
        <v>2212</v>
      </c>
      <c r="CJ24" s="61">
        <v>35.049999999999997</v>
      </c>
      <c r="CK24" s="675"/>
      <c r="CL24" s="675"/>
      <c r="CO24" s="89" t="s">
        <v>1912</v>
      </c>
      <c r="CP24" s="61">
        <v>153.41</v>
      </c>
      <c r="CQ24" s="675" t="s">
        <v>2213</v>
      </c>
      <c r="CR24" s="675"/>
      <c r="CU24" s="89" t="s">
        <v>2170</v>
      </c>
      <c r="CV24" s="61">
        <v>32</v>
      </c>
      <c r="CW24" s="111" t="s">
        <v>2214</v>
      </c>
      <c r="CX24" s="111" t="s">
        <v>2215</v>
      </c>
      <c r="DA24" s="88" t="s">
        <v>2216</v>
      </c>
      <c r="DB24" s="61">
        <v>0</v>
      </c>
      <c r="DC24" s="111" t="s">
        <v>2169</v>
      </c>
      <c r="DD24" s="55"/>
      <c r="DE24" s="57" t="s">
        <v>2217</v>
      </c>
      <c r="DF24" s="43">
        <v>14</v>
      </c>
      <c r="DG24" s="115" t="s">
        <v>2218</v>
      </c>
      <c r="DH24" s="45">
        <v>152</v>
      </c>
      <c r="DI24" s="21" t="s">
        <v>2219</v>
      </c>
      <c r="DJ24" s="92">
        <v>40000</v>
      </c>
      <c r="DK24" s="61"/>
      <c r="DM24" s="88" t="s">
        <v>2220</v>
      </c>
      <c r="DN24" s="57">
        <v>118.12</v>
      </c>
      <c r="DO24" s="21" t="s">
        <v>2175</v>
      </c>
      <c r="DP24" s="92">
        <v>5000</v>
      </c>
      <c r="DQ24" s="61"/>
      <c r="DS24" s="88" t="s">
        <v>2221</v>
      </c>
      <c r="DT24" s="57">
        <v>10340.549999999999</v>
      </c>
      <c r="DU24" s="21" t="s">
        <v>2175</v>
      </c>
      <c r="DV24" s="92">
        <v>5000</v>
      </c>
      <c r="DY24" s="147" t="s">
        <v>2222</v>
      </c>
      <c r="DZ24" s="14">
        <v>20.100000000000001</v>
      </c>
      <c r="EA24" s="21" t="s">
        <v>2223</v>
      </c>
      <c r="EB24" s="92">
        <v>5000</v>
      </c>
      <c r="EE24" s="151">
        <v>100</v>
      </c>
      <c r="EF24" s="132">
        <f>EB11+EE24-EI9</f>
        <v>50</v>
      </c>
      <c r="EH24" s="49" t="s">
        <v>2036</v>
      </c>
      <c r="EI24" s="94">
        <v>5000</v>
      </c>
      <c r="EL24" s="147" t="s">
        <v>2224</v>
      </c>
      <c r="EM24" s="14">
        <v>70</v>
      </c>
      <c r="EN24" s="49" t="s">
        <v>1913</v>
      </c>
      <c r="EO24" s="94">
        <v>10000</v>
      </c>
      <c r="ER24" s="147" t="s">
        <v>2225</v>
      </c>
      <c r="ES24" s="14">
        <v>0</v>
      </c>
      <c r="ET24" s="61" t="s">
        <v>2226</v>
      </c>
      <c r="EU24" s="94">
        <v>0</v>
      </c>
      <c r="EW24" s="684"/>
      <c r="EX24" s="147" t="s">
        <v>2227</v>
      </c>
      <c r="EY24" s="14">
        <v>10</v>
      </c>
      <c r="EZ24" s="49" t="s">
        <v>2133</v>
      </c>
      <c r="FA24" s="94">
        <v>1000</v>
      </c>
      <c r="FB24" s="61"/>
      <c r="FC24" s="61"/>
      <c r="FD24" s="147" t="s">
        <v>2228</v>
      </c>
      <c r="FE24" s="14">
        <f>8*2</f>
        <v>16</v>
      </c>
      <c r="FF24" s="49" t="s">
        <v>2133</v>
      </c>
      <c r="FG24" s="94">
        <v>1000</v>
      </c>
      <c r="FJ24" s="147" t="s">
        <v>2229</v>
      </c>
      <c r="FK24" s="14">
        <v>60.14</v>
      </c>
      <c r="FL24" s="49" t="s">
        <v>2083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2133</v>
      </c>
      <c r="FS24" s="94">
        <v>3000</v>
      </c>
      <c r="FT24" s="14" t="s">
        <v>2230</v>
      </c>
      <c r="FU24" s="14">
        <v>15.000999999999999</v>
      </c>
      <c r="FV24" s="164" t="s">
        <v>2231</v>
      </c>
      <c r="FW24" s="14">
        <v>18</v>
      </c>
      <c r="FX24" s="49" t="s">
        <v>2083</v>
      </c>
      <c r="FY24" s="94">
        <v>2000</v>
      </c>
      <c r="GB24" s="164" t="s">
        <v>2232</v>
      </c>
      <c r="GC24" s="14">
        <v>64</v>
      </c>
      <c r="GD24" s="49" t="s">
        <v>2083</v>
      </c>
      <c r="GE24" s="94">
        <v>2000</v>
      </c>
      <c r="GF24" s="14" t="s">
        <v>2233</v>
      </c>
      <c r="GG24" s="14">
        <f>989.5-1001</f>
        <v>-11.5</v>
      </c>
      <c r="GH24" s="164" t="s">
        <v>1984</v>
      </c>
      <c r="GI24" s="14">
        <v>64</v>
      </c>
      <c r="GJ24" s="49" t="s">
        <v>1752</v>
      </c>
      <c r="GK24" s="94">
        <v>4000</v>
      </c>
      <c r="GN24" s="164" t="s">
        <v>2089</v>
      </c>
      <c r="GO24" s="14">
        <v>10.96</v>
      </c>
      <c r="GP24" s="49" t="s">
        <v>2095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1931</v>
      </c>
      <c r="HA24" s="14">
        <f>15.19+14.56+13.54+14.83+17.61+15.15</f>
        <v>90.88</v>
      </c>
      <c r="HB24" s="49" t="s">
        <v>2095</v>
      </c>
      <c r="HC24" s="94">
        <v>4000</v>
      </c>
      <c r="HD24" s="14" t="s">
        <v>2234</v>
      </c>
      <c r="HF24" s="164" t="s">
        <v>1623</v>
      </c>
      <c r="HG24" s="14">
        <f>6.5+15+90</f>
        <v>111.5</v>
      </c>
      <c r="HH24" s="49" t="s">
        <v>2036</v>
      </c>
      <c r="HI24" s="94">
        <v>4000</v>
      </c>
      <c r="HJ24" s="161" t="s">
        <v>1283</v>
      </c>
      <c r="HK24" s="102">
        <f>SUM(HM7:HM7)</f>
        <v>1900.08</v>
      </c>
      <c r="HL24" s="14" t="s">
        <v>2235</v>
      </c>
      <c r="HM24" s="61">
        <v>130</v>
      </c>
      <c r="HN24" s="49" t="s">
        <v>1980</v>
      </c>
      <c r="HO24" s="94">
        <v>2000</v>
      </c>
      <c r="HQ24" s="183"/>
      <c r="HR24" s="147" t="s">
        <v>2236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1931</v>
      </c>
      <c r="HY24" s="192">
        <f>17.86+15.16+7.54+15.3+16.45+13.02</f>
        <v>85.33</v>
      </c>
      <c r="HZ24" s="63" t="s">
        <v>2100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1925</v>
      </c>
      <c r="IG24" s="14">
        <v>1002</v>
      </c>
      <c r="IJ24" s="147" t="s">
        <v>2237</v>
      </c>
      <c r="IK24" s="14">
        <v>60</v>
      </c>
      <c r="IL24" s="65" t="s">
        <v>2103</v>
      </c>
      <c r="IM24" s="14">
        <v>1004</v>
      </c>
      <c r="IO24" s="213"/>
      <c r="IP24" s="147" t="s">
        <v>2238</v>
      </c>
      <c r="IQ24" s="42">
        <v>40.5</v>
      </c>
      <c r="IR24" s="65" t="s">
        <v>2239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2240</v>
      </c>
      <c r="IW24" s="42">
        <v>45.2</v>
      </c>
      <c r="IX24" s="69" t="s">
        <v>2241</v>
      </c>
      <c r="JB24" s="164" t="s">
        <v>1937</v>
      </c>
      <c r="JC24" s="42">
        <v>96</v>
      </c>
      <c r="JD24" s="69"/>
      <c r="JF24" s="188"/>
      <c r="JG24" s="206"/>
      <c r="JH24" s="164" t="s">
        <v>2015</v>
      </c>
      <c r="JI24" s="42">
        <f>15.55+10+15.6+17.36+16.4+10+14.01+16.99+15.65</f>
        <v>131.56</v>
      </c>
      <c r="JJ24" s="65" t="s">
        <v>2103</v>
      </c>
      <c r="JK24" s="14">
        <v>1000</v>
      </c>
      <c r="JL24" s="193"/>
      <c r="JN24" s="147" t="s">
        <v>2242</v>
      </c>
      <c r="JO24" s="42">
        <f>9+2</f>
        <v>11</v>
      </c>
      <c r="JP24" s="69" t="s">
        <v>2243</v>
      </c>
      <c r="JQ24" s="44">
        <v>14.8</v>
      </c>
      <c r="JR24" s="47" t="s">
        <v>2244</v>
      </c>
      <c r="JS24" s="47"/>
      <c r="JT24" s="147" t="s">
        <v>2245</v>
      </c>
      <c r="JU24" s="42">
        <v>48.2</v>
      </c>
      <c r="JV24" s="69" t="s">
        <v>2246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2247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2337</v>
      </c>
      <c r="KG24" s="101">
        <v>63.1</v>
      </c>
      <c r="KH24" s="63" t="s">
        <v>1651</v>
      </c>
      <c r="KI24" s="234">
        <v>408</v>
      </c>
      <c r="KJ24" s="61" t="s">
        <v>2249</v>
      </c>
      <c r="KK24" s="14">
        <f>20000*(1-0.9814)</f>
        <v>371.99999999999898</v>
      </c>
      <c r="KL24" s="67" t="s">
        <v>1947</v>
      </c>
      <c r="KM24" s="42">
        <v>10.8</v>
      </c>
      <c r="KN24" s="63" t="s">
        <v>1585</v>
      </c>
      <c r="KO24" s="44">
        <v>520</v>
      </c>
      <c r="KP24" s="61" t="s">
        <v>2250</v>
      </c>
      <c r="KQ24" s="180">
        <v>2650.71</v>
      </c>
      <c r="KR24" s="67" t="s">
        <v>2251</v>
      </c>
      <c r="KS24" s="45">
        <v>131.87</v>
      </c>
      <c r="KT24" s="63" t="s">
        <v>1651</v>
      </c>
      <c r="KU24" s="234">
        <v>41061</v>
      </c>
      <c r="KV24" s="61" t="s">
        <v>2252</v>
      </c>
      <c r="KW24" s="206">
        <f>5000*2*(1-0.98105)</f>
        <v>189.50000000000023</v>
      </c>
      <c r="KX24" s="67" t="s">
        <v>1952</v>
      </c>
      <c r="KY24" s="80">
        <v>142.22</v>
      </c>
      <c r="KZ24" s="63" t="s">
        <v>2161</v>
      </c>
      <c r="LA24" s="44">
        <v>10</v>
      </c>
      <c r="LC24" s="49"/>
      <c r="LD24" s="67" t="s">
        <v>1654</v>
      </c>
      <c r="LE24" s="42">
        <v>72.06</v>
      </c>
      <c r="LF24" s="65" t="s">
        <v>2103</v>
      </c>
      <c r="LG24" s="44">
        <v>1000</v>
      </c>
      <c r="LH24" s="61"/>
      <c r="LJ24" s="67" t="s">
        <v>2254</v>
      </c>
      <c r="LK24" s="45">
        <v>152.15</v>
      </c>
      <c r="LL24" s="65" t="s">
        <v>2103</v>
      </c>
      <c r="LM24" s="44">
        <v>1000</v>
      </c>
      <c r="LN24" s="61" t="s">
        <v>2255</v>
      </c>
      <c r="LO24" s="250">
        <v>288.38</v>
      </c>
      <c r="LP24" s="67" t="s">
        <v>2256</v>
      </c>
      <c r="LQ24" s="45">
        <f>3.87</f>
        <v>3.87</v>
      </c>
      <c r="LR24" s="65" t="s">
        <v>2103</v>
      </c>
      <c r="LS24" s="44">
        <v>1000</v>
      </c>
      <c r="LT24" s="604" t="s">
        <v>3375</v>
      </c>
      <c r="LU24" s="604">
        <f>132.65*2</f>
        <v>265.3</v>
      </c>
      <c r="LV24" s="67" t="s">
        <v>2073</v>
      </c>
      <c r="LW24" s="57">
        <v>202.58</v>
      </c>
      <c r="LX24" s="63" t="s">
        <v>2161</v>
      </c>
      <c r="LY24" s="44">
        <v>10</v>
      </c>
      <c r="LZ24" s="46">
        <v>45378</v>
      </c>
      <c r="MA24" s="234"/>
    </row>
    <row r="25" spans="1:339">
      <c r="A25" s="675"/>
      <c r="B25" s="675"/>
      <c r="E25" s="568" t="s">
        <v>413</v>
      </c>
      <c r="F25" s="53"/>
      <c r="G25" s="675"/>
      <c r="H25" s="675"/>
      <c r="K25" s="66" t="s">
        <v>2257</v>
      </c>
      <c r="L25" s="14">
        <f>910+40</f>
        <v>950</v>
      </c>
      <c r="M25" s="675"/>
      <c r="N25" s="675"/>
      <c r="Q25" s="66" t="s">
        <v>1735</v>
      </c>
      <c r="R25" s="14">
        <v>0</v>
      </c>
      <c r="S25" s="675"/>
      <c r="T25" s="675"/>
      <c r="W25" s="67" t="s">
        <v>2258</v>
      </c>
      <c r="X25" s="14">
        <v>110.58</v>
      </c>
      <c r="Y25" s="675"/>
      <c r="Z25" s="675"/>
      <c r="AE25" s="675"/>
      <c r="AF25" s="675"/>
      <c r="AK25" s="675"/>
      <c r="AL25" s="675"/>
      <c r="AO25" s="67" t="s">
        <v>2259</v>
      </c>
      <c r="AP25" s="61">
        <v>33</v>
      </c>
      <c r="AR25" s="14"/>
      <c r="AU25" s="67" t="s">
        <v>2260</v>
      </c>
      <c r="AV25" s="61">
        <v>172.57</v>
      </c>
      <c r="AW25" s="675"/>
      <c r="AX25" s="675"/>
      <c r="AY25" s="67"/>
      <c r="AZ25" s="61"/>
      <c r="BA25" s="675"/>
      <c r="BB25" s="675"/>
      <c r="BE25" s="67" t="s">
        <v>1623</v>
      </c>
      <c r="BF25" s="61">
        <f>6.5*2</f>
        <v>13</v>
      </c>
      <c r="BG25" s="675"/>
      <c r="BH25" s="675"/>
      <c r="BK25" s="89" t="s">
        <v>1623</v>
      </c>
      <c r="BL25" s="61">
        <f>6.5*2</f>
        <v>13</v>
      </c>
      <c r="BM25" s="675"/>
      <c r="BN25" s="675"/>
      <c r="BQ25" s="89" t="s">
        <v>1623</v>
      </c>
      <c r="BR25" s="61">
        <v>13</v>
      </c>
      <c r="BS25" s="675"/>
      <c r="BT25" s="675"/>
      <c r="BW25" s="89" t="s">
        <v>1623</v>
      </c>
      <c r="BX25" s="61">
        <v>13</v>
      </c>
      <c r="BY25" s="675"/>
      <c r="BZ25" s="675"/>
      <c r="CC25" s="89" t="s">
        <v>1623</v>
      </c>
      <c r="CD25" s="61">
        <v>13</v>
      </c>
      <c r="CE25" s="675"/>
      <c r="CF25" s="675"/>
      <c r="CI25" s="89" t="s">
        <v>1623</v>
      </c>
      <c r="CJ25" s="61">
        <v>13</v>
      </c>
      <c r="CK25" s="568" t="s">
        <v>399</v>
      </c>
      <c r="CO25" s="89" t="s">
        <v>2127</v>
      </c>
      <c r="CP25" s="61">
        <v>53.24</v>
      </c>
      <c r="CQ25" s="69"/>
      <c r="CR25" s="69"/>
      <c r="CU25" s="89" t="s">
        <v>2121</v>
      </c>
      <c r="CV25" s="61">
        <v>100.001</v>
      </c>
      <c r="CW25" s="111" t="s">
        <v>2261</v>
      </c>
      <c r="CX25" s="111" t="s">
        <v>2262</v>
      </c>
      <c r="DA25" s="118" t="s">
        <v>2208</v>
      </c>
      <c r="DB25" s="43">
        <v>52.3</v>
      </c>
      <c r="DC25" s="111" t="s">
        <v>2263</v>
      </c>
      <c r="DD25" s="111">
        <v>81</v>
      </c>
      <c r="DG25" s="115" t="s">
        <v>2264</v>
      </c>
      <c r="DH25" s="45">
        <v>378.81</v>
      </c>
      <c r="DI25" s="21" t="s">
        <v>2265</v>
      </c>
      <c r="DJ25" s="92">
        <v>10000</v>
      </c>
      <c r="DM25" s="88" t="s">
        <v>1800</v>
      </c>
      <c r="DN25" s="57"/>
      <c r="DO25" s="21" t="s">
        <v>2223</v>
      </c>
      <c r="DP25" s="92">
        <v>5000</v>
      </c>
      <c r="DS25" s="88" t="s">
        <v>1984</v>
      </c>
      <c r="DT25" s="57">
        <v>64</v>
      </c>
      <c r="DU25" s="21" t="s">
        <v>2223</v>
      </c>
      <c r="DV25" s="92">
        <v>5000</v>
      </c>
      <c r="DY25" s="678" t="s">
        <v>2176</v>
      </c>
      <c r="DZ25" s="679"/>
      <c r="EA25" s="21" t="s">
        <v>2266</v>
      </c>
      <c r="EB25" s="92">
        <v>5000</v>
      </c>
      <c r="EE25" s="150" t="s">
        <v>2267</v>
      </c>
      <c r="EF25" s="152"/>
      <c r="EH25" s="49" t="s">
        <v>2268</v>
      </c>
      <c r="EI25" s="94">
        <v>0</v>
      </c>
      <c r="EL25" s="147" t="s">
        <v>2225</v>
      </c>
      <c r="EM25" s="14">
        <v>7</v>
      </c>
      <c r="EN25" s="49" t="s">
        <v>2268</v>
      </c>
      <c r="EO25" s="94">
        <v>0</v>
      </c>
      <c r="ER25" s="677" t="s">
        <v>2176</v>
      </c>
      <c r="ES25" s="677"/>
      <c r="ET25" s="49" t="s">
        <v>1859</v>
      </c>
      <c r="EU25" s="94">
        <v>20000</v>
      </c>
      <c r="EW25" s="684"/>
      <c r="EX25" s="147" t="s">
        <v>2269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2270</v>
      </c>
      <c r="FE25" s="14">
        <v>33.9</v>
      </c>
      <c r="FF25" s="49" t="s">
        <v>1806</v>
      </c>
      <c r="FG25" s="94">
        <v>15000</v>
      </c>
      <c r="FJ25" s="147" t="s">
        <v>2271</v>
      </c>
      <c r="FK25" s="14">
        <v>7.3</v>
      </c>
      <c r="FL25" s="49" t="s">
        <v>2133</v>
      </c>
      <c r="FM25" s="94">
        <v>3000</v>
      </c>
      <c r="FN25" s="61"/>
      <c r="FO25" s="64"/>
      <c r="FP25" s="164" t="s">
        <v>2081</v>
      </c>
      <c r="FQ25" s="14">
        <f>7.74+13.99+8.86+10.74+6.17</f>
        <v>47.5</v>
      </c>
      <c r="FR25" s="49" t="s">
        <v>2133</v>
      </c>
      <c r="FS25" s="94">
        <v>1000</v>
      </c>
      <c r="FT25" s="14" t="s">
        <v>2041</v>
      </c>
      <c r="FU25" s="14">
        <f>1346.59-FU20</f>
        <v>146.58999999999992</v>
      </c>
      <c r="FV25" s="164" t="s">
        <v>2081</v>
      </c>
      <c r="FW25" s="14">
        <f>15.09+8.94+6.74+13.3+10+14.76</f>
        <v>68.830000000000013</v>
      </c>
      <c r="FX25" s="49" t="s">
        <v>2133</v>
      </c>
      <c r="FY25" s="94">
        <v>3000</v>
      </c>
      <c r="GB25" s="164" t="s">
        <v>2272</v>
      </c>
      <c r="GC25" s="14">
        <v>6</v>
      </c>
      <c r="GD25" s="49" t="s">
        <v>2133</v>
      </c>
      <c r="GE25" s="94">
        <v>3000</v>
      </c>
      <c r="GH25" s="164" t="s">
        <v>2273</v>
      </c>
      <c r="GI25" s="14">
        <v>11.24</v>
      </c>
      <c r="GJ25" s="49" t="s">
        <v>1858</v>
      </c>
      <c r="GK25" s="94">
        <v>25000</v>
      </c>
      <c r="GN25" s="164" t="s">
        <v>1984</v>
      </c>
      <c r="GO25" s="14" t="s">
        <v>2035</v>
      </c>
      <c r="GP25" s="49" t="s">
        <v>1637</v>
      </c>
      <c r="GQ25" s="94">
        <v>25000</v>
      </c>
      <c r="GT25" s="164" t="s">
        <v>1931</v>
      </c>
      <c r="GU25" s="14">
        <f>19.42+13.02+12.12+17.99+16.7+14.44</f>
        <v>93.69</v>
      </c>
      <c r="GV25" s="49" t="s">
        <v>1980</v>
      </c>
      <c r="GW25" s="94">
        <v>2000</v>
      </c>
      <c r="GX25" s="61"/>
      <c r="GZ25" s="147" t="s">
        <v>2274</v>
      </c>
      <c r="HA25" s="14">
        <f>35+4</f>
        <v>39</v>
      </c>
      <c r="HB25" s="49" t="s">
        <v>1637</v>
      </c>
      <c r="HC25" s="94">
        <v>25000</v>
      </c>
      <c r="HD25" s="14" t="s">
        <v>2275</v>
      </c>
      <c r="HF25" s="164" t="s">
        <v>2276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2277</v>
      </c>
      <c r="HM25" s="43">
        <v>530</v>
      </c>
      <c r="HN25" s="49" t="s">
        <v>2036</v>
      </c>
      <c r="HO25" s="94">
        <v>4000</v>
      </c>
      <c r="HQ25" s="183"/>
      <c r="HR25" s="147" t="s">
        <v>2278</v>
      </c>
      <c r="HS25" s="14">
        <v>26.6</v>
      </c>
      <c r="HT25" s="77" t="s">
        <v>2279</v>
      </c>
      <c r="HV25" s="72" t="s">
        <v>1329</v>
      </c>
      <c r="HW25" s="102">
        <f>SUM(HY10:HY15)</f>
        <v>185426.5633333333</v>
      </c>
      <c r="HX25" s="147" t="s">
        <v>2280</v>
      </c>
      <c r="HY25" s="14">
        <f>10+10</f>
        <v>20</v>
      </c>
      <c r="HZ25" s="49" t="s">
        <v>2281</v>
      </c>
      <c r="IA25" s="94">
        <v>-13000</v>
      </c>
      <c r="IB25" s="680" t="s">
        <v>2146</v>
      </c>
      <c r="IC25" s="680"/>
      <c r="ID25" s="164" t="s">
        <v>2143</v>
      </c>
      <c r="IE25" s="14">
        <v>32</v>
      </c>
      <c r="IF25" s="65" t="s">
        <v>2282</v>
      </c>
      <c r="IG25" s="14">
        <v>4</v>
      </c>
      <c r="IH25" s="14" t="s">
        <v>1766</v>
      </c>
      <c r="II25" s="213"/>
      <c r="IJ25" s="147" t="s">
        <v>2283</v>
      </c>
      <c r="IK25" s="14">
        <v>10</v>
      </c>
      <c r="IL25" s="65" t="s">
        <v>2282</v>
      </c>
      <c r="IM25" s="14">
        <v>4</v>
      </c>
      <c r="IO25" s="213"/>
      <c r="IP25" s="147" t="s">
        <v>2284</v>
      </c>
      <c r="IQ25" s="42">
        <v>88.51</v>
      </c>
      <c r="IR25" s="65" t="s">
        <v>2285</v>
      </c>
      <c r="IS25" s="14" t="s">
        <v>2286</v>
      </c>
      <c r="IT25" s="169" t="s">
        <v>1320</v>
      </c>
      <c r="IU25" s="168">
        <f>SUM(IW10:IW12)</f>
        <v>2514.06</v>
      </c>
      <c r="IV25" s="147" t="s">
        <v>2287</v>
      </c>
      <c r="IW25" s="42">
        <v>54.7</v>
      </c>
      <c r="IX25" s="69"/>
      <c r="IY25" s="69"/>
      <c r="IZ25" s="188"/>
      <c r="JA25" s="206"/>
      <c r="JB25" s="164" t="s">
        <v>2015</v>
      </c>
      <c r="JC25" s="42">
        <f>17.98+13.67+17.8+15.37+10+15+12.85</f>
        <v>102.67</v>
      </c>
      <c r="JD25" s="69"/>
      <c r="JF25" s="193"/>
      <c r="JH25" s="147" t="s">
        <v>2288</v>
      </c>
      <c r="JI25" s="42">
        <v>20</v>
      </c>
      <c r="JJ25" s="69" t="s">
        <v>2152</v>
      </c>
      <c r="JN25" s="147" t="s">
        <v>2289</v>
      </c>
      <c r="JO25" s="42">
        <v>16.100000000000001</v>
      </c>
      <c r="JP25" s="69" t="s">
        <v>2152</v>
      </c>
      <c r="JQ25" s="44"/>
      <c r="JR25" s="249" t="s">
        <v>1283</v>
      </c>
      <c r="JS25" s="91">
        <f>SUM(JU6:JU7)</f>
        <v>3900.06</v>
      </c>
      <c r="JT25" s="147" t="s">
        <v>2290</v>
      </c>
      <c r="JU25" s="42">
        <v>68.900000000000006</v>
      </c>
      <c r="JV25" s="69" t="s">
        <v>2241</v>
      </c>
      <c r="JW25" s="42"/>
      <c r="JZ25" s="164" t="s">
        <v>2291</v>
      </c>
      <c r="KA25" s="42">
        <v>219</v>
      </c>
      <c r="KB25" s="69"/>
      <c r="KC25" s="42"/>
      <c r="KF25" s="147" t="s">
        <v>2393</v>
      </c>
      <c r="KG25" s="101">
        <v>45.74</v>
      </c>
      <c r="KH25" s="63" t="s">
        <v>1884</v>
      </c>
      <c r="KI25" s="44" t="s">
        <v>1997</v>
      </c>
      <c r="KJ25" s="61" t="s">
        <v>2293</v>
      </c>
      <c r="KK25" s="14">
        <f>20000*(1-0.97971)</f>
        <v>405.80000000000058</v>
      </c>
      <c r="KL25" s="67" t="s">
        <v>2015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2294</v>
      </c>
      <c r="KR25" s="67" t="s">
        <v>1623</v>
      </c>
      <c r="KS25" s="42">
        <f>15+6.5</f>
        <v>21.5</v>
      </c>
      <c r="KT25" s="63" t="s">
        <v>2161</v>
      </c>
      <c r="KU25" s="44">
        <v>10</v>
      </c>
      <c r="KV25" s="61"/>
      <c r="KX25" s="67" t="s">
        <v>2163</v>
      </c>
      <c r="KY25" s="56">
        <v>176.15</v>
      </c>
      <c r="KZ25" s="49" t="s">
        <v>2203</v>
      </c>
      <c r="LA25" s="44">
        <v>90</v>
      </c>
      <c r="LD25" s="67" t="s">
        <v>2295</v>
      </c>
      <c r="LE25" s="42">
        <v>30</v>
      </c>
      <c r="LF25" s="65" t="s">
        <v>2296</v>
      </c>
      <c r="LG25" s="44"/>
      <c r="LJ25" s="67" t="s">
        <v>2297</v>
      </c>
      <c r="LK25" s="45">
        <v>153.1</v>
      </c>
      <c r="LL25" s="69" t="s">
        <v>2241</v>
      </c>
      <c r="LM25" s="42"/>
      <c r="LN25" s="61" t="s">
        <v>2298</v>
      </c>
      <c r="LO25" s="42">
        <v>3.95</v>
      </c>
      <c r="LP25" s="67" t="s">
        <v>1623</v>
      </c>
      <c r="LQ25" s="42">
        <v>10</v>
      </c>
      <c r="LR25" s="69" t="s">
        <v>2241</v>
      </c>
      <c r="LS25" s="42"/>
      <c r="LT25" s="604"/>
      <c r="LU25" s="604"/>
      <c r="LV25" s="67" t="s">
        <v>1654</v>
      </c>
      <c r="LW25" s="42">
        <v>56.41</v>
      </c>
      <c r="LX25" s="49" t="s">
        <v>2203</v>
      </c>
      <c r="LY25" s="44">
        <v>160</v>
      </c>
      <c r="LZ25" s="46">
        <v>45378</v>
      </c>
      <c r="MA25" s="234"/>
    </row>
    <row r="26" spans="1:339">
      <c r="A26" s="675"/>
      <c r="B26" s="675"/>
      <c r="F26" s="62"/>
      <c r="G26" s="675"/>
      <c r="H26" s="675"/>
      <c r="M26" s="676" t="s">
        <v>399</v>
      </c>
      <c r="N26" s="675"/>
      <c r="Q26" s="66" t="s">
        <v>1789</v>
      </c>
      <c r="R26" s="14">
        <v>0</v>
      </c>
      <c r="S26" s="676" t="s">
        <v>399</v>
      </c>
      <c r="T26" s="675"/>
      <c r="W26" s="67" t="s">
        <v>1963</v>
      </c>
      <c r="X26" s="14">
        <v>60.75</v>
      </c>
      <c r="Y26" s="675"/>
      <c r="Z26" s="675"/>
      <c r="AC26" s="21" t="s">
        <v>2299</v>
      </c>
      <c r="AD26" s="21"/>
      <c r="AE26" s="676" t="s">
        <v>399</v>
      </c>
      <c r="AF26" s="675"/>
      <c r="AI26" s="61" t="s">
        <v>2300</v>
      </c>
      <c r="AJ26" s="14">
        <v>210</v>
      </c>
      <c r="AK26" s="568" t="s">
        <v>399</v>
      </c>
      <c r="AL26" s="568" t="s">
        <v>399</v>
      </c>
      <c r="AO26" s="67" t="s">
        <v>2301</v>
      </c>
      <c r="AP26" s="61">
        <v>28.94</v>
      </c>
      <c r="AQ26" s="568" t="s">
        <v>399</v>
      </c>
      <c r="AR26" s="14"/>
      <c r="AU26" s="67" t="s">
        <v>2302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2027</v>
      </c>
      <c r="BF26" s="61">
        <v>155.44999999999999</v>
      </c>
      <c r="BG26" s="568" t="s">
        <v>399</v>
      </c>
      <c r="BH26" s="14"/>
      <c r="BK26" s="89" t="s">
        <v>2027</v>
      </c>
      <c r="BL26" s="61">
        <v>134.08000000000001</v>
      </c>
      <c r="BM26" s="568" t="s">
        <v>399</v>
      </c>
      <c r="BN26" s="14"/>
      <c r="BQ26" s="89" t="s">
        <v>2027</v>
      </c>
      <c r="BR26" s="61">
        <v>130.34</v>
      </c>
      <c r="BS26" s="568" t="s">
        <v>399</v>
      </c>
      <c r="BW26" s="89" t="s">
        <v>2027</v>
      </c>
      <c r="BX26" s="61">
        <v>138.9</v>
      </c>
      <c r="BY26" s="568" t="s">
        <v>399</v>
      </c>
      <c r="CC26" s="89" t="s">
        <v>1912</v>
      </c>
      <c r="CD26" s="61">
        <v>138.30000000000001</v>
      </c>
      <c r="CE26" s="568" t="s">
        <v>399</v>
      </c>
      <c r="CI26" s="89" t="s">
        <v>1912</v>
      </c>
      <c r="CJ26" s="61">
        <v>137.85</v>
      </c>
      <c r="CK26" s="69" t="s">
        <v>2303</v>
      </c>
      <c r="CL26" s="57"/>
      <c r="CO26" s="89" t="s">
        <v>2170</v>
      </c>
      <c r="CP26" s="61">
        <v>64</v>
      </c>
      <c r="CQ26" s="568" t="s">
        <v>399</v>
      </c>
      <c r="CU26" s="103" t="s">
        <v>2304</v>
      </c>
      <c r="CV26" s="61">
        <f>16.33+8.5</f>
        <v>24.83</v>
      </c>
      <c r="CW26" s="111" t="s">
        <v>2305</v>
      </c>
      <c r="CX26" s="585" t="s">
        <v>2306</v>
      </c>
      <c r="DA26" s="118" t="s">
        <v>2307</v>
      </c>
      <c r="DB26" s="43">
        <v>43.31</v>
      </c>
      <c r="DC26" s="111" t="s">
        <v>2308</v>
      </c>
      <c r="DD26" s="111">
        <v>101</v>
      </c>
      <c r="DG26" s="116" t="s">
        <v>1851</v>
      </c>
      <c r="DH26" s="45">
        <f>395.9+637.65</f>
        <v>1033.55</v>
      </c>
      <c r="DI26" s="21" t="s">
        <v>2309</v>
      </c>
      <c r="DJ26" s="22" t="s">
        <v>1861</v>
      </c>
      <c r="DM26" s="88" t="s">
        <v>1623</v>
      </c>
      <c r="DN26" s="57">
        <f>13+30</f>
        <v>43</v>
      </c>
      <c r="DO26" s="21" t="s">
        <v>2266</v>
      </c>
      <c r="DP26" s="92">
        <v>5000</v>
      </c>
      <c r="DS26" s="88" t="s">
        <v>2310</v>
      </c>
      <c r="DT26" s="57">
        <v>35</v>
      </c>
      <c r="DU26" s="21" t="s">
        <v>2266</v>
      </c>
      <c r="DV26" s="92">
        <v>5000</v>
      </c>
      <c r="DY26" s="151">
        <v>100</v>
      </c>
      <c r="DZ26" s="132">
        <f>DV12+DY26-EB11</f>
        <v>140</v>
      </c>
      <c r="EA26" s="21" t="s">
        <v>2311</v>
      </c>
      <c r="EB26" s="92">
        <v>5000</v>
      </c>
      <c r="EE26" s="21" t="s">
        <v>2312</v>
      </c>
      <c r="EF26" s="21"/>
      <c r="EG26" s="158"/>
      <c r="EH26" s="77" t="s">
        <v>2313</v>
      </c>
      <c r="EI26" s="77"/>
      <c r="EL26" s="147" t="s">
        <v>2314</v>
      </c>
      <c r="EM26" s="14">
        <v>9.9</v>
      </c>
      <c r="EN26" s="77" t="s">
        <v>2313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77" t="s">
        <v>2176</v>
      </c>
      <c r="EY26" s="677"/>
      <c r="EZ26" s="49" t="s">
        <v>1859</v>
      </c>
      <c r="FA26" s="94">
        <v>30000</v>
      </c>
      <c r="FD26" s="147" t="s">
        <v>2315</v>
      </c>
      <c r="FE26" s="14">
        <v>57.12</v>
      </c>
      <c r="FF26" s="49" t="s">
        <v>1859</v>
      </c>
      <c r="FG26" s="94">
        <v>30000</v>
      </c>
      <c r="FJ26" s="147" t="s">
        <v>2316</v>
      </c>
      <c r="FK26" s="14">
        <f>40.89-20</f>
        <v>20.89</v>
      </c>
      <c r="FL26" s="49" t="s">
        <v>2133</v>
      </c>
      <c r="FM26" s="94">
        <v>1000</v>
      </c>
      <c r="FN26" s="61"/>
      <c r="FO26" s="61"/>
      <c r="FP26" s="147" t="s">
        <v>2317</v>
      </c>
      <c r="FQ26" s="14">
        <v>49.7</v>
      </c>
      <c r="FR26" s="49" t="s">
        <v>1859</v>
      </c>
      <c r="FS26" s="94">
        <v>10000</v>
      </c>
      <c r="FT26" s="568" t="s">
        <v>2088</v>
      </c>
      <c r="FU26" s="14">
        <f>242.32-FU21</f>
        <v>42.319999999999993</v>
      </c>
      <c r="FV26" s="147" t="s">
        <v>2189</v>
      </c>
      <c r="FW26" s="14">
        <v>70</v>
      </c>
      <c r="FX26" s="49" t="s">
        <v>2133</v>
      </c>
      <c r="FY26" s="94">
        <v>1000</v>
      </c>
      <c r="FZ26" s="61"/>
      <c r="GB26" s="164" t="s">
        <v>2231</v>
      </c>
      <c r="GC26" s="14">
        <v>9</v>
      </c>
      <c r="GD26" s="49" t="s">
        <v>2133</v>
      </c>
      <c r="GE26" s="94">
        <v>1000</v>
      </c>
      <c r="GH26" s="164" t="s">
        <v>2231</v>
      </c>
      <c r="GI26" s="14">
        <v>9</v>
      </c>
      <c r="GJ26" s="49" t="s">
        <v>2083</v>
      </c>
      <c r="GK26" s="94">
        <v>2000</v>
      </c>
      <c r="GL26" s="61"/>
      <c r="GN26" s="164" t="s">
        <v>2231</v>
      </c>
      <c r="GO26" s="14">
        <v>9</v>
      </c>
      <c r="GP26" s="49" t="s">
        <v>1980</v>
      </c>
      <c r="GQ26" s="94">
        <v>2000</v>
      </c>
      <c r="GT26" s="147" t="s">
        <v>2318</v>
      </c>
      <c r="GU26" s="14">
        <v>8</v>
      </c>
      <c r="GV26" s="49" t="s">
        <v>2036</v>
      </c>
      <c r="GW26" s="94">
        <v>4000</v>
      </c>
      <c r="GX26" s="49"/>
      <c r="GY26" s="64"/>
      <c r="GZ26" s="147" t="s">
        <v>2319</v>
      </c>
      <c r="HA26" s="14">
        <v>20</v>
      </c>
      <c r="HB26" s="49" t="s">
        <v>1980</v>
      </c>
      <c r="HC26" s="94">
        <v>2000</v>
      </c>
      <c r="HD26" s="69"/>
      <c r="HF26" s="164" t="s">
        <v>1984</v>
      </c>
      <c r="HG26" s="14">
        <v>64</v>
      </c>
      <c r="HH26" s="77" t="s">
        <v>2313</v>
      </c>
      <c r="HI26" s="97"/>
      <c r="HJ26" s="154" t="s">
        <v>1320</v>
      </c>
      <c r="HK26" s="14">
        <v>0</v>
      </c>
      <c r="HL26" s="196">
        <v>32.770000000000003</v>
      </c>
      <c r="HM26" s="43" t="s">
        <v>2320</v>
      </c>
      <c r="HN26" s="77" t="s">
        <v>2313</v>
      </c>
      <c r="HO26" s="97"/>
      <c r="HP26" s="680" t="s">
        <v>2146</v>
      </c>
      <c r="HQ26" s="680"/>
      <c r="HR26" s="147" t="s">
        <v>2321</v>
      </c>
      <c r="HS26" s="14">
        <v>10</v>
      </c>
      <c r="HT26" s="65" t="s">
        <v>2282</v>
      </c>
      <c r="HU26" s="14">
        <v>4</v>
      </c>
      <c r="HV26" s="157" t="s">
        <v>2322</v>
      </c>
      <c r="HW26" s="14">
        <f>SUM(HY9:HY9)</f>
        <v>535</v>
      </c>
      <c r="HX26" s="147" t="s">
        <v>2323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2015</v>
      </c>
      <c r="IE26" s="192">
        <f>11.74+10+9.21+17.04+10+12.34+15.71+10+15.63+10</f>
        <v>121.66999999999999</v>
      </c>
      <c r="IF26" s="61" t="s">
        <v>2324</v>
      </c>
      <c r="IG26" s="94"/>
      <c r="IH26" s="193" t="s">
        <v>2325</v>
      </c>
      <c r="II26" s="206">
        <v>19.45</v>
      </c>
      <c r="IJ26" s="147" t="s">
        <v>2326</v>
      </c>
      <c r="IK26" s="14">
        <f>91.7+12</f>
        <v>103.7</v>
      </c>
      <c r="IL26" s="69" t="s">
        <v>2327</v>
      </c>
      <c r="IM26" s="97"/>
      <c r="IN26" s="193"/>
      <c r="IO26" s="206"/>
      <c r="IP26" s="237" t="s">
        <v>2328</v>
      </c>
      <c r="IQ26" s="42">
        <v>58.4</v>
      </c>
      <c r="IR26" s="69" t="s">
        <v>2329</v>
      </c>
      <c r="IS26" s="14">
        <v>1000</v>
      </c>
      <c r="IT26" s="157" t="s">
        <v>2322</v>
      </c>
      <c r="IU26" s="168">
        <f>SUM(IW13:IW13)</f>
        <v>170</v>
      </c>
      <c r="IV26" s="14" t="s">
        <v>2330</v>
      </c>
      <c r="IW26" s="57">
        <f>2+59+11+23</f>
        <v>95</v>
      </c>
      <c r="IX26" s="69"/>
      <c r="IZ26" s="188"/>
      <c r="JA26" s="206"/>
      <c r="JB26" s="147" t="s">
        <v>2331</v>
      </c>
      <c r="JC26" s="42">
        <v>10</v>
      </c>
      <c r="JD26" s="65"/>
      <c r="JH26" s="147" t="s">
        <v>2332</v>
      </c>
      <c r="JI26" s="42">
        <v>30</v>
      </c>
      <c r="JJ26" s="69" t="s">
        <v>2241</v>
      </c>
      <c r="JL26" s="47" t="s">
        <v>2244</v>
      </c>
      <c r="JM26" s="47"/>
      <c r="JN26" s="147" t="s">
        <v>2333</v>
      </c>
      <c r="JO26" s="101">
        <v>42.9</v>
      </c>
      <c r="JP26" s="69" t="s">
        <v>2334</v>
      </c>
      <c r="JQ26" s="44">
        <v>15</v>
      </c>
      <c r="JR26" s="171" t="s">
        <v>2335</v>
      </c>
      <c r="JS26" s="91">
        <f>SUM(JU11:JU13)</f>
        <v>5390.235999999999</v>
      </c>
      <c r="JT26" s="147" t="s">
        <v>2336</v>
      </c>
      <c r="JU26" s="42">
        <v>41.5</v>
      </c>
      <c r="JV26" s="69"/>
      <c r="JW26" s="42"/>
      <c r="JZ26" s="164" t="s">
        <v>1942</v>
      </c>
      <c r="KA26" s="42">
        <v>30</v>
      </c>
      <c r="KB26" s="69" t="s">
        <v>2241</v>
      </c>
      <c r="KC26" s="42"/>
      <c r="KF26" s="147" t="s">
        <v>2441</v>
      </c>
      <c r="KG26" s="101">
        <v>21.12</v>
      </c>
      <c r="KH26" s="63" t="s">
        <v>1944</v>
      </c>
      <c r="KI26" s="44">
        <v>15</v>
      </c>
      <c r="KL26" s="147" t="s">
        <v>2338</v>
      </c>
      <c r="KM26" s="42">
        <f>80+115</f>
        <v>195</v>
      </c>
      <c r="KN26" s="77" t="s">
        <v>2339</v>
      </c>
      <c r="KO26" s="234"/>
      <c r="KQ26" s="49"/>
      <c r="KR26" s="67" t="s">
        <v>1832</v>
      </c>
      <c r="KS26" s="42">
        <f>14.32+9+9</f>
        <v>32.32</v>
      </c>
      <c r="KT26" s="49" t="s">
        <v>2203</v>
      </c>
      <c r="KU26" s="44">
        <v>100</v>
      </c>
      <c r="KV26" s="61"/>
      <c r="KX26" s="67" t="s">
        <v>1654</v>
      </c>
      <c r="KY26" s="42">
        <v>62.98</v>
      </c>
      <c r="KZ26" s="65" t="s">
        <v>2103</v>
      </c>
      <c r="LA26" s="44">
        <v>1000</v>
      </c>
      <c r="LD26" s="67" t="s">
        <v>2340</v>
      </c>
      <c r="LE26" s="42">
        <v>250</v>
      </c>
      <c r="LF26" s="69" t="s">
        <v>2152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2341</v>
      </c>
      <c r="LO26" s="42">
        <v>91.25</v>
      </c>
      <c r="LP26" s="67" t="s">
        <v>1832</v>
      </c>
      <c r="LQ26" s="42">
        <f>13.57+9*2</f>
        <v>31.57</v>
      </c>
      <c r="LR26" s="65" t="s">
        <v>2398</v>
      </c>
      <c r="LS26" s="44">
        <v>5000</v>
      </c>
      <c r="LT26" s="604"/>
      <c r="LU26" s="604"/>
      <c r="LV26" s="67" t="s">
        <v>2165</v>
      </c>
      <c r="LW26" s="42" t="s">
        <v>3353</v>
      </c>
      <c r="LX26" s="65" t="s">
        <v>2103</v>
      </c>
      <c r="LY26" s="44">
        <v>1000</v>
      </c>
    </row>
    <row r="27" spans="1:339" ht="12.75" customHeight="1">
      <c r="A27" s="675"/>
      <c r="B27" s="675"/>
      <c r="E27" s="571" t="s">
        <v>445</v>
      </c>
      <c r="F27" s="62"/>
      <c r="G27" s="675"/>
      <c r="H27" s="675"/>
      <c r="K27" s="67" t="s">
        <v>2342</v>
      </c>
      <c r="L27" s="14">
        <f>60</f>
        <v>60</v>
      </c>
      <c r="M27" s="676" t="s">
        <v>2343</v>
      </c>
      <c r="N27" s="675"/>
      <c r="Q27" s="66" t="s">
        <v>2344</v>
      </c>
      <c r="R27" s="61">
        <v>200</v>
      </c>
      <c r="S27" s="676" t="s">
        <v>2343</v>
      </c>
      <c r="T27" s="675"/>
      <c r="W27" s="67" t="s">
        <v>2027</v>
      </c>
      <c r="X27" s="14">
        <v>61.35</v>
      </c>
      <c r="Y27" s="676" t="s">
        <v>399</v>
      </c>
      <c r="Z27" s="675"/>
      <c r="AC27" s="21" t="s">
        <v>2345</v>
      </c>
      <c r="AD27" s="21">
        <f>53+207+63</f>
        <v>323</v>
      </c>
      <c r="AE27" s="676" t="s">
        <v>2343</v>
      </c>
      <c r="AF27" s="675"/>
      <c r="AI27" s="14" t="s">
        <v>2346</v>
      </c>
      <c r="AJ27" s="14">
        <f>299+19</f>
        <v>318</v>
      </c>
      <c r="AK27" s="568" t="s">
        <v>2343</v>
      </c>
      <c r="AL27" s="568" t="s">
        <v>2343</v>
      </c>
      <c r="AO27" s="67" t="s">
        <v>2347</v>
      </c>
      <c r="AP27" s="61">
        <v>43.86</v>
      </c>
      <c r="AQ27" s="568" t="s">
        <v>2343</v>
      </c>
      <c r="AR27" s="14"/>
      <c r="AU27" s="67" t="s">
        <v>2348</v>
      </c>
      <c r="AV27" s="61">
        <f>13+13</f>
        <v>26</v>
      </c>
      <c r="AW27" s="568" t="s">
        <v>2343</v>
      </c>
      <c r="AX27" s="14"/>
      <c r="AY27" s="67"/>
      <c r="AZ27" s="61"/>
      <c r="BA27" s="568" t="s">
        <v>2343</v>
      </c>
      <c r="BB27" s="14"/>
      <c r="BE27" s="67" t="s">
        <v>2349</v>
      </c>
      <c r="BF27" s="61" t="s">
        <v>756</v>
      </c>
      <c r="BG27" s="568" t="s">
        <v>2343</v>
      </c>
      <c r="BH27" s="14"/>
      <c r="BK27" s="89" t="s">
        <v>2349</v>
      </c>
      <c r="BL27" s="61">
        <v>11</v>
      </c>
      <c r="BM27" s="568" t="s">
        <v>2343</v>
      </c>
      <c r="BN27" s="14"/>
      <c r="BQ27" s="89" t="s">
        <v>2350</v>
      </c>
      <c r="BR27" s="61">
        <v>11</v>
      </c>
      <c r="BS27" s="568" t="s">
        <v>2343</v>
      </c>
      <c r="BW27" s="89" t="s">
        <v>2351</v>
      </c>
      <c r="BX27" s="61">
        <v>11</v>
      </c>
      <c r="BY27" s="568" t="s">
        <v>2343</v>
      </c>
      <c r="CC27" s="89" t="s">
        <v>2349</v>
      </c>
      <c r="CD27" s="61">
        <v>11</v>
      </c>
      <c r="CE27" s="568" t="s">
        <v>2343</v>
      </c>
      <c r="CI27" s="89" t="s">
        <v>2352</v>
      </c>
      <c r="CJ27" s="61">
        <v>53.24</v>
      </c>
      <c r="CK27" s="568" t="s">
        <v>2343</v>
      </c>
      <c r="CO27" s="89" t="s">
        <v>2121</v>
      </c>
      <c r="CP27" s="61">
        <v>100.001</v>
      </c>
      <c r="CQ27" s="568" t="s">
        <v>2343</v>
      </c>
      <c r="CU27" s="103" t="s">
        <v>2353</v>
      </c>
      <c r="CV27" s="43">
        <f>72+11+5.8</f>
        <v>88.8</v>
      </c>
      <c r="CW27" s="111" t="s">
        <v>2354</v>
      </c>
      <c r="CX27" s="585" t="s">
        <v>2355</v>
      </c>
      <c r="DA27" s="118" t="s">
        <v>2356</v>
      </c>
      <c r="DB27" s="61">
        <v>60</v>
      </c>
      <c r="DC27" s="111"/>
      <c r="DD27" s="112"/>
      <c r="DE27" s="43" t="s">
        <v>2357</v>
      </c>
      <c r="DG27" s="116" t="s">
        <v>1924</v>
      </c>
      <c r="DH27" s="119">
        <v>13.57</v>
      </c>
      <c r="DI27" s="21" t="s">
        <v>2358</v>
      </c>
      <c r="DJ27" s="22" t="s">
        <v>1861</v>
      </c>
      <c r="DM27" s="88" t="s">
        <v>1912</v>
      </c>
      <c r="DN27" s="57">
        <v>134.44999999999999</v>
      </c>
      <c r="DO27" s="21" t="s">
        <v>2311</v>
      </c>
      <c r="DP27" s="92">
        <v>5000</v>
      </c>
      <c r="DS27" s="88" t="s">
        <v>2081</v>
      </c>
      <c r="DT27" s="57">
        <f>12.32+17.25+(1.31*2)+9.98+13.82+14.98+2.1+2.02</f>
        <v>75.089999999999989</v>
      </c>
      <c r="DU27" s="21" t="s">
        <v>2311</v>
      </c>
      <c r="DV27" s="92">
        <v>5000</v>
      </c>
      <c r="DY27" s="150" t="s">
        <v>2359</v>
      </c>
      <c r="DZ27" s="152"/>
      <c r="EA27" s="21" t="s">
        <v>2360</v>
      </c>
      <c r="EB27" s="22" t="s">
        <v>740</v>
      </c>
      <c r="EE27" s="21" t="s">
        <v>2361</v>
      </c>
      <c r="EF27" s="21"/>
      <c r="EG27" s="159"/>
      <c r="EH27" s="49"/>
      <c r="EI27" s="49"/>
      <c r="EL27" s="147" t="s">
        <v>2362</v>
      </c>
      <c r="EM27" s="14">
        <v>64.849999999999994</v>
      </c>
      <c r="EN27" s="69" t="s">
        <v>2363</v>
      </c>
      <c r="EO27" s="102">
        <v>807.9</v>
      </c>
      <c r="ER27" s="152" t="s">
        <v>2364</v>
      </c>
      <c r="ES27" s="152"/>
      <c r="ET27" s="49" t="s">
        <v>1913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77" t="s">
        <v>2365</v>
      </c>
      <c r="FE27" s="677"/>
      <c r="FF27" s="49" t="s">
        <v>1854</v>
      </c>
      <c r="FG27" s="94">
        <v>11010</v>
      </c>
      <c r="FJ27" s="147" t="s">
        <v>2366</v>
      </c>
      <c r="FK27" s="14">
        <v>8</v>
      </c>
      <c r="FL27" s="61" t="s">
        <v>2367</v>
      </c>
      <c r="FM27" s="94" t="s">
        <v>1861</v>
      </c>
      <c r="FN27" s="61"/>
      <c r="FP27" s="147" t="s">
        <v>2368</v>
      </c>
      <c r="FQ27" s="14">
        <v>17.399999999999999</v>
      </c>
      <c r="FR27" s="49" t="s">
        <v>1854</v>
      </c>
      <c r="FS27" s="94">
        <v>1010</v>
      </c>
      <c r="FT27" s="14" t="s">
        <v>2135</v>
      </c>
      <c r="FU27" s="14">
        <f>1227.41-FU22</f>
        <v>33.550000000000182</v>
      </c>
      <c r="FV27" s="147" t="s">
        <v>2208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2081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2133</v>
      </c>
      <c r="GK27" s="94">
        <v>4000</v>
      </c>
      <c r="GL27" s="49"/>
      <c r="GM27" s="64"/>
      <c r="GN27" s="164" t="s">
        <v>2369</v>
      </c>
      <c r="GO27" s="14">
        <f>20+40+10+10</f>
        <v>80</v>
      </c>
      <c r="GP27" s="49" t="s">
        <v>2036</v>
      </c>
      <c r="GQ27" s="94">
        <v>4000</v>
      </c>
      <c r="GT27" s="147" t="s">
        <v>2370</v>
      </c>
      <c r="GU27" s="14">
        <f>15.74+43.21</f>
        <v>58.95</v>
      </c>
      <c r="GV27" s="61" t="s">
        <v>1756</v>
      </c>
      <c r="GW27" s="94">
        <v>300</v>
      </c>
      <c r="GZ27" s="147" t="s">
        <v>2371</v>
      </c>
      <c r="HA27" s="14">
        <v>20</v>
      </c>
      <c r="HB27" s="49" t="s">
        <v>2036</v>
      </c>
      <c r="HC27" s="94">
        <v>4000</v>
      </c>
      <c r="HD27" s="69"/>
      <c r="HE27" s="64"/>
      <c r="HF27" s="164" t="s">
        <v>1931</v>
      </c>
      <c r="HG27" s="14">
        <f>12.57+14.64+15.52+10+15.22+15.49+15.3</f>
        <v>98.74</v>
      </c>
      <c r="HH27" s="69" t="s">
        <v>2372</v>
      </c>
      <c r="HI27" s="101">
        <v>74.900000000000006</v>
      </c>
      <c r="HJ27" s="155" t="s">
        <v>2322</v>
      </c>
      <c r="HK27" s="14">
        <v>0</v>
      </c>
      <c r="HL27" s="172" t="s">
        <v>2373</v>
      </c>
      <c r="HM27" s="197">
        <f>HI16+HK31-HO18</f>
        <v>240</v>
      </c>
      <c r="HN27" s="182" t="s">
        <v>2374</v>
      </c>
      <c r="HO27" s="97">
        <v>21</v>
      </c>
      <c r="HP27" s="163" t="s">
        <v>1283</v>
      </c>
      <c r="HQ27" s="102">
        <f>SUM(HS6:HS6)</f>
        <v>1900.09</v>
      </c>
      <c r="HR27" s="147" t="s">
        <v>2375</v>
      </c>
      <c r="HS27" s="14">
        <v>10</v>
      </c>
      <c r="HT27" s="65" t="s">
        <v>1925</v>
      </c>
      <c r="HU27" s="14">
        <v>1000</v>
      </c>
      <c r="HV27" s="164" t="s">
        <v>2376</v>
      </c>
      <c r="HW27" s="192">
        <f>SUM(HY16:HY24)</f>
        <v>1033.9166666666667</v>
      </c>
      <c r="HX27" s="147" t="s">
        <v>2377</v>
      </c>
      <c r="HY27" s="14">
        <f>32.37+27.07</f>
        <v>59.44</v>
      </c>
      <c r="HZ27" s="65" t="s">
        <v>2378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2379</v>
      </c>
      <c r="IE27" s="14">
        <v>30</v>
      </c>
      <c r="IF27" s="69" t="s">
        <v>2380</v>
      </c>
      <c r="IG27" s="97">
        <v>127</v>
      </c>
      <c r="IH27" s="193" t="s">
        <v>2381</v>
      </c>
      <c r="II27" s="206">
        <v>19.45</v>
      </c>
      <c r="IJ27" s="147" t="s">
        <v>2382</v>
      </c>
      <c r="IK27" s="14">
        <v>6.8</v>
      </c>
      <c r="IL27" s="69" t="s">
        <v>2383</v>
      </c>
      <c r="IM27" s="14">
        <v>41</v>
      </c>
      <c r="IN27" s="193"/>
      <c r="IO27" s="206"/>
      <c r="IP27" s="147" t="s">
        <v>2384</v>
      </c>
      <c r="IQ27" s="42">
        <v>23.42</v>
      </c>
      <c r="IR27" s="69" t="s">
        <v>2385</v>
      </c>
      <c r="IS27" s="42">
        <v>260</v>
      </c>
      <c r="IT27" s="164" t="s">
        <v>2376</v>
      </c>
      <c r="IU27" s="168">
        <f>SUM(IW15:IW20)</f>
        <v>1471.3133333333333</v>
      </c>
      <c r="IV27" s="43" t="s">
        <v>2277</v>
      </c>
      <c r="IW27" s="45">
        <f>70+106+167+164+22.7</f>
        <v>529.70000000000005</v>
      </c>
      <c r="IX27" s="69"/>
      <c r="IZ27" s="193"/>
      <c r="JB27" s="147" t="s">
        <v>2386</v>
      </c>
      <c r="JC27" s="42">
        <v>7</v>
      </c>
      <c r="JD27" s="65"/>
      <c r="JF27" s="47" t="s">
        <v>2387</v>
      </c>
      <c r="JG27" s="47"/>
      <c r="JH27" s="147" t="s">
        <v>2388</v>
      </c>
      <c r="JI27" s="42">
        <f>55.72+65.82</f>
        <v>121.53999999999999</v>
      </c>
      <c r="JJ27" s="69" t="s">
        <v>2389</v>
      </c>
      <c r="JK27" s="14">
        <v>59.4</v>
      </c>
      <c r="JL27" s="71" t="s">
        <v>1283</v>
      </c>
      <c r="JM27" s="91">
        <f>SUM(JO6:JO7)</f>
        <v>2900.12</v>
      </c>
      <c r="JN27" s="147" t="s">
        <v>2390</v>
      </c>
      <c r="JO27" s="101">
        <v>131</v>
      </c>
      <c r="JP27" s="69" t="s">
        <v>2241</v>
      </c>
      <c r="JQ27" s="44"/>
      <c r="JR27" s="154" t="s">
        <v>1320</v>
      </c>
      <c r="JS27" s="44">
        <f>SUM(JU8:JU8)</f>
        <v>1476</v>
      </c>
      <c r="JT27" s="147" t="s">
        <v>2391</v>
      </c>
      <c r="JU27" s="101">
        <v>11</v>
      </c>
      <c r="JV27" s="69"/>
      <c r="JW27" s="42"/>
      <c r="JZ27" s="164" t="s">
        <v>2392</v>
      </c>
      <c r="KA27" s="45">
        <f>131.87*2</f>
        <v>263.74</v>
      </c>
      <c r="KB27" s="69"/>
      <c r="KC27" s="69"/>
      <c r="KF27" s="43" t="s">
        <v>2484</v>
      </c>
      <c r="KG27" s="45">
        <f>341+171</f>
        <v>512</v>
      </c>
      <c r="KH27" s="49" t="s">
        <v>2011</v>
      </c>
      <c r="KI27" s="44">
        <v>130</v>
      </c>
      <c r="KK27" s="49"/>
      <c r="KL27" s="147" t="s">
        <v>2394</v>
      </c>
      <c r="KM27" s="42">
        <v>30</v>
      </c>
      <c r="KN27" s="63" t="s">
        <v>2161</v>
      </c>
      <c r="KO27" s="44">
        <v>12</v>
      </c>
      <c r="KQ27" s="250"/>
      <c r="KR27" s="67" t="s">
        <v>2015</v>
      </c>
      <c r="KS27" s="42">
        <f>10+18.51+10+16.63+15.78+16.9+10+16.2+16.87+10+10+20.2+10+10</f>
        <v>191.08999999999997</v>
      </c>
      <c r="KT27" s="65" t="s">
        <v>2103</v>
      </c>
      <c r="KU27" s="44">
        <v>1000</v>
      </c>
      <c r="KV27" s="61"/>
      <c r="KX27" s="67" t="s">
        <v>2114</v>
      </c>
      <c r="KY27" s="42">
        <v>30</v>
      </c>
      <c r="KZ27" s="14" t="s">
        <v>2395</v>
      </c>
      <c r="LA27" s="14">
        <f>240-15.97</f>
        <v>224.03</v>
      </c>
      <c r="LD27" s="67" t="s">
        <v>2396</v>
      </c>
      <c r="LE27" s="45">
        <v>151.85</v>
      </c>
      <c r="LF27" s="65" t="s">
        <v>2397</v>
      </c>
      <c r="LG27" s="44">
        <v>58.2</v>
      </c>
      <c r="LJ27" s="67" t="s">
        <v>2015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2015</v>
      </c>
      <c r="LQ27" s="42">
        <f>18+16+10+11.54+17.39+17.41+10</f>
        <v>100.34</v>
      </c>
      <c r="LR27" s="65"/>
      <c r="LS27" s="44"/>
      <c r="LT27" s="604"/>
      <c r="LU27" s="604"/>
      <c r="LV27" s="67" t="s">
        <v>3349</v>
      </c>
      <c r="LW27" s="588">
        <f>153.26+10.9</f>
        <v>164.16</v>
      </c>
      <c r="LX27" s="69" t="s">
        <v>2241</v>
      </c>
      <c r="LY27" s="42"/>
    </row>
    <row r="28" spans="1:339">
      <c r="A28" s="676" t="s">
        <v>399</v>
      </c>
      <c r="B28" s="675"/>
      <c r="E28" s="571" t="s">
        <v>454</v>
      </c>
      <c r="F28" s="62"/>
      <c r="G28" s="676" t="s">
        <v>399</v>
      </c>
      <c r="H28" s="675"/>
      <c r="K28" s="67" t="s">
        <v>2027</v>
      </c>
      <c r="L28" s="14">
        <v>0</v>
      </c>
      <c r="M28" s="673" t="s">
        <v>224</v>
      </c>
      <c r="N28" s="673"/>
      <c r="Q28" s="66" t="s">
        <v>2206</v>
      </c>
      <c r="R28" s="14">
        <v>0</v>
      </c>
      <c r="S28" s="673" t="s">
        <v>224</v>
      </c>
      <c r="T28" s="673"/>
      <c r="W28" s="67" t="s">
        <v>2074</v>
      </c>
      <c r="X28" s="14">
        <v>64</v>
      </c>
      <c r="Y28" s="676" t="s">
        <v>2343</v>
      </c>
      <c r="Z28" s="675"/>
      <c r="AC28" s="21" t="s">
        <v>2400</v>
      </c>
      <c r="AD28" s="21">
        <f>63+46</f>
        <v>109</v>
      </c>
      <c r="AE28" s="673" t="s">
        <v>224</v>
      </c>
      <c r="AF28" s="673"/>
      <c r="AI28" s="14" t="s">
        <v>2401</v>
      </c>
      <c r="AJ28" s="14">
        <v>50</v>
      </c>
      <c r="AK28" s="49" t="s">
        <v>224</v>
      </c>
      <c r="AL28" s="49" t="s">
        <v>224</v>
      </c>
      <c r="AO28" s="67" t="s">
        <v>2027</v>
      </c>
      <c r="AP28" s="61">
        <v>167.6</v>
      </c>
      <c r="AQ28" s="49" t="s">
        <v>224</v>
      </c>
      <c r="AR28" s="49"/>
      <c r="AU28" s="67" t="s">
        <v>2402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2074</v>
      </c>
      <c r="BF28" s="61">
        <v>64</v>
      </c>
      <c r="BG28" s="49" t="s">
        <v>224</v>
      </c>
      <c r="BH28" s="49"/>
      <c r="BK28" s="89" t="s">
        <v>2074</v>
      </c>
      <c r="BL28" s="61" t="s">
        <v>555</v>
      </c>
      <c r="BM28" s="49" t="s">
        <v>224</v>
      </c>
      <c r="BN28" s="49"/>
      <c r="BQ28" s="89" t="s">
        <v>2074</v>
      </c>
      <c r="BR28" s="61">
        <v>64</v>
      </c>
      <c r="BS28" s="49" t="s">
        <v>224</v>
      </c>
      <c r="BT28" s="94"/>
      <c r="BW28" s="89" t="s">
        <v>2403</v>
      </c>
      <c r="BX28" s="61">
        <v>64</v>
      </c>
      <c r="BY28" s="49" t="s">
        <v>224</v>
      </c>
      <c r="BZ28" s="56"/>
      <c r="CC28" s="89" t="s">
        <v>2074</v>
      </c>
      <c r="CD28" s="61">
        <v>32</v>
      </c>
      <c r="CE28" s="49" t="s">
        <v>224</v>
      </c>
      <c r="CF28" s="56"/>
      <c r="CI28" s="89" t="s">
        <v>2170</v>
      </c>
      <c r="CJ28" s="61">
        <v>64</v>
      </c>
      <c r="CK28" s="49" t="s">
        <v>224</v>
      </c>
      <c r="CL28" s="56"/>
      <c r="CO28" s="103" t="s">
        <v>2404</v>
      </c>
      <c r="CP28" s="43">
        <f>28+34</f>
        <v>62</v>
      </c>
      <c r="CQ28" s="49" t="s">
        <v>224</v>
      </c>
      <c r="CR28" s="56"/>
      <c r="CU28" s="103" t="s">
        <v>2405</v>
      </c>
      <c r="CV28" s="43">
        <v>26.7</v>
      </c>
      <c r="CX28" s="56"/>
      <c r="DA28" s="118" t="s">
        <v>2406</v>
      </c>
      <c r="DB28" s="61">
        <v>178.21</v>
      </c>
      <c r="DC28" s="111"/>
      <c r="DD28" s="112"/>
      <c r="DE28" s="61" t="s">
        <v>2407</v>
      </c>
      <c r="DF28" s="43">
        <f>51*2/3</f>
        <v>34</v>
      </c>
      <c r="DG28" s="116" t="s">
        <v>2408</v>
      </c>
      <c r="DH28" s="57">
        <v>185.01</v>
      </c>
      <c r="DI28" s="21" t="s">
        <v>2409</v>
      </c>
      <c r="DJ28" s="92">
        <v>10000</v>
      </c>
      <c r="DM28" s="88" t="s">
        <v>2127</v>
      </c>
      <c r="DN28" s="57">
        <f>11+53.24</f>
        <v>64.240000000000009</v>
      </c>
      <c r="DO28" s="21" t="s">
        <v>2360</v>
      </c>
      <c r="DP28" s="22" t="s">
        <v>740</v>
      </c>
      <c r="DS28" s="118" t="s">
        <v>2410</v>
      </c>
      <c r="DT28" s="57">
        <v>10</v>
      </c>
      <c r="DU28" s="21" t="s">
        <v>2360</v>
      </c>
      <c r="DV28" s="22" t="s">
        <v>740</v>
      </c>
      <c r="DY28" s="21" t="s">
        <v>2411</v>
      </c>
      <c r="DZ28" s="21"/>
      <c r="EA28" s="60"/>
      <c r="EB28" s="129"/>
      <c r="EE28" s="21" t="s">
        <v>2412</v>
      </c>
      <c r="EF28" s="21"/>
      <c r="EG28" s="160"/>
      <c r="EL28" s="677" t="s">
        <v>2176</v>
      </c>
      <c r="EM28" s="677"/>
      <c r="EN28" s="69"/>
      <c r="EO28" s="91"/>
      <c r="ER28" s="21" t="s">
        <v>2413</v>
      </c>
      <c r="ES28" s="21"/>
      <c r="ET28" s="49" t="s">
        <v>2414</v>
      </c>
      <c r="EU28" s="94">
        <v>10000</v>
      </c>
      <c r="EX28" s="152" t="s">
        <v>2415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2416</v>
      </c>
      <c r="FK28" s="14">
        <v>8</v>
      </c>
      <c r="FL28" s="49" t="s">
        <v>1806</v>
      </c>
      <c r="FM28" s="94">
        <v>0</v>
      </c>
      <c r="FP28" s="147" t="s">
        <v>2417</v>
      </c>
      <c r="FQ28" s="14">
        <v>86.2</v>
      </c>
      <c r="FR28" s="49" t="s">
        <v>1854</v>
      </c>
      <c r="FS28" s="94">
        <v>6010</v>
      </c>
      <c r="FT28" s="14" t="s">
        <v>2418</v>
      </c>
      <c r="FU28" s="14">
        <f>5984.25-6010</f>
        <v>-25.75</v>
      </c>
      <c r="FV28" s="147" t="s">
        <v>2336</v>
      </c>
      <c r="FW28" s="14">
        <v>41.2</v>
      </c>
      <c r="FX28" s="49" t="s">
        <v>2045</v>
      </c>
      <c r="FY28" s="94">
        <v>1010</v>
      </c>
      <c r="GB28" s="147" t="s">
        <v>2419</v>
      </c>
      <c r="GC28" s="14">
        <v>8</v>
      </c>
      <c r="GD28" s="49" t="s">
        <v>2045</v>
      </c>
      <c r="GE28" s="94">
        <v>808</v>
      </c>
      <c r="GH28" s="164" t="s">
        <v>1931</v>
      </c>
      <c r="GI28" s="14">
        <f>11.48+13.49+12.33+10+12.88+6.22+14.16</f>
        <v>80.56</v>
      </c>
      <c r="GJ28" s="49" t="s">
        <v>2045</v>
      </c>
      <c r="GK28" s="94">
        <v>2002</v>
      </c>
      <c r="GN28" s="164" t="s">
        <v>1931</v>
      </c>
      <c r="GO28" s="14">
        <f>8.9+15.69+15.34+15.72</f>
        <v>55.65</v>
      </c>
      <c r="GP28" s="49" t="s">
        <v>2045</v>
      </c>
      <c r="GQ28" s="94" t="s">
        <v>1861</v>
      </c>
      <c r="GT28" s="147" t="s">
        <v>2420</v>
      </c>
      <c r="GU28" s="14">
        <v>5.4</v>
      </c>
      <c r="GV28" s="49" t="s">
        <v>2421</v>
      </c>
      <c r="GW28" s="94">
        <v>0</v>
      </c>
      <c r="GZ28" s="147" t="s">
        <v>2422</v>
      </c>
      <c r="HA28" s="14">
        <v>505.66</v>
      </c>
      <c r="HB28" s="61" t="s">
        <v>1756</v>
      </c>
      <c r="HC28" s="94">
        <v>300</v>
      </c>
      <c r="HF28" s="147" t="s">
        <v>2423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2376</v>
      </c>
      <c r="HK28" s="181">
        <f>SUM(HM10:HM18)</f>
        <v>1046.8376666666666</v>
      </c>
      <c r="HL28" s="198">
        <v>60</v>
      </c>
      <c r="HM28" s="150" t="s">
        <v>2424</v>
      </c>
      <c r="HN28" s="69" t="s">
        <v>2425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2426</v>
      </c>
      <c r="HS28" s="14">
        <v>14</v>
      </c>
      <c r="HT28" s="49" t="s">
        <v>1520</v>
      </c>
      <c r="HU28" s="94">
        <v>3000</v>
      </c>
      <c r="HV28" s="208" t="s">
        <v>2427</v>
      </c>
      <c r="HW28" s="14">
        <f>SUM(HY47:HY54)</f>
        <v>1548.6</v>
      </c>
      <c r="HX28" s="147" t="s">
        <v>2428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2429</v>
      </c>
      <c r="IE28" s="14">
        <v>329.76</v>
      </c>
      <c r="IF28" s="69" t="s">
        <v>2430</v>
      </c>
      <c r="IG28" s="97">
        <v>111</v>
      </c>
      <c r="IH28" s="193" t="s">
        <v>2431</v>
      </c>
      <c r="II28" s="206">
        <v>19.45</v>
      </c>
      <c r="IJ28" s="147" t="s">
        <v>2432</v>
      </c>
      <c r="IK28" s="14">
        <f>3.8*2+9.9</f>
        <v>17.5</v>
      </c>
      <c r="IL28" s="69" t="s">
        <v>2241</v>
      </c>
      <c r="IN28" s="193"/>
      <c r="IO28" s="206"/>
      <c r="IP28" s="147" t="s">
        <v>2433</v>
      </c>
      <c r="IQ28" s="42">
        <v>61.71</v>
      </c>
      <c r="IR28" s="69" t="s">
        <v>2241</v>
      </c>
      <c r="IT28" s="147" t="s">
        <v>2434</v>
      </c>
      <c r="IU28" s="168">
        <f>SUM(IW21:IW25)</f>
        <v>268.39</v>
      </c>
      <c r="IV28" s="196">
        <v>22.7</v>
      </c>
      <c r="IW28" s="45"/>
      <c r="IX28" s="69"/>
      <c r="IZ28" s="680" t="s">
        <v>2146</v>
      </c>
      <c r="JA28" s="680"/>
      <c r="JB28" s="147" t="s">
        <v>2435</v>
      </c>
      <c r="JC28" s="42">
        <v>34</v>
      </c>
      <c r="JF28" s="71" t="s">
        <v>1283</v>
      </c>
      <c r="JG28" s="91">
        <f>SUM(JI6:JI7)</f>
        <v>3900.1</v>
      </c>
      <c r="JH28" s="147" t="s">
        <v>2436</v>
      </c>
      <c r="JI28" s="42">
        <f>44.8+43.4</f>
        <v>88.199999999999989</v>
      </c>
      <c r="JJ28" s="69" t="s">
        <v>2437</v>
      </c>
      <c r="JK28" s="14">
        <v>75.599999999999994</v>
      </c>
      <c r="JL28" s="171" t="s">
        <v>2438</v>
      </c>
      <c r="JM28" s="91">
        <f>SUM(JO11:JO13)</f>
        <v>116477.65199999999</v>
      </c>
      <c r="JN28" s="14" t="s">
        <v>2439</v>
      </c>
      <c r="JO28" s="57">
        <v>20</v>
      </c>
      <c r="JP28" s="69"/>
      <c r="JQ28" s="44"/>
      <c r="JR28" s="157" t="s">
        <v>2322</v>
      </c>
      <c r="JS28" s="44">
        <f>SUM(JU9:JU10)</f>
        <v>15.379999999999999</v>
      </c>
      <c r="JT28" s="14" t="s">
        <v>2439</v>
      </c>
      <c r="JU28" s="57">
        <f>13</f>
        <v>13</v>
      </c>
      <c r="JV28" s="69"/>
      <c r="JW28" s="42"/>
      <c r="JZ28" s="164" t="s">
        <v>2440</v>
      </c>
      <c r="KA28" s="42">
        <f>(15+6.5)*2</f>
        <v>43</v>
      </c>
      <c r="KB28" s="69"/>
      <c r="KC28" s="69"/>
      <c r="KD28" s="47" t="s">
        <v>2244</v>
      </c>
      <c r="KE28" s="47"/>
      <c r="KF28" s="196">
        <v>34.15</v>
      </c>
      <c r="KG28" s="45"/>
      <c r="KH28" s="49" t="s">
        <v>2061</v>
      </c>
      <c r="KI28" s="44"/>
      <c r="KL28" s="147" t="s">
        <v>2442</v>
      </c>
      <c r="KM28" s="42">
        <v>30.06</v>
      </c>
      <c r="KN28" s="49" t="s">
        <v>2443</v>
      </c>
      <c r="KO28" s="44">
        <v>110</v>
      </c>
      <c r="KP28" s="43"/>
      <c r="KQ28" s="250"/>
      <c r="KR28" s="147" t="s">
        <v>2444</v>
      </c>
      <c r="KS28" s="42">
        <v>60</v>
      </c>
      <c r="KT28" s="69" t="s">
        <v>2152</v>
      </c>
      <c r="KU28" s="42"/>
      <c r="KV28" s="61"/>
      <c r="KX28" s="67" t="s">
        <v>1623</v>
      </c>
      <c r="KY28" s="42">
        <f>6.5+15</f>
        <v>21.5</v>
      </c>
      <c r="KZ28" s="69" t="s">
        <v>2296</v>
      </c>
      <c r="LA28" s="42"/>
      <c r="LD28" s="67" t="s">
        <v>1623</v>
      </c>
      <c r="LE28" s="42">
        <f>8.6+15+6.5</f>
        <v>30.1</v>
      </c>
      <c r="LF28" s="69" t="s">
        <v>2241</v>
      </c>
      <c r="LG28" s="42"/>
      <c r="LJ28" s="147" t="s">
        <v>2445</v>
      </c>
      <c r="LK28" s="42">
        <v>20</v>
      </c>
      <c r="LL28" s="65" t="s">
        <v>2296</v>
      </c>
      <c r="LM28" s="44"/>
      <c r="LN28" s="683" t="s">
        <v>1659</v>
      </c>
      <c r="LO28" s="683"/>
      <c r="LP28" s="147" t="s">
        <v>2446</v>
      </c>
      <c r="LQ28" s="42">
        <v>20</v>
      </c>
      <c r="LR28" s="65" t="s">
        <v>2296</v>
      </c>
      <c r="LS28" s="44"/>
      <c r="LT28" s="611"/>
      <c r="LU28" s="611"/>
      <c r="LV28" s="67" t="s">
        <v>1623</v>
      </c>
      <c r="LW28" s="42">
        <v>5</v>
      </c>
      <c r="LX28" s="608"/>
      <c r="LY28" s="44"/>
    </row>
    <row r="29" spans="1:339">
      <c r="A29" s="676" t="s">
        <v>2343</v>
      </c>
      <c r="B29" s="675"/>
      <c r="E29" s="571" t="s">
        <v>458</v>
      </c>
      <c r="F29" s="62"/>
      <c r="G29" s="676" t="s">
        <v>2343</v>
      </c>
      <c r="H29" s="675"/>
      <c r="K29" s="67" t="s">
        <v>2074</v>
      </c>
      <c r="L29" s="14">
        <v>64</v>
      </c>
      <c r="M29" s="675" t="s">
        <v>327</v>
      </c>
      <c r="N29" s="675"/>
      <c r="S29" s="675" t="s">
        <v>327</v>
      </c>
      <c r="T29" s="675"/>
      <c r="W29" s="67" t="s">
        <v>2121</v>
      </c>
      <c r="X29" s="14">
        <v>100.01</v>
      </c>
      <c r="Y29" s="673" t="s">
        <v>224</v>
      </c>
      <c r="Z29" s="673"/>
      <c r="AC29" s="14" t="s">
        <v>2449</v>
      </c>
      <c r="AD29" s="14">
        <v>65</v>
      </c>
      <c r="AE29" s="675" t="s">
        <v>327</v>
      </c>
      <c r="AF29" s="675"/>
      <c r="AK29" s="14" t="s">
        <v>327</v>
      </c>
      <c r="AL29" s="14" t="s">
        <v>327</v>
      </c>
      <c r="AO29" s="67" t="s">
        <v>2349</v>
      </c>
      <c r="AP29" s="61">
        <f>11*2</f>
        <v>22</v>
      </c>
      <c r="AQ29" s="14" t="s">
        <v>327</v>
      </c>
      <c r="AR29" s="14"/>
      <c r="AU29" s="67" t="s">
        <v>2349</v>
      </c>
      <c r="AV29" s="61">
        <v>11</v>
      </c>
      <c r="AW29" s="14" t="s">
        <v>2450</v>
      </c>
      <c r="AX29" s="14"/>
      <c r="AY29" s="67"/>
      <c r="AZ29" s="61"/>
      <c r="BA29" s="14" t="s">
        <v>2450</v>
      </c>
      <c r="BB29" s="14"/>
      <c r="BE29" s="67" t="s">
        <v>2121</v>
      </c>
      <c r="BF29" s="61">
        <v>50</v>
      </c>
      <c r="BG29" s="14" t="s">
        <v>2450</v>
      </c>
      <c r="BH29" s="14"/>
      <c r="BK29" s="89" t="s">
        <v>2121</v>
      </c>
      <c r="BL29" s="61">
        <v>10</v>
      </c>
      <c r="BM29" s="14" t="s">
        <v>2450</v>
      </c>
      <c r="BN29" s="14"/>
      <c r="BQ29" s="89" t="s">
        <v>2121</v>
      </c>
      <c r="BR29" s="61">
        <v>20</v>
      </c>
      <c r="BS29" s="14" t="s">
        <v>2450</v>
      </c>
      <c r="BW29" s="89" t="s">
        <v>2121</v>
      </c>
      <c r="BX29" s="61">
        <v>50</v>
      </c>
      <c r="BY29" s="14" t="s">
        <v>2450</v>
      </c>
      <c r="CC29" s="89" t="s">
        <v>2121</v>
      </c>
      <c r="CD29" s="61">
        <v>70.001000000000005</v>
      </c>
      <c r="CE29" s="14" t="s">
        <v>2450</v>
      </c>
      <c r="CI29" s="89" t="s">
        <v>2121</v>
      </c>
      <c r="CJ29" s="61">
        <v>100.001</v>
      </c>
      <c r="CK29" s="14" t="s">
        <v>2450</v>
      </c>
      <c r="CO29" s="103" t="s">
        <v>2451</v>
      </c>
      <c r="CP29" s="43">
        <v>35</v>
      </c>
      <c r="CQ29" s="14" t="s">
        <v>2450</v>
      </c>
      <c r="CU29" s="103" t="s">
        <v>2452</v>
      </c>
      <c r="CV29" s="43">
        <f>6*4+5*2+5</f>
        <v>39</v>
      </c>
      <c r="CW29" s="568" t="s">
        <v>399</v>
      </c>
      <c r="DA29" s="118" t="s">
        <v>2453</v>
      </c>
      <c r="DB29" s="61">
        <v>300</v>
      </c>
      <c r="DD29" s="56"/>
      <c r="DG29" s="88" t="s">
        <v>1753</v>
      </c>
      <c r="DH29" s="57">
        <v>85.71</v>
      </c>
      <c r="DI29" s="21" t="s">
        <v>2454</v>
      </c>
      <c r="DJ29" s="92" t="s">
        <v>1861</v>
      </c>
      <c r="DM29" s="88" t="s">
        <v>2170</v>
      </c>
      <c r="DN29" s="57">
        <v>64</v>
      </c>
      <c r="DO29" s="60"/>
      <c r="DP29" s="129"/>
      <c r="DS29" s="118" t="s">
        <v>2455</v>
      </c>
      <c r="DT29" s="57">
        <v>10</v>
      </c>
      <c r="DU29" s="60"/>
      <c r="DV29" s="129"/>
      <c r="DY29" s="21" t="s">
        <v>2456</v>
      </c>
      <c r="DZ29" s="21"/>
      <c r="EA29" s="14" t="s">
        <v>1460</v>
      </c>
      <c r="EB29" s="44">
        <v>-20000</v>
      </c>
      <c r="EE29" s="14" t="s">
        <v>2457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2458</v>
      </c>
      <c r="ES29" s="21"/>
      <c r="ET29" s="49" t="s">
        <v>2459</v>
      </c>
      <c r="EU29" s="94">
        <v>0</v>
      </c>
      <c r="EX29" s="150" t="s">
        <v>2460</v>
      </c>
      <c r="EY29" s="152"/>
      <c r="EZ29" s="49" t="s">
        <v>1854</v>
      </c>
      <c r="FA29" s="94">
        <v>5010</v>
      </c>
      <c r="FD29" s="152" t="s">
        <v>2461</v>
      </c>
      <c r="FE29" s="152"/>
      <c r="FF29" s="49" t="s">
        <v>1854</v>
      </c>
      <c r="FG29" s="94">
        <v>10010</v>
      </c>
      <c r="FJ29" s="677" t="s">
        <v>2365</v>
      </c>
      <c r="FK29" s="677"/>
      <c r="FL29" s="49" t="s">
        <v>1859</v>
      </c>
      <c r="FM29" s="94">
        <v>10000</v>
      </c>
      <c r="FP29" s="147" t="s">
        <v>2462</v>
      </c>
      <c r="FQ29" s="14">
        <v>35.799999999999997</v>
      </c>
      <c r="FR29" s="49" t="s">
        <v>1854</v>
      </c>
      <c r="FS29" s="94">
        <v>10010</v>
      </c>
      <c r="FT29" s="14" t="s">
        <v>2463</v>
      </c>
      <c r="FU29" s="14">
        <f>4980.91-5005</f>
        <v>-24.090000000000146</v>
      </c>
      <c r="FV29" s="147" t="s">
        <v>2464</v>
      </c>
      <c r="FW29" s="14">
        <v>6.3</v>
      </c>
      <c r="FX29" s="49" t="s">
        <v>2045</v>
      </c>
      <c r="FY29" s="94">
        <v>5005</v>
      </c>
      <c r="GB29" s="147" t="s">
        <v>2465</v>
      </c>
      <c r="GC29" s="14">
        <v>127.1</v>
      </c>
      <c r="GD29" s="49" t="s">
        <v>2045</v>
      </c>
      <c r="GE29" s="94">
        <v>4004</v>
      </c>
      <c r="GF29" s="61"/>
      <c r="GH29" s="147" t="s">
        <v>2466</v>
      </c>
      <c r="GI29" s="14">
        <v>70</v>
      </c>
      <c r="GJ29" s="49" t="s">
        <v>2045</v>
      </c>
      <c r="GK29" s="94">
        <v>808</v>
      </c>
      <c r="GN29" s="147" t="s">
        <v>2467</v>
      </c>
      <c r="GO29" s="14">
        <v>20</v>
      </c>
      <c r="GP29" s="49" t="s">
        <v>2045</v>
      </c>
      <c r="GQ29" s="94" t="s">
        <v>1861</v>
      </c>
      <c r="GT29" s="147" t="s">
        <v>2468</v>
      </c>
      <c r="GU29" s="14">
        <v>10</v>
      </c>
      <c r="GV29" s="77" t="s">
        <v>2313</v>
      </c>
      <c r="GW29" s="97"/>
      <c r="GZ29" s="147" t="s">
        <v>2469</v>
      </c>
      <c r="HA29" s="14">
        <f>80+105</f>
        <v>185</v>
      </c>
      <c r="HB29" s="49" t="s">
        <v>2421</v>
      </c>
      <c r="HC29" s="94">
        <v>0</v>
      </c>
      <c r="HD29" s="49"/>
      <c r="HF29" s="147" t="s">
        <v>2470</v>
      </c>
      <c r="HG29" s="14">
        <f>74.8-6.1</f>
        <v>68.7</v>
      </c>
      <c r="HH29" s="14" t="s">
        <v>1814</v>
      </c>
      <c r="HI29" s="190">
        <v>-114.61</v>
      </c>
      <c r="HJ29" s="156" t="s">
        <v>2434</v>
      </c>
      <c r="HK29" s="14">
        <f>SUM(HM19:HM23)</f>
        <v>275.58</v>
      </c>
      <c r="HL29" s="198">
        <v>20</v>
      </c>
      <c r="HM29" s="150" t="s">
        <v>2471</v>
      </c>
      <c r="HN29" s="182"/>
      <c r="HO29" s="97"/>
      <c r="HP29" s="169" t="s">
        <v>1320</v>
      </c>
      <c r="HQ29" s="14">
        <v>0</v>
      </c>
      <c r="HR29" s="147" t="s">
        <v>2469</v>
      </c>
      <c r="HS29" s="14">
        <v>80</v>
      </c>
      <c r="HT29" s="49" t="s">
        <v>1572</v>
      </c>
      <c r="HU29" s="94">
        <v>4000</v>
      </c>
      <c r="HV29" s="147" t="s">
        <v>2434</v>
      </c>
      <c r="HW29" s="14">
        <f>SUM(HY25:HY30)</f>
        <v>271.94</v>
      </c>
      <c r="HX29" s="147" t="s">
        <v>2472</v>
      </c>
      <c r="HY29" s="14">
        <f>22.3+42.9</f>
        <v>65.2</v>
      </c>
      <c r="HZ29" s="77" t="s">
        <v>2279</v>
      </c>
      <c r="IB29" s="157" t="s">
        <v>2322</v>
      </c>
      <c r="IC29" s="14">
        <f>SUM(IE9:IE9)</f>
        <v>32.1</v>
      </c>
      <c r="ID29" s="147" t="s">
        <v>2473</v>
      </c>
      <c r="IE29" s="14">
        <v>80</v>
      </c>
      <c r="IF29" s="69" t="s">
        <v>2327</v>
      </c>
      <c r="IG29" s="97"/>
      <c r="IH29" s="188" t="s">
        <v>2474</v>
      </c>
      <c r="II29" s="206">
        <f>19.45*3</f>
        <v>58.349999999999994</v>
      </c>
      <c r="IJ29" s="147" t="s">
        <v>2475</v>
      </c>
      <c r="IK29" s="14">
        <f>7.15+14.85</f>
        <v>22</v>
      </c>
      <c r="IL29" s="183" t="s">
        <v>2476</v>
      </c>
      <c r="IM29" s="229">
        <v>21.35</v>
      </c>
      <c r="IN29" s="188"/>
      <c r="IO29" s="206"/>
      <c r="IP29" s="147" t="s">
        <v>2477</v>
      </c>
      <c r="IQ29" s="42">
        <v>23.1</v>
      </c>
      <c r="IR29" s="69" t="s">
        <v>2478</v>
      </c>
      <c r="IS29" s="14" t="s">
        <v>2479</v>
      </c>
      <c r="IT29" s="147" t="s">
        <v>2480</v>
      </c>
      <c r="IU29" s="14">
        <f>SUM(IW22:IW25)</f>
        <v>188.39</v>
      </c>
      <c r="IV29" s="172" t="s">
        <v>2481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2482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2483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2277</v>
      </c>
      <c r="JO29" s="45">
        <f>250+254+164+105</f>
        <v>773</v>
      </c>
      <c r="JP29" s="69"/>
      <c r="JQ29" s="44"/>
      <c r="JR29" s="162" t="s">
        <v>2376</v>
      </c>
      <c r="JS29" s="44">
        <f>SUM(JU14:JU22)</f>
        <v>1271.7839999999999</v>
      </c>
      <c r="JT29" s="43" t="s">
        <v>2277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2481</v>
      </c>
      <c r="KG29" s="197">
        <f>KC19+KE36-KI27</f>
        <v>190</v>
      </c>
      <c r="KH29" s="65" t="s">
        <v>2103</v>
      </c>
      <c r="KI29" s="44">
        <v>1000</v>
      </c>
      <c r="KL29" s="147" t="s">
        <v>2485</v>
      </c>
      <c r="KM29" s="42">
        <v>21.5</v>
      </c>
      <c r="KN29" s="65" t="s">
        <v>2103</v>
      </c>
      <c r="KO29" s="44">
        <v>1000</v>
      </c>
      <c r="KP29" s="282"/>
      <c r="KQ29" s="282"/>
      <c r="KR29" s="147" t="s">
        <v>2486</v>
      </c>
      <c r="KS29" s="42">
        <v>400.92</v>
      </c>
      <c r="KT29" s="65" t="s">
        <v>2487</v>
      </c>
      <c r="KU29" s="42">
        <v>1202.04</v>
      </c>
      <c r="KV29" s="61"/>
      <c r="KX29" s="67" t="s">
        <v>2488</v>
      </c>
      <c r="KY29" s="42">
        <v>57.3</v>
      </c>
      <c r="KZ29" s="69" t="s">
        <v>2152</v>
      </c>
      <c r="LA29" s="42"/>
      <c r="LD29" s="67" t="s">
        <v>2489</v>
      </c>
      <c r="LE29" s="42">
        <v>67.8</v>
      </c>
      <c r="LF29" s="65" t="s">
        <v>2490</v>
      </c>
      <c r="LG29" s="44">
        <f>52.8*2</f>
        <v>105.6</v>
      </c>
      <c r="LH29" s="47" t="s">
        <v>2244</v>
      </c>
      <c r="LI29" s="47"/>
      <c r="LJ29" s="147" t="s">
        <v>2491</v>
      </c>
      <c r="LK29" s="42">
        <v>5</v>
      </c>
      <c r="LL29" s="65"/>
      <c r="LM29" s="42"/>
      <c r="LP29" s="147" t="s">
        <v>2492</v>
      </c>
      <c r="LQ29" s="42">
        <v>387.83</v>
      </c>
      <c r="LR29" s="69" t="s">
        <v>2152</v>
      </c>
      <c r="LS29" s="42"/>
      <c r="LT29" s="611"/>
      <c r="LU29" s="611"/>
      <c r="LV29" s="67" t="s">
        <v>1832</v>
      </c>
      <c r="LW29" s="42">
        <f>13.57+9+9</f>
        <v>31.57</v>
      </c>
      <c r="LX29" s="613"/>
      <c r="LY29" s="44"/>
    </row>
    <row r="30" spans="1:339">
      <c r="A30" s="673" t="s">
        <v>224</v>
      </c>
      <c r="B30" s="673"/>
      <c r="E30" s="571" t="s">
        <v>2494</v>
      </c>
      <c r="F30" s="53"/>
      <c r="G30" s="673" t="s">
        <v>224</v>
      </c>
      <c r="H30" s="673"/>
      <c r="K30" s="67" t="s">
        <v>2121</v>
      </c>
      <c r="L30" s="14">
        <v>50.01</v>
      </c>
      <c r="M30" s="674" t="s">
        <v>2495</v>
      </c>
      <c r="N30" s="674"/>
      <c r="Q30" s="67" t="s">
        <v>1900</v>
      </c>
      <c r="R30" s="14">
        <v>26</v>
      </c>
      <c r="S30" s="674" t="s">
        <v>2495</v>
      </c>
      <c r="T30" s="674"/>
      <c r="Y30" s="675" t="s">
        <v>327</v>
      </c>
      <c r="Z30" s="675"/>
      <c r="AC30" s="14" t="s">
        <v>2496</v>
      </c>
      <c r="AD30" s="14">
        <v>10</v>
      </c>
      <c r="AE30" s="674" t="s">
        <v>2495</v>
      </c>
      <c r="AF30" s="674"/>
      <c r="AK30" s="77" t="s">
        <v>2495</v>
      </c>
      <c r="AL30" s="77" t="s">
        <v>2495</v>
      </c>
      <c r="AO30" s="67" t="s">
        <v>2074</v>
      </c>
      <c r="AP30" s="61">
        <v>32</v>
      </c>
      <c r="AQ30" s="77" t="s">
        <v>2495</v>
      </c>
      <c r="AR30" s="63"/>
      <c r="AU30" s="67" t="s">
        <v>2074</v>
      </c>
      <c r="AV30" s="61" t="s">
        <v>740</v>
      </c>
      <c r="AW30" s="77" t="s">
        <v>2495</v>
      </c>
      <c r="AX30" s="77"/>
      <c r="AY30" s="67"/>
      <c r="AZ30" s="61"/>
      <c r="BA30" s="77" t="s">
        <v>2495</v>
      </c>
      <c r="BB30" s="77"/>
      <c r="BE30" s="78" t="s">
        <v>2497</v>
      </c>
      <c r="BF30" s="14">
        <v>56.62</v>
      </c>
      <c r="BG30" s="77" t="s">
        <v>2495</v>
      </c>
      <c r="BH30" s="77"/>
      <c r="BK30" s="90" t="s">
        <v>2498</v>
      </c>
      <c r="BL30" s="43">
        <v>5</v>
      </c>
      <c r="BM30" s="77" t="s">
        <v>2495</v>
      </c>
      <c r="BN30" s="77"/>
      <c r="BQ30" s="90" t="s">
        <v>2499</v>
      </c>
      <c r="BR30" s="43">
        <v>20</v>
      </c>
      <c r="BS30" s="77" t="s">
        <v>2495</v>
      </c>
      <c r="BT30" s="96"/>
      <c r="BW30" s="90" t="s">
        <v>2499</v>
      </c>
      <c r="BX30" s="43">
        <v>15</v>
      </c>
      <c r="BY30" s="77" t="s">
        <v>2495</v>
      </c>
      <c r="BZ30" s="100"/>
      <c r="CC30" s="90" t="s">
        <v>2499</v>
      </c>
      <c r="CD30" s="43">
        <v>5</v>
      </c>
      <c r="CE30" s="77" t="s">
        <v>2495</v>
      </c>
      <c r="CF30" s="100"/>
      <c r="CI30" s="103" t="s">
        <v>2499</v>
      </c>
      <c r="CJ30" s="43">
        <f>10+5</f>
        <v>15</v>
      </c>
      <c r="CK30" s="77" t="s">
        <v>2495</v>
      </c>
      <c r="CL30" s="100"/>
      <c r="CO30" s="103" t="s">
        <v>2500</v>
      </c>
      <c r="CP30" s="43">
        <v>39</v>
      </c>
      <c r="CQ30" s="77" t="s">
        <v>2495</v>
      </c>
      <c r="CR30" s="100"/>
      <c r="CU30" s="103" t="s">
        <v>2501</v>
      </c>
      <c r="CV30" s="43">
        <v>46.9</v>
      </c>
      <c r="CW30" s="568" t="s">
        <v>2343</v>
      </c>
      <c r="CX30" s="100"/>
      <c r="DA30" s="118" t="s">
        <v>2502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2081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2503</v>
      </c>
      <c r="DT30" s="57">
        <v>10</v>
      </c>
      <c r="DU30" s="69" t="s">
        <v>1460</v>
      </c>
      <c r="DV30" s="94">
        <v>-20000</v>
      </c>
      <c r="DY30" s="21" t="s">
        <v>2504</v>
      </c>
      <c r="DZ30" s="21"/>
      <c r="EA30" s="153" t="s">
        <v>2505</v>
      </c>
      <c r="EB30" s="133"/>
      <c r="EE30" s="14" t="s">
        <v>2506</v>
      </c>
      <c r="EF30" s="14">
        <v>201</v>
      </c>
      <c r="EG30" s="49"/>
      <c r="EH30" s="14" t="s">
        <v>2507</v>
      </c>
      <c r="EL30" s="152" t="s">
        <v>2508</v>
      </c>
      <c r="EM30" s="152"/>
      <c r="EN30" s="14" t="s">
        <v>399</v>
      </c>
      <c r="ER30" s="21" t="s">
        <v>2509</v>
      </c>
      <c r="ES30" s="21"/>
      <c r="ET30" s="77" t="s">
        <v>2313</v>
      </c>
      <c r="EU30" s="77"/>
      <c r="EX30" s="150" t="s">
        <v>2510</v>
      </c>
      <c r="EY30" s="152"/>
      <c r="EZ30" s="49" t="s">
        <v>1913</v>
      </c>
      <c r="FA30" s="94">
        <v>10000</v>
      </c>
      <c r="FD30" s="150" t="s">
        <v>2511</v>
      </c>
      <c r="FE30" s="152"/>
      <c r="FF30" s="49" t="s">
        <v>1913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2512</v>
      </c>
      <c r="FQ30" s="14">
        <v>44.8</v>
      </c>
      <c r="FR30" s="49" t="s">
        <v>2414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2365</v>
      </c>
      <c r="FW30" s="172"/>
      <c r="FX30" s="49" t="s">
        <v>2421</v>
      </c>
      <c r="FY30" s="94" t="s">
        <v>740</v>
      </c>
      <c r="GB30" s="147" t="s">
        <v>2513</v>
      </c>
      <c r="GC30" s="14">
        <v>18.8</v>
      </c>
      <c r="GD30" s="49" t="s">
        <v>2421</v>
      </c>
      <c r="GE30" s="94" t="s">
        <v>740</v>
      </c>
      <c r="GF30" s="49"/>
      <c r="GG30" s="64"/>
      <c r="GH30" s="147" t="s">
        <v>2514</v>
      </c>
      <c r="GI30" s="14">
        <v>16</v>
      </c>
      <c r="GJ30" s="61" t="s">
        <v>1756</v>
      </c>
      <c r="GK30" s="94">
        <v>300</v>
      </c>
      <c r="GN30" s="147" t="s">
        <v>2515</v>
      </c>
      <c r="GO30" s="14">
        <v>10</v>
      </c>
      <c r="GP30" s="61" t="s">
        <v>1756</v>
      </c>
      <c r="GQ30" s="94">
        <v>300</v>
      </c>
      <c r="GR30" s="61"/>
      <c r="GT30" s="147" t="s">
        <v>2516</v>
      </c>
      <c r="GU30" s="14">
        <v>10</v>
      </c>
      <c r="GV30" s="69" t="s">
        <v>2517</v>
      </c>
      <c r="GW30" s="97">
        <v>1159.4000000000001</v>
      </c>
      <c r="GZ30" s="147" t="s">
        <v>2228</v>
      </c>
      <c r="HA30" s="14">
        <v>8</v>
      </c>
      <c r="HB30" s="77" t="s">
        <v>2313</v>
      </c>
      <c r="HC30" s="97"/>
      <c r="HF30" s="172" t="s">
        <v>2365</v>
      </c>
      <c r="HG30" s="21"/>
      <c r="HH30" s="182" t="s">
        <v>1871</v>
      </c>
      <c r="HI30" s="188">
        <v>258.44</v>
      </c>
      <c r="HJ30" s="147" t="s">
        <v>2518</v>
      </c>
      <c r="HK30" s="14">
        <f>SUM(HM20:HM23)</f>
        <v>255.57999999999998</v>
      </c>
      <c r="HL30" s="198">
        <v>60</v>
      </c>
      <c r="HM30" s="150" t="s">
        <v>2519</v>
      </c>
      <c r="HP30" s="157" t="s">
        <v>2322</v>
      </c>
      <c r="HQ30" s="14">
        <f>SUM(HS7:HS8)</f>
        <v>1867.15</v>
      </c>
      <c r="HR30" s="14" t="s">
        <v>2235</v>
      </c>
      <c r="HS30" s="61">
        <v>37</v>
      </c>
      <c r="HT30" s="49" t="s">
        <v>1637</v>
      </c>
      <c r="HU30" s="94">
        <v>25000</v>
      </c>
      <c r="HV30" s="147" t="s">
        <v>2518</v>
      </c>
      <c r="HW30" s="14">
        <f>SUM(HY26:HY30)</f>
        <v>251.94</v>
      </c>
      <c r="HX30" s="147" t="s">
        <v>2520</v>
      </c>
      <c r="HY30" s="14">
        <v>11</v>
      </c>
      <c r="HZ30" s="65" t="s">
        <v>2282</v>
      </c>
      <c r="IA30" s="14">
        <v>4</v>
      </c>
      <c r="IB30" s="164" t="s">
        <v>2376</v>
      </c>
      <c r="IC30" s="192">
        <f>SUM(IE18:IE26)</f>
        <v>1421.2533333333333</v>
      </c>
      <c r="ID30" s="147" t="s">
        <v>2521</v>
      </c>
      <c r="IE30" s="14">
        <v>62</v>
      </c>
      <c r="IF30" s="183" t="s">
        <v>2476</v>
      </c>
      <c r="IG30" s="229">
        <v>21.35</v>
      </c>
      <c r="IH30" s="188" t="s">
        <v>2522</v>
      </c>
      <c r="II30" s="206">
        <f>19.45*25</f>
        <v>486.25</v>
      </c>
      <c r="IJ30" s="147" t="s">
        <v>2523</v>
      </c>
      <c r="IK30" s="14">
        <v>34</v>
      </c>
      <c r="IL30" s="69" t="s">
        <v>2524</v>
      </c>
      <c r="IM30" s="14">
        <v>1.49</v>
      </c>
      <c r="IN30" s="188"/>
      <c r="IO30" s="206"/>
      <c r="IP30" s="147" t="s">
        <v>2525</v>
      </c>
      <c r="IQ30" s="42" t="s">
        <v>2526</v>
      </c>
      <c r="IR30" s="69"/>
      <c r="IT30" s="150" t="s">
        <v>2527</v>
      </c>
      <c r="IU30" s="165">
        <v>90</v>
      </c>
      <c r="IV30" s="198">
        <v>5</v>
      </c>
      <c r="IW30" s="239" t="s">
        <v>2528</v>
      </c>
      <c r="IX30" s="43" t="s">
        <v>2529</v>
      </c>
      <c r="IZ30" s="72" t="s">
        <v>1329</v>
      </c>
      <c r="JA30" s="91">
        <f>SUM(JC14:JC16)</f>
        <v>4142.9809999999998</v>
      </c>
      <c r="JB30" s="246" t="s">
        <v>2530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2531</v>
      </c>
      <c r="JI30" s="101">
        <f>8.65*2</f>
        <v>17.3</v>
      </c>
      <c r="JJ30" s="69"/>
      <c r="JL30" s="157" t="s">
        <v>2322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2434</v>
      </c>
      <c r="JS30" s="44">
        <f>SUM(JU23:JU27)</f>
        <v>179.60000000000002</v>
      </c>
      <c r="JT30" s="196">
        <v>24.07</v>
      </c>
      <c r="JU30" s="45"/>
      <c r="JZ30" s="164" t="s">
        <v>2532</v>
      </c>
      <c r="KA30" s="42">
        <f>64+30.9</f>
        <v>94.9</v>
      </c>
      <c r="KB30" s="14" t="s">
        <v>224</v>
      </c>
      <c r="KD30" s="171" t="s">
        <v>2533</v>
      </c>
      <c r="KE30" s="91">
        <f>SUM(KG8:KG8)</f>
        <v>2000</v>
      </c>
      <c r="KF30" s="198">
        <v>10</v>
      </c>
      <c r="KG30" s="277" t="s">
        <v>2622</v>
      </c>
      <c r="KH30" s="69" t="s">
        <v>2152</v>
      </c>
      <c r="KI30" s="42"/>
      <c r="KL30" s="147" t="s">
        <v>2534</v>
      </c>
      <c r="KM30" s="101">
        <v>44.55</v>
      </c>
      <c r="KN30" s="69" t="s">
        <v>2152</v>
      </c>
      <c r="KO30" s="42"/>
      <c r="KR30" s="147" t="s">
        <v>2535</v>
      </c>
      <c r="KS30" s="42">
        <f>5+0.99</f>
        <v>5.99</v>
      </c>
      <c r="KT30" s="65" t="s">
        <v>2536</v>
      </c>
      <c r="KU30" s="42"/>
      <c r="KV30" s="61"/>
      <c r="KX30" s="67" t="s">
        <v>1832</v>
      </c>
      <c r="KY30" s="42">
        <f>14.32+9+9</f>
        <v>32.32</v>
      </c>
      <c r="KZ30" s="69" t="s">
        <v>2241</v>
      </c>
      <c r="LA30" s="42"/>
      <c r="LD30" s="67" t="s">
        <v>1832</v>
      </c>
      <c r="LE30" s="42">
        <f>14.32+18*2</f>
        <v>50.32</v>
      </c>
      <c r="LF30" s="65" t="s">
        <v>2537</v>
      </c>
      <c r="LG30" s="44">
        <v>28.82</v>
      </c>
      <c r="LH30" s="178" t="s">
        <v>1283</v>
      </c>
      <c r="LI30" s="91">
        <f>SUM(LK6:LK7)</f>
        <v>1900.02</v>
      </c>
      <c r="LJ30" s="147" t="s">
        <v>2538</v>
      </c>
      <c r="LK30" s="42">
        <v>10.6</v>
      </c>
      <c r="LL30" s="65"/>
      <c r="LM30" s="42"/>
      <c r="LN30" s="47" t="s">
        <v>2244</v>
      </c>
      <c r="LO30" s="307"/>
      <c r="LP30" s="147" t="s">
        <v>2539</v>
      </c>
      <c r="LQ30" s="42">
        <v>80</v>
      </c>
      <c r="LR30" s="65" t="s">
        <v>2541</v>
      </c>
      <c r="LS30" s="14">
        <v>8</v>
      </c>
      <c r="LT30" s="611"/>
      <c r="LU30" s="611"/>
      <c r="LV30" s="67" t="s">
        <v>2015</v>
      </c>
      <c r="LW30" s="42">
        <f>13.41*2+10+10+15.88+15.54+15.1+10+15.45</f>
        <v>118.79</v>
      </c>
      <c r="LX30" s="595"/>
      <c r="LY30" s="44"/>
    </row>
    <row r="31" spans="1:339" ht="12.75" customHeight="1">
      <c r="A31" s="675" t="s">
        <v>327</v>
      </c>
      <c r="B31" s="675"/>
      <c r="E31" s="53"/>
      <c r="F31" s="53"/>
      <c r="G31" s="675" t="s">
        <v>327</v>
      </c>
      <c r="H31" s="675"/>
      <c r="M31" s="667" t="s">
        <v>390</v>
      </c>
      <c r="N31" s="667"/>
      <c r="Q31" s="67" t="s">
        <v>1963</v>
      </c>
      <c r="R31" s="14">
        <v>55</v>
      </c>
      <c r="S31" s="667" t="s">
        <v>390</v>
      </c>
      <c r="T31" s="667"/>
      <c r="W31" s="68" t="s">
        <v>2542</v>
      </c>
      <c r="X31" s="68">
        <v>0</v>
      </c>
      <c r="Y31" s="674" t="s">
        <v>2495</v>
      </c>
      <c r="Z31" s="674"/>
      <c r="AE31" s="667" t="s">
        <v>390</v>
      </c>
      <c r="AF31" s="667"/>
      <c r="AK31" s="61" t="s">
        <v>390</v>
      </c>
      <c r="AL31" s="61" t="s">
        <v>390</v>
      </c>
      <c r="AO31" s="67" t="s">
        <v>2121</v>
      </c>
      <c r="AP31" s="61">
        <v>200</v>
      </c>
      <c r="AQ31" s="61" t="s">
        <v>390</v>
      </c>
      <c r="AR31" s="61"/>
      <c r="AU31" s="67" t="s">
        <v>2121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2543</v>
      </c>
      <c r="BF31" s="14">
        <v>53</v>
      </c>
      <c r="BG31" s="61" t="s">
        <v>390</v>
      </c>
      <c r="BH31" s="61"/>
      <c r="BK31" s="90" t="s">
        <v>2544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2545</v>
      </c>
      <c r="BX31" s="43">
        <v>29.8</v>
      </c>
      <c r="BY31" s="61" t="s">
        <v>390</v>
      </c>
      <c r="BZ31" s="57"/>
      <c r="CC31" s="90" t="s">
        <v>2546</v>
      </c>
      <c r="CD31" s="43">
        <v>37</v>
      </c>
      <c r="CE31" s="61" t="s">
        <v>390</v>
      </c>
      <c r="CF31" s="57"/>
      <c r="CI31" s="103" t="s">
        <v>2547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2548</v>
      </c>
      <c r="CV31" s="43">
        <v>50.26</v>
      </c>
      <c r="CW31" s="49" t="s">
        <v>224</v>
      </c>
      <c r="CX31" s="57"/>
      <c r="DA31" s="120"/>
      <c r="DC31" s="568" t="s">
        <v>2343</v>
      </c>
      <c r="DD31" s="100"/>
      <c r="DE31" s="43" t="s">
        <v>2549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2550</v>
      </c>
      <c r="DN31" s="57">
        <v>5</v>
      </c>
      <c r="DO31" s="672" t="s">
        <v>2551</v>
      </c>
      <c r="DP31" s="672"/>
      <c r="DQ31" s="61"/>
      <c r="DS31" s="118" t="s">
        <v>2552</v>
      </c>
      <c r="DT31" s="57">
        <f>95+70</f>
        <v>165</v>
      </c>
      <c r="DU31" s="139" t="s">
        <v>2505</v>
      </c>
      <c r="DV31" s="140"/>
      <c r="DY31" s="21" t="s">
        <v>2553</v>
      </c>
      <c r="DZ31" s="21"/>
      <c r="EA31" s="21" t="s">
        <v>2554</v>
      </c>
      <c r="EB31" s="21">
        <v>991</v>
      </c>
      <c r="EE31" s="14" t="s">
        <v>2555</v>
      </c>
      <c r="EF31" s="14">
        <v>30</v>
      </c>
      <c r="EG31" s="49"/>
      <c r="EH31" s="14" t="s">
        <v>2556</v>
      </c>
      <c r="EL31" s="21" t="s">
        <v>2557</v>
      </c>
      <c r="EM31" s="21"/>
      <c r="EN31" s="14" t="s">
        <v>2558</v>
      </c>
      <c r="ER31" s="21" t="s">
        <v>2559</v>
      </c>
      <c r="ES31" s="21"/>
      <c r="ET31" s="69" t="s">
        <v>2363</v>
      </c>
      <c r="EU31" s="102">
        <v>326.35000000000002</v>
      </c>
      <c r="EX31" s="150" t="s">
        <v>2560</v>
      </c>
      <c r="EY31" s="152"/>
      <c r="EZ31" s="49" t="s">
        <v>2414</v>
      </c>
      <c r="FA31" s="94">
        <f>7000+1000</f>
        <v>8000</v>
      </c>
      <c r="FD31" s="150" t="s">
        <v>2561</v>
      </c>
      <c r="FE31" s="152"/>
      <c r="FF31" s="49" t="s">
        <v>2414</v>
      </c>
      <c r="FG31" s="94">
        <v>0</v>
      </c>
      <c r="FJ31" s="152" t="s">
        <v>2562</v>
      </c>
      <c r="FK31" s="152"/>
      <c r="FL31" s="49" t="s">
        <v>1854</v>
      </c>
      <c r="FM31" s="94">
        <v>1010</v>
      </c>
      <c r="FP31" s="147" t="s">
        <v>2563</v>
      </c>
      <c r="FQ31" s="14">
        <v>8</v>
      </c>
      <c r="FR31" s="49" t="s">
        <v>2459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2313</v>
      </c>
      <c r="FY31" s="97"/>
      <c r="GB31" s="147" t="s">
        <v>2564</v>
      </c>
      <c r="GC31" s="14">
        <v>20</v>
      </c>
      <c r="GD31" s="77" t="s">
        <v>2313</v>
      </c>
      <c r="GE31" s="97"/>
      <c r="GH31" s="147" t="s">
        <v>2565</v>
      </c>
      <c r="GI31" s="14">
        <v>66.62</v>
      </c>
      <c r="GJ31" s="49" t="s">
        <v>2421</v>
      </c>
      <c r="GK31" s="94">
        <v>0</v>
      </c>
      <c r="GN31" s="147" t="s">
        <v>2566</v>
      </c>
      <c r="GO31" s="14">
        <v>14.06</v>
      </c>
      <c r="GP31" s="77" t="s">
        <v>2313</v>
      </c>
      <c r="GQ31" s="97"/>
      <c r="GR31" s="49"/>
      <c r="GS31" s="64"/>
      <c r="GT31" s="147" t="s">
        <v>2567</v>
      </c>
      <c r="GU31" s="14">
        <v>47.67</v>
      </c>
      <c r="GV31" s="69"/>
      <c r="GZ31" s="147" t="s">
        <v>2568</v>
      </c>
      <c r="HA31" s="14">
        <v>41.4</v>
      </c>
      <c r="HB31" s="69" t="s">
        <v>2569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2570</v>
      </c>
      <c r="HK31" s="165">
        <v>300</v>
      </c>
      <c r="HL31" s="198">
        <v>45</v>
      </c>
      <c r="HM31" s="150" t="s">
        <v>2174</v>
      </c>
      <c r="HP31" s="164" t="s">
        <v>2376</v>
      </c>
      <c r="HQ31" s="192">
        <f>SUM(HS12:HS23)</f>
        <v>1323.1366666666668</v>
      </c>
      <c r="HR31" s="43" t="s">
        <v>2277</v>
      </c>
      <c r="HS31" s="43">
        <v>429</v>
      </c>
      <c r="HT31" s="49" t="s">
        <v>1980</v>
      </c>
      <c r="HU31" s="94">
        <v>2000</v>
      </c>
      <c r="HX31" s="14" t="s">
        <v>2235</v>
      </c>
      <c r="HY31" s="61">
        <v>20</v>
      </c>
      <c r="HZ31" s="65" t="s">
        <v>1925</v>
      </c>
      <c r="IA31" s="14">
        <v>1000</v>
      </c>
      <c r="IB31" s="147" t="s">
        <v>2434</v>
      </c>
      <c r="IC31" s="14">
        <f>SUM(IE27:IE35)</f>
        <v>712.47</v>
      </c>
      <c r="ID31" s="147" t="s">
        <v>2571</v>
      </c>
      <c r="IE31" s="14">
        <v>10</v>
      </c>
      <c r="IF31" s="69" t="s">
        <v>2572</v>
      </c>
      <c r="IG31" s="229">
        <v>125.91</v>
      </c>
      <c r="IH31" s="188"/>
      <c r="II31" s="206"/>
      <c r="IJ31" s="147" t="s">
        <v>2573</v>
      </c>
      <c r="IK31" s="14">
        <f>22+32.4</f>
        <v>54.4</v>
      </c>
      <c r="IL31" s="69"/>
      <c r="IM31" s="97"/>
      <c r="IN31" s="193"/>
      <c r="IP31" s="147" t="s">
        <v>2574</v>
      </c>
      <c r="IQ31" s="42">
        <v>42.17</v>
      </c>
      <c r="IR31" s="69"/>
      <c r="IV31" s="198">
        <v>50</v>
      </c>
      <c r="IW31" s="239" t="s">
        <v>2424</v>
      </c>
      <c r="IX31" s="14" t="s">
        <v>224</v>
      </c>
      <c r="IZ31" s="154" t="s">
        <v>1320</v>
      </c>
      <c r="JA31" s="44">
        <f>SUM(JC8:JC10)</f>
        <v>1354.32</v>
      </c>
      <c r="JB31" s="246" t="s">
        <v>2575</v>
      </c>
      <c r="JC31" s="101">
        <v>74.959999999999994</v>
      </c>
      <c r="JD31" s="14" t="s">
        <v>2576</v>
      </c>
      <c r="JF31" s="157" t="s">
        <v>2322</v>
      </c>
      <c r="JG31" s="168">
        <f>SUM(JI9:JI11)</f>
        <v>2683.17</v>
      </c>
      <c r="JH31" s="147" t="s">
        <v>2577</v>
      </c>
      <c r="JI31" s="101">
        <f>6.2+29.5</f>
        <v>35.700000000000003</v>
      </c>
      <c r="JL31" s="162" t="s">
        <v>2376</v>
      </c>
      <c r="JM31" s="44">
        <f>SUM(JO14:JO21)</f>
        <v>1710.4379999999999</v>
      </c>
      <c r="JN31" s="172" t="s">
        <v>2481</v>
      </c>
      <c r="JO31" s="197">
        <f>JK22+JM35-JQ20</f>
        <v>770</v>
      </c>
      <c r="JQ31" s="44"/>
      <c r="JR31" s="147" t="s">
        <v>2578</v>
      </c>
      <c r="JS31" s="258">
        <f>SUM(JU24:JU27)</f>
        <v>169.60000000000002</v>
      </c>
      <c r="JT31" s="172" t="s">
        <v>2481</v>
      </c>
      <c r="JU31" s="197">
        <f>JQ20+JS34-JW19</f>
        <v>70</v>
      </c>
      <c r="JZ31" s="164" t="s">
        <v>1947</v>
      </c>
      <c r="KA31" s="42">
        <v>10.8</v>
      </c>
      <c r="KB31" s="14" t="s">
        <v>2576</v>
      </c>
      <c r="KD31" s="154" t="s">
        <v>1320</v>
      </c>
      <c r="KE31" s="44">
        <v>0</v>
      </c>
      <c r="KF31" s="198">
        <v>70</v>
      </c>
      <c r="KG31" s="239" t="s">
        <v>2424</v>
      </c>
      <c r="KH31" s="69" t="s">
        <v>2247</v>
      </c>
      <c r="KI31" s="42">
        <v>1.64</v>
      </c>
      <c r="KK31" s="49"/>
      <c r="KL31" s="147" t="s">
        <v>2192</v>
      </c>
      <c r="KM31" s="101">
        <v>57.86</v>
      </c>
      <c r="KN31" s="65" t="s">
        <v>2579</v>
      </c>
      <c r="KO31" s="42">
        <v>3.54</v>
      </c>
      <c r="KQ31" s="49"/>
      <c r="KR31" s="147" t="s">
        <v>2580</v>
      </c>
      <c r="KS31" s="42">
        <v>43.9</v>
      </c>
      <c r="KT31" s="69" t="s">
        <v>2581</v>
      </c>
      <c r="KU31" s="42">
        <v>95</v>
      </c>
      <c r="KV31" s="61"/>
      <c r="KX31" s="67" t="s">
        <v>2015</v>
      </c>
      <c r="KY31" s="42">
        <f>16.79+10+18.2+10+17.89+10+21.84+10.3+10+19.32+2.2+15.96+15</f>
        <v>177.5</v>
      </c>
      <c r="KZ31" s="69"/>
      <c r="LA31" s="42"/>
      <c r="LD31" s="67" t="s">
        <v>2015</v>
      </c>
      <c r="LE31" s="42">
        <f>15+16.38+16.09+15.91+10+16.16+19.63</f>
        <v>109.16999999999999</v>
      </c>
      <c r="LF31" s="65"/>
      <c r="LG31" s="44"/>
      <c r="LH31" s="171" t="s">
        <v>2628</v>
      </c>
      <c r="LI31" s="91">
        <f>SUM(LK20:LK20)</f>
        <v>1154.33</v>
      </c>
      <c r="LJ31" s="147" t="s">
        <v>2582</v>
      </c>
      <c r="LK31" s="101">
        <f>45.98+50</f>
        <v>95.97999999999999</v>
      </c>
      <c r="LL31" s="69" t="s">
        <v>2152</v>
      </c>
      <c r="LM31" s="42"/>
      <c r="LN31" s="178" t="s">
        <v>1283</v>
      </c>
      <c r="LO31" s="57">
        <f>SUM(LQ6:LQ10)</f>
        <v>8400.23</v>
      </c>
      <c r="LP31" s="147" t="s">
        <v>2583</v>
      </c>
      <c r="LQ31" s="42">
        <v>78.650000000000006</v>
      </c>
      <c r="LT31" s="611"/>
      <c r="LU31" s="611"/>
      <c r="LV31" s="147" t="s">
        <v>3355</v>
      </c>
      <c r="LW31" s="42">
        <f>20+10+10</f>
        <v>40</v>
      </c>
      <c r="LX31" s="65" t="s">
        <v>2296</v>
      </c>
      <c r="LY31" s="44"/>
    </row>
    <row r="32" spans="1:339">
      <c r="A32" s="674" t="s">
        <v>2495</v>
      </c>
      <c r="B32" s="674"/>
      <c r="C32" s="64"/>
      <c r="D32" s="64"/>
      <c r="E32" s="64"/>
      <c r="F32" s="64"/>
      <c r="G32" s="674" t="s">
        <v>2495</v>
      </c>
      <c r="H32" s="674"/>
      <c r="K32" s="68" t="s">
        <v>2585</v>
      </c>
      <c r="L32" s="68"/>
      <c r="M32" s="668" t="s">
        <v>2576</v>
      </c>
      <c r="N32" s="668"/>
      <c r="Q32" s="67" t="s">
        <v>2027</v>
      </c>
      <c r="R32" s="14">
        <v>77.239999999999995</v>
      </c>
      <c r="S32" s="668" t="s">
        <v>2576</v>
      </c>
      <c r="T32" s="668"/>
      <c r="Y32" s="667" t="s">
        <v>390</v>
      </c>
      <c r="Z32" s="667"/>
      <c r="AC32" s="578" t="s">
        <v>1459</v>
      </c>
      <c r="AD32" s="14">
        <v>350</v>
      </c>
      <c r="AE32" s="668" t="s">
        <v>2576</v>
      </c>
      <c r="AF32" s="668"/>
      <c r="AI32" s="578" t="s">
        <v>1459</v>
      </c>
      <c r="AJ32" s="14">
        <v>200</v>
      </c>
      <c r="AK32" s="69" t="s">
        <v>2576</v>
      </c>
      <c r="AL32" s="69" t="s">
        <v>2576</v>
      </c>
      <c r="AQ32" s="69" t="s">
        <v>2576</v>
      </c>
      <c r="AR32" s="69"/>
      <c r="AW32" s="69" t="s">
        <v>2576</v>
      </c>
      <c r="AX32" s="69"/>
      <c r="BA32" s="69" t="s">
        <v>2576</v>
      </c>
      <c r="BB32" s="69"/>
      <c r="BE32" s="78" t="s">
        <v>2586</v>
      </c>
      <c r="BF32" s="14">
        <v>14</v>
      </c>
      <c r="BG32" s="69" t="s">
        <v>2576</v>
      </c>
      <c r="BH32" s="69"/>
      <c r="BM32" s="69" t="s">
        <v>2576</v>
      </c>
      <c r="BN32" s="69"/>
      <c r="BQ32" s="43" t="s">
        <v>2587</v>
      </c>
      <c r="BR32" s="43" t="s">
        <v>2588</v>
      </c>
      <c r="BS32" s="69" t="s">
        <v>2576</v>
      </c>
      <c r="BT32" s="97"/>
      <c r="BW32" s="90"/>
      <c r="BY32" s="69" t="s">
        <v>2576</v>
      </c>
      <c r="BZ32" s="101"/>
      <c r="CC32" s="90" t="s">
        <v>2589</v>
      </c>
      <c r="CD32" s="43">
        <v>82.15</v>
      </c>
      <c r="CE32" s="69" t="s">
        <v>2576</v>
      </c>
      <c r="CF32" s="101"/>
      <c r="CI32" s="103" t="s">
        <v>2590</v>
      </c>
      <c r="CJ32" s="43">
        <v>28.6</v>
      </c>
      <c r="CK32" s="69" t="s">
        <v>2576</v>
      </c>
      <c r="CL32" s="101"/>
      <c r="CO32" s="43" t="s">
        <v>2591</v>
      </c>
      <c r="CP32" s="43">
        <v>60</v>
      </c>
      <c r="CQ32" s="69" t="s">
        <v>2576</v>
      </c>
      <c r="CR32" s="101"/>
      <c r="CU32" s="43" t="s">
        <v>2592</v>
      </c>
      <c r="CV32" s="43">
        <v>11</v>
      </c>
      <c r="CW32" s="14" t="s">
        <v>2450</v>
      </c>
      <c r="CX32" s="101"/>
      <c r="DA32" s="681" t="s">
        <v>2481</v>
      </c>
      <c r="DB32" s="682"/>
      <c r="DC32" s="49" t="s">
        <v>224</v>
      </c>
      <c r="DD32" s="57"/>
      <c r="DE32" s="61" t="s">
        <v>2593</v>
      </c>
      <c r="DF32" s="43">
        <v>307.61</v>
      </c>
      <c r="DG32" s="88" t="s">
        <v>1912</v>
      </c>
      <c r="DH32" s="57">
        <f>140.45+146.45</f>
        <v>286.89999999999998</v>
      </c>
      <c r="DI32" s="21" t="s">
        <v>2034</v>
      </c>
      <c r="DJ32" s="92">
        <v>10000</v>
      </c>
      <c r="DM32" s="118" t="s">
        <v>2594</v>
      </c>
      <c r="DN32" s="57">
        <v>20</v>
      </c>
      <c r="DO32" s="111" t="s">
        <v>2595</v>
      </c>
      <c r="DP32" s="111"/>
      <c r="DS32" s="118" t="s">
        <v>2596</v>
      </c>
      <c r="DT32" s="57">
        <v>8.5</v>
      </c>
      <c r="DU32" s="141" t="s">
        <v>2597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2598</v>
      </c>
      <c r="EM32" s="21"/>
      <c r="EN32" s="14" t="s">
        <v>2556</v>
      </c>
      <c r="ER32" s="21" t="s">
        <v>2599</v>
      </c>
      <c r="ES32" s="21"/>
      <c r="ET32" s="69" t="s">
        <v>2600</v>
      </c>
      <c r="EU32" s="91">
        <v>1178</v>
      </c>
      <c r="EX32" s="150" t="s">
        <v>2601</v>
      </c>
      <c r="EY32" s="152"/>
      <c r="EZ32" s="49" t="s">
        <v>2459</v>
      </c>
      <c r="FA32" s="94" t="s">
        <v>740</v>
      </c>
      <c r="FD32" s="150" t="s">
        <v>2602</v>
      </c>
      <c r="FE32" s="152"/>
      <c r="FF32" s="49" t="s">
        <v>2459</v>
      </c>
      <c r="FG32" s="94">
        <v>0</v>
      </c>
      <c r="FJ32" s="150" t="s">
        <v>2603</v>
      </c>
      <c r="FK32" s="152"/>
      <c r="FL32" s="49" t="s">
        <v>1854</v>
      </c>
      <c r="FM32" s="94">
        <v>6010</v>
      </c>
      <c r="FP32" s="147" t="s">
        <v>2604</v>
      </c>
      <c r="FQ32" s="14">
        <f>6+4.39+49</f>
        <v>59.39</v>
      </c>
      <c r="FR32" s="77" t="s">
        <v>2313</v>
      </c>
      <c r="FS32" s="97"/>
      <c r="FV32" s="152" t="s">
        <v>2605</v>
      </c>
      <c r="FW32" s="152"/>
      <c r="FX32" s="69"/>
      <c r="FY32" s="97"/>
      <c r="GB32" s="147" t="s">
        <v>2550</v>
      </c>
      <c r="GC32" s="14">
        <v>10</v>
      </c>
      <c r="GD32" s="69"/>
      <c r="GE32" s="97"/>
      <c r="GH32" s="172" t="s">
        <v>2365</v>
      </c>
      <c r="GI32" s="172"/>
      <c r="GJ32" s="77" t="s">
        <v>2313</v>
      </c>
      <c r="GK32" s="97"/>
      <c r="GN32" s="147" t="s">
        <v>2606</v>
      </c>
      <c r="GO32" s="14">
        <v>10</v>
      </c>
      <c r="GP32" s="170" t="s">
        <v>2607</v>
      </c>
      <c r="GQ32" s="61">
        <v>35.1</v>
      </c>
      <c r="GT32" s="147" t="s">
        <v>2336</v>
      </c>
      <c r="GU32" s="14">
        <f>37.5+18.7</f>
        <v>56.2</v>
      </c>
      <c r="GV32" s="69"/>
      <c r="GW32" s="97"/>
      <c r="GZ32" s="147" t="s">
        <v>2608</v>
      </c>
      <c r="HA32" s="14">
        <f>12.35+5.8</f>
        <v>18.149999999999999</v>
      </c>
      <c r="HB32" s="69" t="s">
        <v>2609</v>
      </c>
      <c r="HC32" s="101">
        <v>13.5</v>
      </c>
      <c r="HF32" s="152" t="s">
        <v>2610</v>
      </c>
      <c r="HG32" s="166">
        <f>HC17+HF31-HI16</f>
        <v>200</v>
      </c>
      <c r="HH32" s="183" t="s">
        <v>1998</v>
      </c>
      <c r="HI32" s="193">
        <v>1580.64</v>
      </c>
      <c r="HK32" s="149"/>
      <c r="HL32" s="198">
        <v>5</v>
      </c>
      <c r="HM32" s="150" t="s">
        <v>2611</v>
      </c>
      <c r="HP32" s="164" t="s">
        <v>2612</v>
      </c>
      <c r="HQ32" s="192"/>
      <c r="HR32" s="196">
        <v>28.54</v>
      </c>
      <c r="HS32" s="43" t="s">
        <v>2320</v>
      </c>
      <c r="HT32" s="49" t="s">
        <v>2036</v>
      </c>
      <c r="HU32" s="94">
        <v>4000</v>
      </c>
      <c r="HX32" s="14" t="s">
        <v>2613</v>
      </c>
      <c r="HY32" s="61">
        <v>10</v>
      </c>
      <c r="HZ32" s="49" t="s">
        <v>1520</v>
      </c>
      <c r="IA32" s="94">
        <v>3000</v>
      </c>
      <c r="IB32" s="147" t="s">
        <v>2518</v>
      </c>
      <c r="IC32" s="14">
        <f>SUM(IE31:IE35)</f>
        <v>210.71</v>
      </c>
      <c r="ID32" s="147" t="s">
        <v>2614</v>
      </c>
      <c r="IE32" s="14">
        <f>40.3+11+11.4+19.2</f>
        <v>81.899999999999991</v>
      </c>
      <c r="IF32" s="69" t="s">
        <v>2615</v>
      </c>
      <c r="IG32" s="97">
        <v>146</v>
      </c>
      <c r="IH32" s="188"/>
      <c r="II32" s="206"/>
      <c r="IJ32" s="147" t="s">
        <v>2616</v>
      </c>
      <c r="IK32" s="14">
        <f>10.1+8+57.3+1.6</f>
        <v>77</v>
      </c>
      <c r="IL32" s="14" t="s">
        <v>399</v>
      </c>
      <c r="IN32" s="680" t="s">
        <v>2146</v>
      </c>
      <c r="IO32" s="680"/>
      <c r="IP32" s="147" t="s">
        <v>2617</v>
      </c>
      <c r="IQ32" s="42">
        <v>6.5</v>
      </c>
      <c r="IR32" s="14" t="s">
        <v>399</v>
      </c>
      <c r="IV32" s="198">
        <v>10</v>
      </c>
      <c r="IW32" s="239" t="s">
        <v>2618</v>
      </c>
      <c r="IX32" s="14" t="s">
        <v>2619</v>
      </c>
      <c r="IZ32" s="157" t="s">
        <v>2322</v>
      </c>
      <c r="JA32" s="44">
        <f>SUM(JC11:JC13)</f>
        <v>762.4899999999999</v>
      </c>
      <c r="JB32" s="246" t="s">
        <v>2620</v>
      </c>
      <c r="JC32" s="101">
        <v>74.13</v>
      </c>
      <c r="JF32" s="162" t="s">
        <v>2376</v>
      </c>
      <c r="JG32" s="44">
        <f>SUM(JI16:JI24)</f>
        <v>412.16</v>
      </c>
      <c r="JH32" s="14" t="s">
        <v>2439</v>
      </c>
      <c r="JI32" s="57">
        <v>78</v>
      </c>
      <c r="JJ32" s="14" t="s">
        <v>399</v>
      </c>
      <c r="JL32" s="147" t="s">
        <v>2434</v>
      </c>
      <c r="JM32" s="44">
        <f>SUM(JO22:JO27)</f>
        <v>3204.23</v>
      </c>
      <c r="JN32" s="198">
        <v>60</v>
      </c>
      <c r="JO32" s="239" t="s">
        <v>2424</v>
      </c>
      <c r="JQ32" s="44"/>
      <c r="JT32" s="198">
        <v>30</v>
      </c>
      <c r="JU32" s="239" t="s">
        <v>2621</v>
      </c>
      <c r="JZ32" s="164" t="s">
        <v>2015</v>
      </c>
      <c r="KA32" s="42">
        <f>16.3+16.34+12.3+10+15.21+16.19+10+16.01+15.57+10+10+15.19</f>
        <v>163.11000000000001</v>
      </c>
      <c r="KD32" s="157" t="s">
        <v>2322</v>
      </c>
      <c r="KE32" s="44">
        <f>SUM(KG7:KG7)</f>
        <v>10.25</v>
      </c>
      <c r="KF32" s="198">
        <v>45</v>
      </c>
      <c r="KG32" s="239" t="s">
        <v>2718</v>
      </c>
      <c r="KH32" s="69" t="s">
        <v>2623</v>
      </c>
      <c r="KI32" s="42"/>
      <c r="KL32" s="147" t="s">
        <v>2448</v>
      </c>
      <c r="KM32" s="101">
        <v>36.5</v>
      </c>
      <c r="KN32" s="14" t="s">
        <v>2624</v>
      </c>
      <c r="KO32" s="42">
        <v>58.2</v>
      </c>
      <c r="KR32" s="147" t="s">
        <v>2625</v>
      </c>
      <c r="KS32" s="42">
        <v>24.5</v>
      </c>
      <c r="KT32" s="69"/>
      <c r="KU32" s="42"/>
      <c r="KV32" s="61"/>
      <c r="KX32" s="147" t="s">
        <v>2626</v>
      </c>
      <c r="KY32" s="42">
        <v>40</v>
      </c>
      <c r="KZ32" s="69"/>
      <c r="LD32" s="147" t="s">
        <v>2627</v>
      </c>
      <c r="LE32" s="42">
        <v>40</v>
      </c>
      <c r="LF32" s="65"/>
      <c r="LH32" s="286" t="s">
        <v>2447</v>
      </c>
      <c r="LI32" s="44">
        <f>SUM(LK8:LK9)</f>
        <v>393.36</v>
      </c>
      <c r="LJ32" s="147" t="s">
        <v>2629</v>
      </c>
      <c r="LK32" s="101">
        <v>43.76</v>
      </c>
      <c r="LL32" s="65" t="s">
        <v>2630</v>
      </c>
      <c r="LM32" s="42">
        <v>37.99</v>
      </c>
      <c r="LN32" s="308" t="s">
        <v>2399</v>
      </c>
      <c r="LO32" s="57">
        <f>SUM(LQ11:LQ11)</f>
        <v>2000</v>
      </c>
      <c r="LP32" s="147" t="s">
        <v>2631</v>
      </c>
      <c r="LQ32" s="42">
        <f>9.79+12.29</f>
        <v>22.08</v>
      </c>
      <c r="LT32" s="598"/>
      <c r="LU32" s="598"/>
      <c r="LV32" s="147" t="s">
        <v>3363</v>
      </c>
      <c r="LW32" s="42">
        <v>661.57</v>
      </c>
    </row>
    <row r="33" spans="1:339">
      <c r="A33" s="667" t="s">
        <v>390</v>
      </c>
      <c r="B33" s="667"/>
      <c r="E33" s="579" t="s">
        <v>482</v>
      </c>
      <c r="F33" s="53"/>
      <c r="G33" s="667" t="s">
        <v>390</v>
      </c>
      <c r="H33" s="667"/>
      <c r="K33" s="68" t="s">
        <v>2632</v>
      </c>
      <c r="L33" s="68">
        <v>652</v>
      </c>
      <c r="Q33" s="67" t="s">
        <v>2074</v>
      </c>
      <c r="R33" s="14">
        <v>32</v>
      </c>
      <c r="W33" s="72" t="s">
        <v>2633</v>
      </c>
      <c r="X33" s="72">
        <v>283</v>
      </c>
      <c r="Y33" s="668" t="s">
        <v>2576</v>
      </c>
      <c r="Z33" s="668"/>
      <c r="AC33" s="568" t="s">
        <v>2634</v>
      </c>
      <c r="AD33" s="14">
        <v>100</v>
      </c>
      <c r="AI33" s="568" t="s">
        <v>2634</v>
      </c>
      <c r="AJ33" s="14">
        <v>200</v>
      </c>
      <c r="AO33" s="78" t="s">
        <v>2635</v>
      </c>
      <c r="AP33" s="14">
        <f>242+12+489</f>
        <v>743</v>
      </c>
      <c r="AU33" s="78" t="s">
        <v>2636</v>
      </c>
      <c r="AV33" s="14">
        <v>24</v>
      </c>
      <c r="AY33" s="78"/>
      <c r="BE33" s="78" t="s">
        <v>2637</v>
      </c>
      <c r="BF33" s="14">
        <v>18</v>
      </c>
      <c r="BK33" s="43" t="s">
        <v>2638</v>
      </c>
      <c r="BL33" s="43" t="s">
        <v>2588</v>
      </c>
      <c r="BQ33" s="43" t="s">
        <v>2639</v>
      </c>
      <c r="BR33" s="43" t="s">
        <v>2588</v>
      </c>
      <c r="BW33" s="43" t="s">
        <v>2640</v>
      </c>
      <c r="BX33" s="43" t="s">
        <v>2641</v>
      </c>
      <c r="CC33" s="90" t="s">
        <v>2642</v>
      </c>
      <c r="CD33" s="43">
        <v>171.4</v>
      </c>
      <c r="CI33" s="103" t="s">
        <v>2643</v>
      </c>
      <c r="CJ33" s="43">
        <v>44</v>
      </c>
      <c r="CO33" s="43" t="s">
        <v>2644</v>
      </c>
      <c r="CP33" s="43">
        <v>24</v>
      </c>
      <c r="CU33" s="43" t="s">
        <v>2645</v>
      </c>
      <c r="CV33" s="43">
        <v>318</v>
      </c>
      <c r="CW33" s="77" t="s">
        <v>2495</v>
      </c>
      <c r="DA33" s="122" t="s">
        <v>2646</v>
      </c>
      <c r="DB33" s="122">
        <v>300</v>
      </c>
      <c r="DC33" s="14" t="s">
        <v>2450</v>
      </c>
      <c r="DD33" s="101"/>
      <c r="DE33" s="61" t="s">
        <v>2647</v>
      </c>
      <c r="DF33" s="43">
        <f>569.34-527</f>
        <v>42.340000000000032</v>
      </c>
      <c r="DG33" s="88" t="s">
        <v>2127</v>
      </c>
      <c r="DH33" s="57">
        <f>2*(11+53.24)</f>
        <v>128.48000000000002</v>
      </c>
      <c r="DI33" s="21"/>
      <c r="DJ33" s="92"/>
      <c r="DM33" s="118" t="s">
        <v>2648</v>
      </c>
      <c r="DN33" s="57">
        <v>10</v>
      </c>
      <c r="DP33" s="56"/>
      <c r="DS33" s="118" t="s">
        <v>2649</v>
      </c>
      <c r="DT33" s="45">
        <v>11.41</v>
      </c>
      <c r="DU33" s="111" t="s">
        <v>2650</v>
      </c>
      <c r="DV33" s="111">
        <v>214</v>
      </c>
      <c r="DY33" s="14" t="s">
        <v>2651</v>
      </c>
      <c r="DZ33" s="14">
        <f>55.46-17.24</f>
        <v>38.22</v>
      </c>
      <c r="EA33" s="568" t="s">
        <v>399</v>
      </c>
      <c r="EE33" s="14" t="s">
        <v>2652</v>
      </c>
      <c r="EF33" s="14">
        <v>10.77</v>
      </c>
      <c r="EH33" s="14" t="s">
        <v>2450</v>
      </c>
      <c r="EL33" s="21" t="s">
        <v>2653</v>
      </c>
      <c r="EM33" s="21"/>
      <c r="EN33" s="14" t="s">
        <v>224</v>
      </c>
      <c r="ER33" s="21" t="s">
        <v>2654</v>
      </c>
      <c r="ES33" s="21"/>
      <c r="EX33" s="150" t="s">
        <v>2655</v>
      </c>
      <c r="EY33" s="152"/>
      <c r="EZ33" s="77" t="s">
        <v>2313</v>
      </c>
      <c r="FA33" s="97" t="s">
        <v>740</v>
      </c>
      <c r="FD33" s="150" t="s">
        <v>2656</v>
      </c>
      <c r="FE33" s="21"/>
      <c r="FF33" s="77" t="s">
        <v>2313</v>
      </c>
      <c r="FG33" s="97" t="s">
        <v>740</v>
      </c>
      <c r="FJ33" s="150" t="s">
        <v>2657</v>
      </c>
      <c r="FK33" s="152"/>
      <c r="FL33" s="49" t="s">
        <v>1854</v>
      </c>
      <c r="FM33" s="94">
        <v>10010</v>
      </c>
      <c r="FP33" s="147" t="s">
        <v>2658</v>
      </c>
      <c r="FQ33" s="14">
        <v>26.78</v>
      </c>
      <c r="FR33" s="69" t="s">
        <v>2659</v>
      </c>
      <c r="FS33" s="97">
        <v>53.5</v>
      </c>
      <c r="FV33" s="150" t="s">
        <v>2424</v>
      </c>
      <c r="FW33" s="152"/>
      <c r="FX33" s="69"/>
      <c r="FY33" s="97"/>
      <c r="GB33" s="172" t="s">
        <v>2365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2607</v>
      </c>
      <c r="GK33" s="61">
        <v>35.1</v>
      </c>
      <c r="GN33" s="147" t="s">
        <v>2660</v>
      </c>
      <c r="GO33" s="14">
        <v>20</v>
      </c>
      <c r="GP33" s="69" t="s">
        <v>2661</v>
      </c>
      <c r="GQ33" s="97">
        <v>81</v>
      </c>
      <c r="GT33" s="172" t="s">
        <v>2365</v>
      </c>
      <c r="GU33" s="21"/>
      <c r="GV33" s="14" t="s">
        <v>399</v>
      </c>
      <c r="GZ33" s="147" t="s">
        <v>2662</v>
      </c>
      <c r="HA33" s="14">
        <v>31.78</v>
      </c>
      <c r="HB33" s="69" t="s">
        <v>2663</v>
      </c>
      <c r="HC33" s="101">
        <v>12.9</v>
      </c>
      <c r="HF33" s="176">
        <v>35</v>
      </c>
      <c r="HG33" s="184" t="s">
        <v>2664</v>
      </c>
      <c r="HH33" s="183" t="s">
        <v>2328</v>
      </c>
      <c r="HI33" s="193">
        <v>6.1</v>
      </c>
      <c r="HL33" s="198">
        <v>17</v>
      </c>
      <c r="HM33" s="150" t="s">
        <v>2665</v>
      </c>
      <c r="HP33" s="147" t="s">
        <v>2434</v>
      </c>
      <c r="HQ33" s="14">
        <f>SUM(HS24:HS29)</f>
        <v>160.6</v>
      </c>
      <c r="HR33" s="172" t="s">
        <v>2666</v>
      </c>
      <c r="HS33" s="197">
        <f>HO18+HQ36-HU24</f>
        <v>100</v>
      </c>
      <c r="HT33" s="77"/>
      <c r="HU33" s="97"/>
      <c r="HX33" s="43" t="s">
        <v>2277</v>
      </c>
      <c r="HY33" s="43">
        <v>434</v>
      </c>
      <c r="HZ33" s="49" t="s">
        <v>1572</v>
      </c>
      <c r="IA33" s="94">
        <v>4000</v>
      </c>
      <c r="IB33" s="208" t="s">
        <v>2427</v>
      </c>
      <c r="IC33" s="14">
        <f>SUM(IE54:IE58)</f>
        <v>235.25000000000003</v>
      </c>
      <c r="ID33" s="147" t="s">
        <v>2667</v>
      </c>
      <c r="IE33" s="14">
        <v>30.01</v>
      </c>
      <c r="IH33" s="188"/>
      <c r="II33" s="206"/>
      <c r="IJ33" s="147" t="s">
        <v>2668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2330</v>
      </c>
      <c r="IQ33" s="57">
        <v>40</v>
      </c>
      <c r="IR33" s="14" t="s">
        <v>224</v>
      </c>
      <c r="IU33" s="228"/>
      <c r="IV33" s="238" t="s">
        <v>2669</v>
      </c>
      <c r="IW33" s="243">
        <v>70</v>
      </c>
      <c r="IX33" s="14" t="s">
        <v>2558</v>
      </c>
      <c r="IZ33" s="162" t="s">
        <v>2376</v>
      </c>
      <c r="JA33" s="44">
        <f>SUM(JC17:JC25)</f>
        <v>1699.2099999999998</v>
      </c>
      <c r="JB33" s="246" t="s">
        <v>2670</v>
      </c>
      <c r="JC33" s="101">
        <v>24.71</v>
      </c>
      <c r="JF33" s="147" t="s">
        <v>2434</v>
      </c>
      <c r="JG33" s="44">
        <f>SUM(JI25:JI31)</f>
        <v>353.64</v>
      </c>
      <c r="JH33" s="43" t="s">
        <v>2277</v>
      </c>
      <c r="JI33" s="45">
        <f>158+69+34+259</f>
        <v>520</v>
      </c>
      <c r="JJ33" s="14" t="s">
        <v>224</v>
      </c>
      <c r="JL33" s="147" t="s">
        <v>2480</v>
      </c>
      <c r="JM33" s="44">
        <f>SUM(JO23:JO27)</f>
        <v>251.23</v>
      </c>
      <c r="JN33" s="198">
        <v>40</v>
      </c>
      <c r="JO33" s="239" t="s">
        <v>2671</v>
      </c>
      <c r="JQ33" s="44"/>
      <c r="JT33" s="198">
        <v>10</v>
      </c>
      <c r="JU33" s="239" t="s">
        <v>2424</v>
      </c>
      <c r="JZ33" s="147" t="s">
        <v>2672</v>
      </c>
      <c r="KA33" s="42">
        <f>80+115</f>
        <v>195</v>
      </c>
      <c r="KD33" s="162" t="s">
        <v>2584</v>
      </c>
      <c r="KE33" s="44">
        <f>SUM(KG9:KG17)</f>
        <v>1038.25</v>
      </c>
      <c r="KF33" s="198">
        <v>30</v>
      </c>
      <c r="KG33" s="239" t="s">
        <v>2765</v>
      </c>
      <c r="KH33" s="69" t="s">
        <v>2673</v>
      </c>
      <c r="KI33" s="101">
        <v>52.8</v>
      </c>
      <c r="KL33" s="147" t="s">
        <v>2674</v>
      </c>
      <c r="KM33" s="101">
        <v>50.1</v>
      </c>
      <c r="KN33" s="69" t="s">
        <v>2675</v>
      </c>
      <c r="KO33" s="42">
        <v>16.3</v>
      </c>
      <c r="KR33" s="147" t="s">
        <v>2676</v>
      </c>
      <c r="KS33" s="101">
        <v>48.11</v>
      </c>
      <c r="KT33" s="69"/>
      <c r="KU33" s="42"/>
      <c r="KV33" s="61"/>
      <c r="KX33" s="147" t="s">
        <v>2677</v>
      </c>
      <c r="KY33" s="42">
        <v>10</v>
      </c>
      <c r="KZ33" s="65"/>
      <c r="LA33" s="42"/>
      <c r="LD33" s="147" t="s">
        <v>2678</v>
      </c>
      <c r="LE33" s="42">
        <f>530+3</f>
        <v>533</v>
      </c>
      <c r="LF33" s="69" t="s">
        <v>2679</v>
      </c>
      <c r="LH33" s="155" t="s">
        <v>2493</v>
      </c>
      <c r="LI33" s="44">
        <f>SUM(LK10:LK16)</f>
        <v>1005.08</v>
      </c>
      <c r="LJ33" s="147" t="s">
        <v>2680</v>
      </c>
      <c r="LK33" s="101">
        <f>15.1+24.6</f>
        <v>39.700000000000003</v>
      </c>
      <c r="LL33" s="65" t="s">
        <v>2681</v>
      </c>
      <c r="LM33" s="42">
        <v>10184</v>
      </c>
      <c r="LN33" s="43" t="s">
        <v>2447</v>
      </c>
      <c r="LO33" s="602">
        <f>SUM(LQ12:LQ13)</f>
        <v>3219.09</v>
      </c>
      <c r="LP33" s="147" t="s">
        <v>2682</v>
      </c>
      <c r="LQ33" s="101">
        <v>32</v>
      </c>
      <c r="LT33" s="598"/>
      <c r="LU33" s="598"/>
      <c r="LV33" s="147" t="s">
        <v>2491</v>
      </c>
      <c r="LW33" s="42">
        <f>5.5+3</f>
        <v>8.5</v>
      </c>
      <c r="LX33" s="69" t="s">
        <v>2152</v>
      </c>
      <c r="LY33" s="42"/>
      <c r="MA33" s="609"/>
    </row>
    <row r="34" spans="1:339">
      <c r="F34" s="53"/>
      <c r="K34" s="68" t="s">
        <v>2683</v>
      </c>
      <c r="L34" s="68">
        <v>76</v>
      </c>
      <c r="N34" s="14"/>
      <c r="Q34" s="67" t="s">
        <v>2121</v>
      </c>
      <c r="R34" s="14">
        <v>100.01</v>
      </c>
      <c r="T34" s="14"/>
      <c r="W34" s="72" t="s">
        <v>2684</v>
      </c>
      <c r="X34" s="72">
        <v>65</v>
      </c>
      <c r="AF34" s="14"/>
      <c r="AL34" s="14"/>
      <c r="AO34" s="79" t="s">
        <v>2685</v>
      </c>
      <c r="AP34" s="14">
        <v>50.28</v>
      </c>
      <c r="AR34" s="14"/>
      <c r="AX34" s="14"/>
      <c r="BB34" s="14"/>
      <c r="BE34" s="78" t="s">
        <v>2686</v>
      </c>
      <c r="BF34" s="14">
        <f>5+5</f>
        <v>10</v>
      </c>
      <c r="BG34" s="14" t="s">
        <v>2687</v>
      </c>
      <c r="BH34" s="14"/>
      <c r="BN34" s="14"/>
      <c r="BQ34" s="43" t="s">
        <v>2688</v>
      </c>
      <c r="BR34" s="43">
        <f>950+20+20+12</f>
        <v>1002</v>
      </c>
      <c r="BW34" s="43" t="s">
        <v>2689</v>
      </c>
      <c r="BX34" s="43" t="s">
        <v>2641</v>
      </c>
      <c r="CC34" s="43" t="s">
        <v>2690</v>
      </c>
      <c r="CD34" s="43">
        <v>72.5</v>
      </c>
      <c r="CO34" s="43" t="s">
        <v>2691</v>
      </c>
      <c r="CP34" s="84">
        <f>28.9+35</f>
        <v>63.9</v>
      </c>
      <c r="CV34" s="84"/>
      <c r="CW34" s="61"/>
      <c r="DA34" s="122" t="s">
        <v>2692</v>
      </c>
      <c r="DB34" s="122"/>
      <c r="DC34" s="77" t="s">
        <v>2495</v>
      </c>
      <c r="DE34" s="61" t="s">
        <v>2693</v>
      </c>
      <c r="DF34" s="43">
        <f>17663-17242</f>
        <v>421</v>
      </c>
      <c r="DG34" s="88" t="s">
        <v>2170</v>
      </c>
      <c r="DH34" s="57">
        <f>64+32</f>
        <v>96</v>
      </c>
      <c r="DI34" s="21" t="s">
        <v>1917</v>
      </c>
      <c r="DJ34" s="92">
        <v>5000</v>
      </c>
      <c r="DM34" s="118" t="s">
        <v>2694</v>
      </c>
      <c r="DN34" s="57">
        <v>42.37</v>
      </c>
      <c r="DO34" s="568" t="s">
        <v>399</v>
      </c>
      <c r="DS34" s="118" t="s">
        <v>2695</v>
      </c>
      <c r="DT34" s="57">
        <f>6.9+70.45</f>
        <v>77.350000000000009</v>
      </c>
      <c r="DV34" s="56"/>
      <c r="DY34" s="14" t="s">
        <v>2696</v>
      </c>
      <c r="DZ34" s="14">
        <v>60.2</v>
      </c>
      <c r="EA34" s="568" t="s">
        <v>2556</v>
      </c>
      <c r="EE34" s="14" t="s">
        <v>1749</v>
      </c>
      <c r="EF34" s="14">
        <v>113.2</v>
      </c>
      <c r="EH34" s="14" t="s">
        <v>2576</v>
      </c>
      <c r="EL34" s="21" t="s">
        <v>2656</v>
      </c>
      <c r="EM34" s="21"/>
      <c r="EN34" s="14" t="s">
        <v>2450</v>
      </c>
      <c r="ER34" s="21" t="s">
        <v>2697</v>
      </c>
      <c r="ES34" s="21"/>
      <c r="ET34" s="14" t="s">
        <v>399</v>
      </c>
      <c r="EX34" s="21"/>
      <c r="EY34" s="21"/>
      <c r="EZ34" s="69"/>
      <c r="FA34" s="91"/>
      <c r="FD34" s="49" t="s">
        <v>2698</v>
      </c>
      <c r="FE34" s="49"/>
      <c r="FF34" s="69" t="s">
        <v>2699</v>
      </c>
      <c r="FG34" s="57">
        <v>30</v>
      </c>
      <c r="FJ34" s="150" t="s">
        <v>2700</v>
      </c>
      <c r="FK34" s="21"/>
      <c r="FL34" s="49" t="s">
        <v>1913</v>
      </c>
      <c r="FM34" s="94" t="s">
        <v>1861</v>
      </c>
      <c r="FP34" s="147" t="s">
        <v>2701</v>
      </c>
      <c r="FQ34" s="14">
        <v>7</v>
      </c>
      <c r="FR34" s="69" t="s">
        <v>2702</v>
      </c>
      <c r="FS34" s="97">
        <v>-738</v>
      </c>
      <c r="FV34" s="150" t="s">
        <v>2703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2704</v>
      </c>
      <c r="GI34" s="152"/>
      <c r="GJ34" s="69" t="s">
        <v>2659</v>
      </c>
      <c r="GK34" s="97">
        <v>20</v>
      </c>
      <c r="GN34" s="147" t="s">
        <v>2705</v>
      </c>
      <c r="GO34" s="14">
        <v>23.9</v>
      </c>
      <c r="GP34" s="69" t="s">
        <v>2706</v>
      </c>
      <c r="GQ34" s="97">
        <v>298</v>
      </c>
      <c r="GT34" s="165">
        <v>280</v>
      </c>
      <c r="GU34" s="172"/>
      <c r="GV34" s="14" t="s">
        <v>2558</v>
      </c>
      <c r="GZ34" s="147" t="s">
        <v>2707</v>
      </c>
      <c r="HA34" s="14">
        <v>64.86</v>
      </c>
      <c r="HB34" s="69" t="s">
        <v>2663</v>
      </c>
      <c r="HC34" s="101">
        <v>22.5</v>
      </c>
      <c r="HF34" s="176">
        <v>40</v>
      </c>
      <c r="HG34" s="150" t="s">
        <v>2471</v>
      </c>
      <c r="HL34" s="198">
        <v>6</v>
      </c>
      <c r="HM34" s="150" t="s">
        <v>2708</v>
      </c>
      <c r="HP34" s="147" t="s">
        <v>2518</v>
      </c>
      <c r="HR34" s="198">
        <v>4</v>
      </c>
      <c r="HS34" s="150" t="s">
        <v>2709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2710</v>
      </c>
      <c r="IE34" s="14">
        <v>40.840000000000003</v>
      </c>
      <c r="IF34" s="14" t="s">
        <v>399</v>
      </c>
      <c r="IH34" s="188"/>
      <c r="II34" s="206"/>
      <c r="IJ34" s="147" t="s">
        <v>2711</v>
      </c>
      <c r="IK34" s="14">
        <v>84.86</v>
      </c>
      <c r="IL34" s="14" t="s">
        <v>2619</v>
      </c>
      <c r="IN34" s="72" t="s">
        <v>1329</v>
      </c>
      <c r="IO34" s="91">
        <f>SUM(IQ12:IQ12)</f>
        <v>1833.7466666666667</v>
      </c>
      <c r="IP34" s="43" t="s">
        <v>2277</v>
      </c>
      <c r="IQ34" s="45">
        <f>102+308+94+155</f>
        <v>659</v>
      </c>
      <c r="IR34" s="14" t="s">
        <v>2619</v>
      </c>
      <c r="IU34" s="228"/>
      <c r="IV34" s="69" t="s">
        <v>2712</v>
      </c>
      <c r="IW34" s="14">
        <v>8.67</v>
      </c>
      <c r="IZ34" s="147" t="s">
        <v>2434</v>
      </c>
      <c r="JA34" s="44">
        <f>SUM(JC26:JC34)</f>
        <v>354.85099999999994</v>
      </c>
      <c r="JB34" s="147" t="s">
        <v>2713</v>
      </c>
      <c r="JC34" s="42">
        <v>55</v>
      </c>
      <c r="JF34" s="147" t="s">
        <v>2480</v>
      </c>
      <c r="JG34" s="44">
        <f>SUM(JI27:JI31)</f>
        <v>303.64</v>
      </c>
      <c r="JH34" s="196">
        <v>23.04</v>
      </c>
      <c r="JI34" s="45"/>
      <c r="JJ34" s="14" t="s">
        <v>2576</v>
      </c>
      <c r="JN34" s="198">
        <v>50</v>
      </c>
      <c r="JO34" s="239" t="s">
        <v>2714</v>
      </c>
      <c r="JR34" s="152" t="s">
        <v>2715</v>
      </c>
      <c r="JS34" s="165">
        <v>100</v>
      </c>
      <c r="JT34" s="198">
        <v>10</v>
      </c>
      <c r="JU34" s="239" t="s">
        <v>2716</v>
      </c>
      <c r="JZ34" s="147" t="s">
        <v>2717</v>
      </c>
      <c r="KA34" s="42">
        <v>175</v>
      </c>
      <c r="KD34" s="147" t="s">
        <v>2434</v>
      </c>
      <c r="KE34" s="44">
        <f>SUM(KG18:KG26)</f>
        <v>457.56100000000004</v>
      </c>
      <c r="KF34" s="198">
        <v>6</v>
      </c>
      <c r="KG34" s="239" t="s">
        <v>2817</v>
      </c>
      <c r="KH34" s="69" t="s">
        <v>2719</v>
      </c>
      <c r="KI34" s="14">
        <v>104</v>
      </c>
      <c r="KL34" s="147" t="s">
        <v>2720</v>
      </c>
      <c r="KM34" s="101">
        <v>121.7</v>
      </c>
      <c r="KN34" s="69" t="s">
        <v>2721</v>
      </c>
      <c r="KO34" s="42">
        <v>52.8</v>
      </c>
      <c r="KR34" s="147" t="s">
        <v>2722</v>
      </c>
      <c r="KS34" s="101">
        <v>60.23</v>
      </c>
      <c r="KT34" s="69"/>
      <c r="KU34" s="42"/>
      <c r="KV34" s="61"/>
      <c r="KX34" s="147" t="s">
        <v>2723</v>
      </c>
      <c r="KY34" s="42">
        <v>13.5</v>
      </c>
      <c r="KZ34" s="69" t="s">
        <v>2679</v>
      </c>
      <c r="LD34" s="147" t="s">
        <v>2724</v>
      </c>
      <c r="LE34" s="42">
        <v>42.9</v>
      </c>
      <c r="LF34" s="69" t="s">
        <v>2725</v>
      </c>
      <c r="LH34" s="88" t="s">
        <v>2772</v>
      </c>
      <c r="LI34" s="235">
        <f>SUM(LK17:LK19)</f>
        <v>685.72</v>
      </c>
      <c r="LJ34" s="147" t="s">
        <v>2726</v>
      </c>
      <c r="LK34" s="101">
        <v>50.36</v>
      </c>
      <c r="LL34" s="65" t="s">
        <v>2537</v>
      </c>
      <c r="LM34" s="42">
        <v>28.82</v>
      </c>
      <c r="LN34" s="155" t="s">
        <v>2493</v>
      </c>
      <c r="LO34" s="42">
        <f>SUM(LQ14:LQ17)</f>
        <v>1348.41</v>
      </c>
      <c r="LP34" s="147" t="s">
        <v>2448</v>
      </c>
      <c r="LQ34" s="101">
        <v>36.799999999999997</v>
      </c>
      <c r="LT34" s="598"/>
      <c r="LU34" s="598"/>
      <c r="LV34" s="147" t="s">
        <v>3344</v>
      </c>
      <c r="LW34" s="42">
        <v>80</v>
      </c>
      <c r="LX34" s="605"/>
      <c r="LY34" s="44"/>
      <c r="MA34" s="609"/>
    </row>
    <row r="35" spans="1:339" ht="14.25" customHeight="1">
      <c r="A35" s="669"/>
      <c r="B35" s="669"/>
      <c r="E35" s="574" t="s">
        <v>520</v>
      </c>
      <c r="F35" s="53">
        <v>250</v>
      </c>
      <c r="G35" s="669"/>
      <c r="H35" s="669"/>
      <c r="W35" s="72" t="s">
        <v>2727</v>
      </c>
      <c r="X35" s="72">
        <v>20.001000000000001</v>
      </c>
      <c r="Z35" s="14"/>
      <c r="AO35" s="78" t="s">
        <v>2728</v>
      </c>
      <c r="AP35" s="14">
        <v>26.26</v>
      </c>
      <c r="AU35" s="14" t="s">
        <v>2729</v>
      </c>
      <c r="AV35" s="14">
        <v>80</v>
      </c>
      <c r="BE35" s="78" t="s">
        <v>2730</v>
      </c>
      <c r="BF35" s="14">
        <v>95</v>
      </c>
      <c r="BK35" s="43" t="s">
        <v>2731</v>
      </c>
      <c r="BL35" s="43">
        <v>200</v>
      </c>
      <c r="BW35" s="43" t="s">
        <v>2732</v>
      </c>
      <c r="BX35" s="43">
        <v>65</v>
      </c>
      <c r="CC35" s="43" t="s">
        <v>2733</v>
      </c>
      <c r="CD35" s="43">
        <v>83.85</v>
      </c>
      <c r="CI35" s="43" t="s">
        <v>2734</v>
      </c>
      <c r="CJ35" s="84">
        <v>46.65</v>
      </c>
      <c r="CK35" s="104"/>
      <c r="CO35" s="43" t="s">
        <v>2735</v>
      </c>
      <c r="CP35" s="43">
        <f>11.3+50.4</f>
        <v>61.7</v>
      </c>
      <c r="CQ35" s="104"/>
      <c r="CU35" s="43" t="s">
        <v>2736</v>
      </c>
      <c r="CV35" s="102">
        <v>412.25</v>
      </c>
      <c r="CW35" s="69" t="s">
        <v>2576</v>
      </c>
      <c r="DA35" s="122" t="s">
        <v>2737</v>
      </c>
      <c r="DB35" s="122"/>
      <c r="DC35" s="61" t="s">
        <v>390</v>
      </c>
      <c r="DE35" s="61" t="s">
        <v>2738</v>
      </c>
      <c r="DF35" s="43">
        <f>46147-45991</f>
        <v>156</v>
      </c>
      <c r="DG35" s="88" t="s">
        <v>2739</v>
      </c>
      <c r="DH35" s="57">
        <f>16.98+17.17+13.1+13.72+14.74+13.83</f>
        <v>89.54</v>
      </c>
      <c r="DI35" s="21" t="s">
        <v>2740</v>
      </c>
      <c r="DJ35" s="92">
        <v>5000</v>
      </c>
      <c r="DM35" s="118"/>
      <c r="DN35" s="57"/>
      <c r="DO35" s="568" t="s">
        <v>2556</v>
      </c>
      <c r="DP35" s="100"/>
      <c r="DS35" s="118" t="s">
        <v>2565</v>
      </c>
      <c r="DT35" s="57">
        <v>68.97</v>
      </c>
      <c r="DU35" s="568" t="s">
        <v>399</v>
      </c>
      <c r="DY35" s="104" t="s">
        <v>2741</v>
      </c>
      <c r="DZ35" s="14">
        <f>1379-100</f>
        <v>1279</v>
      </c>
      <c r="EA35" s="14" t="s">
        <v>224</v>
      </c>
      <c r="EG35" s="49"/>
      <c r="EL35" s="21" t="s">
        <v>2742</v>
      </c>
      <c r="EM35" s="21"/>
      <c r="EN35" s="14" t="s">
        <v>2576</v>
      </c>
      <c r="ER35" s="21"/>
      <c r="ES35" s="21"/>
      <c r="ET35" s="14" t="s">
        <v>2558</v>
      </c>
      <c r="EX35" s="49" t="s">
        <v>2743</v>
      </c>
      <c r="EY35" s="49">
        <v>202.2</v>
      </c>
      <c r="FD35" s="49" t="s">
        <v>2744</v>
      </c>
      <c r="FE35" s="49">
        <v>10.000999999999999</v>
      </c>
      <c r="FF35" s="69" t="s">
        <v>2745</v>
      </c>
      <c r="FG35" s="57">
        <v>67.400000000000006</v>
      </c>
      <c r="FJ35" s="61" t="s">
        <v>2746</v>
      </c>
      <c r="FK35" s="14">
        <v>720</v>
      </c>
      <c r="FL35" s="49" t="s">
        <v>2414</v>
      </c>
      <c r="FM35" s="94">
        <v>10005</v>
      </c>
      <c r="FP35" s="147" t="s">
        <v>2747</v>
      </c>
      <c r="FQ35" s="14">
        <v>49.23</v>
      </c>
      <c r="FR35" s="69"/>
      <c r="FS35" s="97"/>
      <c r="FV35" s="150" t="s">
        <v>2748</v>
      </c>
      <c r="FW35" s="152"/>
      <c r="FX35" s="14" t="s">
        <v>399</v>
      </c>
      <c r="GB35" s="152" t="s">
        <v>2749</v>
      </c>
      <c r="GC35" s="152"/>
      <c r="GH35" s="150" t="s">
        <v>2750</v>
      </c>
      <c r="GI35" s="152"/>
      <c r="GJ35" s="69" t="s">
        <v>2751</v>
      </c>
      <c r="GK35" s="97">
        <v>20</v>
      </c>
      <c r="GN35" s="147" t="s">
        <v>2752</v>
      </c>
      <c r="GO35" s="14">
        <v>95</v>
      </c>
      <c r="GT35" s="152" t="s">
        <v>2753</v>
      </c>
      <c r="GU35" s="166">
        <f>GQ17+GT34-GW16</f>
        <v>262</v>
      </c>
      <c r="GV35" s="14" t="s">
        <v>224</v>
      </c>
      <c r="GZ35" s="147" t="s">
        <v>2754</v>
      </c>
      <c r="HA35" s="14">
        <v>32.6</v>
      </c>
      <c r="HB35" s="69" t="s">
        <v>2755</v>
      </c>
      <c r="HC35" s="101">
        <v>233.71</v>
      </c>
      <c r="HF35" s="176">
        <v>40</v>
      </c>
      <c r="HG35" s="150" t="s">
        <v>2519</v>
      </c>
      <c r="HH35" s="14" t="s">
        <v>399</v>
      </c>
      <c r="HL35" s="182" t="s">
        <v>2756</v>
      </c>
      <c r="HM35" s="160">
        <v>24.7</v>
      </c>
      <c r="HQ35" s="149"/>
      <c r="HR35" s="198">
        <v>40</v>
      </c>
      <c r="HS35" s="150" t="s">
        <v>2471</v>
      </c>
      <c r="HT35" s="182"/>
      <c r="HU35" s="97"/>
      <c r="HV35" s="150" t="s">
        <v>2757</v>
      </c>
      <c r="HW35" s="165">
        <v>220</v>
      </c>
      <c r="HX35" s="172" t="s">
        <v>2481</v>
      </c>
      <c r="HY35" s="197">
        <f>HU24+HW35-IA28</f>
        <v>320</v>
      </c>
      <c r="HZ35" s="49" t="s">
        <v>1980</v>
      </c>
      <c r="IA35" s="94">
        <v>2000</v>
      </c>
      <c r="ID35" s="147" t="s">
        <v>2758</v>
      </c>
      <c r="IE35" s="14">
        <v>47.96</v>
      </c>
      <c r="IF35" s="14" t="s">
        <v>224</v>
      </c>
      <c r="IH35" s="188"/>
      <c r="II35" s="206"/>
      <c r="IJ35" s="147" t="s">
        <v>2759</v>
      </c>
      <c r="IK35" s="14">
        <v>56.9</v>
      </c>
      <c r="IL35" s="14" t="s">
        <v>2558</v>
      </c>
      <c r="IN35" s="169" t="s">
        <v>1320</v>
      </c>
      <c r="IO35" s="44">
        <v>0</v>
      </c>
      <c r="IP35" s="196">
        <v>44.08</v>
      </c>
      <c r="IQ35" s="45"/>
      <c r="IR35" s="14" t="s">
        <v>2558</v>
      </c>
      <c r="IU35" s="230"/>
      <c r="IV35" s="69" t="s">
        <v>2712</v>
      </c>
      <c r="IW35" s="101">
        <v>23.08</v>
      </c>
      <c r="IZ35" s="147" t="s">
        <v>2480</v>
      </c>
      <c r="JA35" s="44">
        <f>SUM(JC28:JC34)</f>
        <v>337.85099999999994</v>
      </c>
      <c r="JB35" s="14" t="s">
        <v>2760</v>
      </c>
      <c r="JC35" s="57">
        <v>16.87</v>
      </c>
      <c r="JH35" s="172" t="s">
        <v>2481</v>
      </c>
      <c r="JI35" s="197">
        <f>JE21+JG37-JK22</f>
        <v>100</v>
      </c>
      <c r="JL35" s="150" t="s">
        <v>2761</v>
      </c>
      <c r="JM35" s="165">
        <f>50+400+200+100</f>
        <v>750</v>
      </c>
      <c r="JN35" s="198">
        <v>9</v>
      </c>
      <c r="JO35" s="239" t="s">
        <v>2762</v>
      </c>
      <c r="JP35" s="14" t="s">
        <v>399</v>
      </c>
      <c r="JT35" s="198">
        <v>10</v>
      </c>
      <c r="JU35" s="239" t="s">
        <v>2763</v>
      </c>
      <c r="JZ35" s="147" t="s">
        <v>2764</v>
      </c>
      <c r="KA35" s="101">
        <v>10</v>
      </c>
      <c r="KD35" s="147" t="s">
        <v>2578</v>
      </c>
      <c r="KE35" s="258">
        <f>SUM(KG20:KG26)</f>
        <v>339.56</v>
      </c>
      <c r="KF35" s="198">
        <v>25.9</v>
      </c>
      <c r="KG35" s="239" t="s">
        <v>2853</v>
      </c>
      <c r="KH35" s="69" t="s">
        <v>2241</v>
      </c>
      <c r="KJ35" s="47" t="s">
        <v>2244</v>
      </c>
      <c r="KK35" s="47"/>
      <c r="KL35" s="14" t="s">
        <v>2766</v>
      </c>
      <c r="KM35" s="57">
        <v>400</v>
      </c>
      <c r="KN35" s="69" t="s">
        <v>2767</v>
      </c>
      <c r="KO35" s="42">
        <v>57.6</v>
      </c>
      <c r="KP35" s="47" t="s">
        <v>2244</v>
      </c>
      <c r="KQ35" s="47"/>
      <c r="KR35" s="147" t="s">
        <v>2768</v>
      </c>
      <c r="KS35" s="101">
        <v>40.4</v>
      </c>
      <c r="KT35" s="69" t="s">
        <v>2679</v>
      </c>
      <c r="KX35" s="147" t="s">
        <v>2769</v>
      </c>
      <c r="KY35" s="42">
        <f>12.5+36</f>
        <v>48.5</v>
      </c>
      <c r="KZ35" s="69" t="s">
        <v>2770</v>
      </c>
      <c r="LA35" s="49"/>
      <c r="LB35" s="47" t="s">
        <v>2244</v>
      </c>
      <c r="LC35" s="47"/>
      <c r="LD35" s="147" t="s">
        <v>2771</v>
      </c>
      <c r="LE35" s="42">
        <v>36.9</v>
      </c>
      <c r="LF35" s="14" t="s">
        <v>399</v>
      </c>
      <c r="LH35" s="288" t="s">
        <v>2584</v>
      </c>
      <c r="LI35" s="44">
        <f>SUM(LK21:LK27)</f>
        <v>648.76</v>
      </c>
      <c r="LJ35" s="147" t="s">
        <v>2773</v>
      </c>
      <c r="LK35" s="101">
        <v>172.3</v>
      </c>
      <c r="LL35" s="65" t="s">
        <v>2774</v>
      </c>
      <c r="LM35" s="42">
        <v>21.1</v>
      </c>
      <c r="LN35" s="88" t="s">
        <v>2540</v>
      </c>
      <c r="LO35" s="250">
        <f>SUM(LQ18:LQ19)</f>
        <v>168.17</v>
      </c>
      <c r="LP35" s="147" t="s">
        <v>2775</v>
      </c>
      <c r="LQ35" s="101">
        <v>38.9</v>
      </c>
      <c r="LT35" s="306"/>
      <c r="LU35" s="306"/>
      <c r="LV35" s="589" t="s">
        <v>3347</v>
      </c>
      <c r="LW35" s="42">
        <f>45.2+27.6</f>
        <v>72.800000000000011</v>
      </c>
      <c r="MA35" s="609"/>
    </row>
    <row r="36" spans="1:339" ht="14.25" customHeight="1">
      <c r="B36" s="14"/>
      <c r="H36" s="14"/>
      <c r="K36" s="68" t="s">
        <v>2776</v>
      </c>
      <c r="L36" s="68">
        <f>1070+321</f>
        <v>1391</v>
      </c>
      <c r="Q36" s="68" t="s">
        <v>2585</v>
      </c>
      <c r="R36" s="68">
        <v>0</v>
      </c>
      <c r="W36" s="72" t="s">
        <v>2777</v>
      </c>
      <c r="X36" s="72">
        <f>10+5</f>
        <v>15</v>
      </c>
      <c r="AO36" s="78" t="s">
        <v>2777</v>
      </c>
      <c r="AP36" s="14">
        <v>10</v>
      </c>
      <c r="AU36" s="14" t="s">
        <v>2778</v>
      </c>
      <c r="AV36" s="14">
        <v>150</v>
      </c>
      <c r="BE36" s="14" t="s">
        <v>2779</v>
      </c>
      <c r="BF36" s="14">
        <f>108.3+39.8</f>
        <v>148.1</v>
      </c>
      <c r="BK36" s="43" t="s">
        <v>2780</v>
      </c>
      <c r="BL36" s="43">
        <v>400</v>
      </c>
      <c r="BQ36" s="43" t="s">
        <v>2781</v>
      </c>
      <c r="BR36" s="43">
        <v>300</v>
      </c>
      <c r="BW36" s="43" t="s">
        <v>2782</v>
      </c>
      <c r="BX36" s="43">
        <v>32.299999999999997</v>
      </c>
      <c r="CC36" s="43" t="s">
        <v>2783</v>
      </c>
      <c r="CD36" s="43">
        <v>535</v>
      </c>
      <c r="CI36" s="43" t="s">
        <v>2784</v>
      </c>
      <c r="CJ36" s="43">
        <v>39</v>
      </c>
      <c r="CO36" s="43" t="s">
        <v>2785</v>
      </c>
      <c r="CP36" s="43">
        <v>28.85</v>
      </c>
      <c r="CU36" s="43" t="s">
        <v>2786</v>
      </c>
      <c r="CV36" s="43">
        <v>33</v>
      </c>
      <c r="DA36" s="122"/>
      <c r="DB36" s="122"/>
      <c r="DC36" s="69" t="s">
        <v>2576</v>
      </c>
      <c r="DE36" s="61" t="s">
        <v>2787</v>
      </c>
      <c r="DF36" s="43">
        <v>348.15</v>
      </c>
      <c r="DG36" s="118" t="s">
        <v>2788</v>
      </c>
      <c r="DH36" s="57">
        <v>72.33</v>
      </c>
      <c r="DI36" s="21" t="s">
        <v>2360</v>
      </c>
      <c r="DJ36" s="22">
        <v>10000</v>
      </c>
      <c r="DM36" s="121" t="s">
        <v>2789</v>
      </c>
      <c r="DN36" s="123">
        <f>DJ16+DM38-DP13</f>
        <v>169.99999999999997</v>
      </c>
      <c r="DO36" s="568" t="s">
        <v>2343</v>
      </c>
      <c r="DP36" s="57"/>
      <c r="DS36" s="670" t="s">
        <v>2176</v>
      </c>
      <c r="DT36" s="671"/>
      <c r="DU36" s="568" t="s">
        <v>2556</v>
      </c>
      <c r="DV36" s="100"/>
      <c r="DY36" s="14" t="s">
        <v>2790</v>
      </c>
      <c r="DZ36" s="14">
        <v>100</v>
      </c>
      <c r="EA36" s="14" t="s">
        <v>2450</v>
      </c>
      <c r="EE36" s="14" t="s">
        <v>2791</v>
      </c>
      <c r="EF36" s="14">
        <v>700</v>
      </c>
      <c r="EL36" s="21" t="s">
        <v>2792</v>
      </c>
      <c r="EM36" s="21"/>
      <c r="ER36" s="49" t="s">
        <v>2793</v>
      </c>
      <c r="ES36" s="49">
        <v>110</v>
      </c>
      <c r="ET36" s="14" t="s">
        <v>2556</v>
      </c>
      <c r="EX36" s="49" t="s">
        <v>2794</v>
      </c>
      <c r="EY36" s="49">
        <v>22.4</v>
      </c>
      <c r="EZ36" s="14" t="s">
        <v>399</v>
      </c>
      <c r="FD36" s="61" t="s">
        <v>2795</v>
      </c>
      <c r="FE36" s="49">
        <v>19.36</v>
      </c>
      <c r="FF36" s="69" t="s">
        <v>2796</v>
      </c>
      <c r="FG36" s="57">
        <v>87</v>
      </c>
      <c r="FJ36" s="49" t="s">
        <v>2797</v>
      </c>
      <c r="FK36" s="49">
        <f>58.1+1.5</f>
        <v>59.6</v>
      </c>
      <c r="FL36" s="49" t="s">
        <v>2459</v>
      </c>
      <c r="FM36" s="94">
        <v>0</v>
      </c>
      <c r="FP36" s="147" t="s">
        <v>2798</v>
      </c>
      <c r="FQ36" s="14">
        <v>80</v>
      </c>
      <c r="FR36" s="14" t="s">
        <v>399</v>
      </c>
      <c r="FV36" s="61" t="s">
        <v>2799</v>
      </c>
      <c r="FW36" s="14">
        <v>9.9</v>
      </c>
      <c r="FX36" s="14" t="s">
        <v>2558</v>
      </c>
      <c r="GB36" s="150" t="s">
        <v>2424</v>
      </c>
      <c r="GC36" s="152"/>
      <c r="GH36" s="150" t="s">
        <v>2800</v>
      </c>
      <c r="GI36" s="152"/>
      <c r="GJ36" s="69" t="s">
        <v>2751</v>
      </c>
      <c r="GK36" s="61">
        <v>63.6</v>
      </c>
      <c r="GN36" s="147" t="s">
        <v>2801</v>
      </c>
      <c r="GO36" s="14">
        <v>63.06</v>
      </c>
      <c r="GP36" s="14" t="s">
        <v>2802</v>
      </c>
      <c r="GT36" s="175">
        <v>71.8</v>
      </c>
      <c r="GU36" s="150" t="s">
        <v>2803</v>
      </c>
      <c r="GV36" s="14" t="s">
        <v>2450</v>
      </c>
      <c r="GZ36" s="147" t="s">
        <v>2804</v>
      </c>
      <c r="HA36" s="14">
        <v>40.479999999999997</v>
      </c>
      <c r="HB36" s="69" t="s">
        <v>2805</v>
      </c>
      <c r="HC36" s="101">
        <v>71</v>
      </c>
      <c r="HF36" s="176">
        <v>50</v>
      </c>
      <c r="HG36" s="150" t="s">
        <v>2424</v>
      </c>
      <c r="HH36" s="14" t="s">
        <v>2558</v>
      </c>
      <c r="HL36" s="182" t="s">
        <v>2806</v>
      </c>
      <c r="HM36" s="199">
        <v>20760</v>
      </c>
      <c r="HP36" s="150" t="s">
        <v>2807</v>
      </c>
      <c r="HQ36" s="165">
        <v>100</v>
      </c>
      <c r="HR36" s="198">
        <v>20</v>
      </c>
      <c r="HS36" s="150" t="s">
        <v>2808</v>
      </c>
      <c r="HT36" s="183"/>
      <c r="HU36" s="97"/>
      <c r="HX36" s="198">
        <v>140</v>
      </c>
      <c r="HY36" s="150" t="s">
        <v>2809</v>
      </c>
      <c r="HZ36" s="49" t="s">
        <v>2036</v>
      </c>
      <c r="IA36" s="94">
        <v>4000</v>
      </c>
      <c r="IC36" s="228"/>
      <c r="ID36" s="14" t="s">
        <v>2235</v>
      </c>
      <c r="IE36" s="61">
        <v>52</v>
      </c>
      <c r="IH36" s="188"/>
      <c r="II36" s="206"/>
      <c r="IJ36" s="147" t="s">
        <v>2810</v>
      </c>
      <c r="IK36" s="14">
        <v>47.08</v>
      </c>
      <c r="IL36" s="14" t="s">
        <v>2576</v>
      </c>
      <c r="IN36" s="157" t="s">
        <v>2322</v>
      </c>
      <c r="IO36" s="44">
        <f>SUM(IQ10:IQ11)</f>
        <v>1105.4099999999999</v>
      </c>
      <c r="IP36" s="172" t="s">
        <v>2481</v>
      </c>
      <c r="IQ36" s="55">
        <f>IM23+IO40-IS19</f>
        <v>680</v>
      </c>
      <c r="IR36" s="14" t="s">
        <v>2576</v>
      </c>
      <c r="IV36" s="69" t="s">
        <v>2811</v>
      </c>
      <c r="IW36" s="101">
        <v>6.37</v>
      </c>
      <c r="JB36" s="43" t="s">
        <v>2277</v>
      </c>
      <c r="JC36" s="45">
        <f>204+76+114+103</f>
        <v>497</v>
      </c>
      <c r="JH36" s="198">
        <v>8</v>
      </c>
      <c r="JI36" s="239" t="s">
        <v>2812</v>
      </c>
      <c r="JN36" s="198">
        <v>10</v>
      </c>
      <c r="JO36" s="239" t="s">
        <v>2813</v>
      </c>
      <c r="JP36" s="14" t="s">
        <v>224</v>
      </c>
      <c r="JS36" s="228"/>
      <c r="JT36" s="14" t="s">
        <v>2814</v>
      </c>
      <c r="JU36" s="101">
        <v>139</v>
      </c>
      <c r="JZ36" s="147" t="s">
        <v>2815</v>
      </c>
      <c r="KA36" s="42">
        <f>45.73</f>
        <v>45.73</v>
      </c>
      <c r="KD36" s="152" t="s">
        <v>2816</v>
      </c>
      <c r="KE36" s="284">
        <v>100</v>
      </c>
      <c r="KF36" s="285" t="s">
        <v>2888</v>
      </c>
      <c r="KG36" s="243">
        <v>70</v>
      </c>
      <c r="KH36" s="69" t="s">
        <v>2818</v>
      </c>
      <c r="KI36" s="44">
        <v>194</v>
      </c>
      <c r="KJ36" s="178" t="s">
        <v>1283</v>
      </c>
      <c r="KK36" s="91">
        <f>SUM(KM6:KM6)</f>
        <v>1900.1</v>
      </c>
      <c r="KL36" s="43" t="s">
        <v>2484</v>
      </c>
      <c r="KM36" s="45">
        <f>166+85+79+40</f>
        <v>370</v>
      </c>
      <c r="KN36" s="69" t="s">
        <v>2296</v>
      </c>
      <c r="KO36" s="42"/>
      <c r="KP36" s="178" t="s">
        <v>1283</v>
      </c>
      <c r="KQ36" s="91">
        <f>SUM(KS6:KS7)</f>
        <v>3900.1099999999997</v>
      </c>
      <c r="KR36" s="147" t="s">
        <v>2819</v>
      </c>
      <c r="KS36" s="101">
        <f>30.8+1.8+1</f>
        <v>33.6</v>
      </c>
      <c r="KT36" s="69" t="s">
        <v>2820</v>
      </c>
      <c r="KU36" s="49"/>
      <c r="KV36" s="61"/>
      <c r="KX36" s="147" t="s">
        <v>2821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2822</v>
      </c>
      <c r="LE36" s="101">
        <v>12</v>
      </c>
      <c r="LF36" s="14" t="s">
        <v>2823</v>
      </c>
      <c r="LH36" s="147" t="s">
        <v>2434</v>
      </c>
      <c r="LI36" s="44">
        <f>SUM(LK28:LK37)</f>
        <v>481.59999999999997</v>
      </c>
      <c r="LJ36" s="147" t="s">
        <v>2824</v>
      </c>
      <c r="LK36" s="101">
        <v>37.4</v>
      </c>
      <c r="LL36" s="69" t="s">
        <v>2679</v>
      </c>
      <c r="LN36" s="288" t="s">
        <v>2584</v>
      </c>
      <c r="LO36" s="42">
        <f>SUM(LQ20:LQ27)</f>
        <v>953.54000000000008</v>
      </c>
      <c r="LP36" s="147" t="s">
        <v>2825</v>
      </c>
      <c r="LQ36" s="101">
        <v>67.38</v>
      </c>
      <c r="LR36" s="69" t="s">
        <v>2679</v>
      </c>
      <c r="LT36" s="61"/>
      <c r="LV36" s="147" t="s">
        <v>3330</v>
      </c>
      <c r="LW36" s="42">
        <v>44.84</v>
      </c>
      <c r="MA36" s="609"/>
    </row>
    <row r="37" spans="1:339" ht="12.75" customHeight="1" thickBot="1">
      <c r="W37" s="72" t="s">
        <v>2636</v>
      </c>
      <c r="X37" s="72">
        <f>70+16</f>
        <v>86</v>
      </c>
      <c r="AO37" s="78" t="s">
        <v>2826</v>
      </c>
      <c r="AP37" s="14">
        <v>22</v>
      </c>
      <c r="AU37" s="14" t="s">
        <v>2827</v>
      </c>
      <c r="AV37" s="14">
        <v>118</v>
      </c>
      <c r="BE37" s="14" t="s">
        <v>2828</v>
      </c>
      <c r="BF37" s="14">
        <v>134</v>
      </c>
      <c r="BK37" s="43" t="s">
        <v>2829</v>
      </c>
      <c r="BL37" s="43">
        <v>250</v>
      </c>
      <c r="BQ37" s="43" t="s">
        <v>2780</v>
      </c>
      <c r="BR37" s="43">
        <v>300</v>
      </c>
      <c r="CC37" s="43" t="s">
        <v>2830</v>
      </c>
      <c r="CD37" s="43">
        <v>180</v>
      </c>
      <c r="CI37" s="43" t="s">
        <v>2831</v>
      </c>
      <c r="CJ37" s="43">
        <v>58</v>
      </c>
      <c r="CO37" s="43" t="s">
        <v>2832</v>
      </c>
      <c r="CP37" s="43">
        <v>39</v>
      </c>
      <c r="CU37" s="43" t="s">
        <v>2833</v>
      </c>
      <c r="CV37" s="43">
        <v>10.000999999999999</v>
      </c>
      <c r="DA37" s="43" t="s">
        <v>2834</v>
      </c>
      <c r="DB37" s="61">
        <v>192.6</v>
      </c>
      <c r="DG37" s="118" t="s">
        <v>2835</v>
      </c>
      <c r="DH37" s="57">
        <v>127.12</v>
      </c>
      <c r="DI37" s="60"/>
      <c r="DJ37" s="129"/>
      <c r="DM37" s="131" t="s">
        <v>2836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2837</v>
      </c>
      <c r="DZ37" s="14">
        <v>49.8</v>
      </c>
      <c r="EA37" s="14" t="s">
        <v>2576</v>
      </c>
      <c r="EE37" s="14" t="s">
        <v>2838</v>
      </c>
      <c r="EL37" s="21" t="s">
        <v>2839</v>
      </c>
      <c r="EM37" s="21"/>
      <c r="ER37" s="49" t="s">
        <v>2783</v>
      </c>
      <c r="ES37" s="49">
        <v>749</v>
      </c>
      <c r="ET37" s="14" t="s">
        <v>224</v>
      </c>
      <c r="EX37" s="61" t="s">
        <v>2840</v>
      </c>
      <c r="EY37" s="14">
        <v>7</v>
      </c>
      <c r="EZ37" s="14" t="s">
        <v>2558</v>
      </c>
      <c r="FD37" s="61" t="s">
        <v>2795</v>
      </c>
      <c r="FE37" s="49">
        <v>14.08</v>
      </c>
      <c r="FF37" s="69" t="s">
        <v>2841</v>
      </c>
      <c r="FG37" s="57">
        <v>211</v>
      </c>
      <c r="FJ37" s="170" t="s">
        <v>2842</v>
      </c>
      <c r="FK37" s="49">
        <v>26.29</v>
      </c>
      <c r="FL37" s="77" t="s">
        <v>2313</v>
      </c>
      <c r="FM37" s="97"/>
      <c r="FP37" s="172" t="s">
        <v>2365</v>
      </c>
      <c r="FQ37" s="172"/>
      <c r="FR37" s="14" t="s">
        <v>2558</v>
      </c>
      <c r="FV37" s="170" t="s">
        <v>2843</v>
      </c>
      <c r="FW37" s="61">
        <v>127.1</v>
      </c>
      <c r="FX37" s="14" t="s">
        <v>224</v>
      </c>
      <c r="GB37" s="150" t="s">
        <v>2844</v>
      </c>
      <c r="GC37" s="152"/>
      <c r="GH37" s="150" t="s">
        <v>2510</v>
      </c>
      <c r="GI37" s="152"/>
      <c r="GJ37" s="69"/>
      <c r="GK37" s="97"/>
      <c r="GN37" s="147" t="s">
        <v>2565</v>
      </c>
      <c r="GO37" s="14">
        <v>67.8</v>
      </c>
      <c r="GP37" s="69" t="s">
        <v>2845</v>
      </c>
      <c r="GQ37" s="97"/>
      <c r="GT37" s="176">
        <v>80</v>
      </c>
      <c r="GU37" s="150" t="s">
        <v>2424</v>
      </c>
      <c r="GV37" s="14" t="s">
        <v>2576</v>
      </c>
      <c r="GZ37" s="147" t="s">
        <v>2788</v>
      </c>
      <c r="HA37" s="14">
        <v>49.98</v>
      </c>
      <c r="HF37" s="182" t="s">
        <v>2846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2718</v>
      </c>
      <c r="HT37" s="183"/>
      <c r="HU37" s="97"/>
      <c r="HX37" s="198">
        <v>40</v>
      </c>
      <c r="HY37" s="150" t="s">
        <v>2424</v>
      </c>
      <c r="HZ37" s="69" t="s">
        <v>2327</v>
      </c>
      <c r="IA37" s="97"/>
      <c r="IC37" s="228"/>
      <c r="ID37" s="43" t="s">
        <v>2277</v>
      </c>
      <c r="IE37" s="43">
        <v>453</v>
      </c>
      <c r="IH37" s="188"/>
      <c r="II37" s="206"/>
      <c r="IJ37" s="14" t="s">
        <v>2235</v>
      </c>
      <c r="IK37" s="61">
        <f>35+25+17.47+26.01</f>
        <v>103.48</v>
      </c>
      <c r="IN37" s="164" t="s">
        <v>2376</v>
      </c>
      <c r="IO37" s="44">
        <f>SUM(IQ13:IQ20)</f>
        <v>1316.3133333333333</v>
      </c>
      <c r="IP37" s="198">
        <v>399</v>
      </c>
      <c r="IQ37" s="239" t="s">
        <v>2847</v>
      </c>
      <c r="IV37" s="69" t="s">
        <v>1895</v>
      </c>
      <c r="IW37" s="101">
        <v>104.35</v>
      </c>
      <c r="JB37" s="196">
        <v>23.85</v>
      </c>
      <c r="JC37" s="45"/>
      <c r="JF37" s="150" t="s">
        <v>2848</v>
      </c>
      <c r="JG37" s="165">
        <v>200</v>
      </c>
      <c r="JH37" s="198">
        <v>8</v>
      </c>
      <c r="JI37" s="239" t="s">
        <v>2849</v>
      </c>
      <c r="JN37" s="198">
        <v>192.7</v>
      </c>
      <c r="JO37" s="239" t="s">
        <v>2850</v>
      </c>
      <c r="JP37" s="14" t="s">
        <v>2576</v>
      </c>
      <c r="JS37" s="228"/>
      <c r="JT37" s="259" t="s">
        <v>2851</v>
      </c>
      <c r="JU37" s="271">
        <v>5.35</v>
      </c>
      <c r="JZ37" s="147" t="s">
        <v>2852</v>
      </c>
      <c r="KA37" s="101">
        <v>33.03</v>
      </c>
      <c r="KF37" s="265" t="s">
        <v>2929</v>
      </c>
      <c r="KG37" s="14">
        <v>324</v>
      </c>
      <c r="KJ37" s="171" t="s">
        <v>2628</v>
      </c>
      <c r="KK37" s="91">
        <f>SUM(KM14:KM17)</f>
        <v>53578.656000000003</v>
      </c>
      <c r="KL37" s="196">
        <v>40.25</v>
      </c>
      <c r="KM37" s="45"/>
      <c r="KN37" s="69" t="s">
        <v>2241</v>
      </c>
      <c r="KO37" s="42"/>
      <c r="KP37" s="171" t="s">
        <v>2628</v>
      </c>
      <c r="KQ37" s="91">
        <f>SUM(KS17:KS17)</f>
        <v>1223.29</v>
      </c>
      <c r="KR37" s="147" t="s">
        <v>2854</v>
      </c>
      <c r="KS37" s="101">
        <f>7.5+7.5</f>
        <v>15</v>
      </c>
      <c r="KT37" s="69" t="s">
        <v>1841</v>
      </c>
      <c r="KX37" s="147" t="s">
        <v>2855</v>
      </c>
      <c r="KY37" s="42">
        <v>707.68</v>
      </c>
      <c r="KZ37" s="14" t="s">
        <v>399</v>
      </c>
      <c r="LB37" s="171" t="s">
        <v>2628</v>
      </c>
      <c r="LC37" s="91">
        <f>SUM(LE20:LE21)</f>
        <v>11479</v>
      </c>
      <c r="LD37" s="147" t="s">
        <v>2856</v>
      </c>
      <c r="LE37" s="101">
        <f>34.12+23.77</f>
        <v>57.89</v>
      </c>
      <c r="LF37" s="14" t="s">
        <v>2857</v>
      </c>
      <c r="LH37" s="147" t="s">
        <v>2578</v>
      </c>
      <c r="LI37" s="258">
        <f>SUM(LK30:LK37)</f>
        <v>456.59999999999997</v>
      </c>
      <c r="LJ37" s="147" t="s">
        <v>2858</v>
      </c>
      <c r="LK37" s="101">
        <v>6.5</v>
      </c>
      <c r="LL37" s="69" t="s">
        <v>2725</v>
      </c>
      <c r="LN37" s="147" t="s">
        <v>2434</v>
      </c>
      <c r="LO37" s="42">
        <f>SUM(LQ28:LQ36)</f>
        <v>763.64</v>
      </c>
      <c r="LP37" s="43" t="s">
        <v>2484</v>
      </c>
      <c r="LQ37" s="45">
        <f>356+144+134+20</f>
        <v>654</v>
      </c>
      <c r="LR37" s="69" t="s">
        <v>2893</v>
      </c>
      <c r="LV37" s="147" t="s">
        <v>3339</v>
      </c>
      <c r="LW37" s="42">
        <v>138.6</v>
      </c>
      <c r="LX37" s="69" t="s">
        <v>2679</v>
      </c>
    </row>
    <row r="38" spans="1:339" ht="13.5" thickBot="1">
      <c r="Q38" s="578" t="s">
        <v>1459</v>
      </c>
      <c r="R38" s="14">
        <v>700</v>
      </c>
      <c r="AO38" s="78" t="s">
        <v>2859</v>
      </c>
      <c r="AP38" s="14">
        <v>111</v>
      </c>
      <c r="AU38" s="14" t="s">
        <v>2860</v>
      </c>
      <c r="AV38" s="14">
        <v>134</v>
      </c>
      <c r="BQ38" s="43" t="s">
        <v>2829</v>
      </c>
      <c r="BR38" s="43">
        <v>150</v>
      </c>
      <c r="CC38" s="43" t="s">
        <v>1336</v>
      </c>
      <c r="CD38" s="43">
        <f>6.8+82.4</f>
        <v>89.2</v>
      </c>
      <c r="CI38" s="43" t="s">
        <v>2690</v>
      </c>
      <c r="CJ38" s="43">
        <v>25</v>
      </c>
      <c r="CO38" s="43" t="s">
        <v>2861</v>
      </c>
      <c r="CP38" s="43">
        <v>74.8</v>
      </c>
      <c r="CU38" s="43" t="s">
        <v>2862</v>
      </c>
      <c r="CV38" s="43">
        <f>50+10</f>
        <v>60</v>
      </c>
      <c r="CW38" s="104"/>
      <c r="DA38" s="43" t="s">
        <v>2863</v>
      </c>
      <c r="DB38" s="43">
        <v>40.6</v>
      </c>
      <c r="DG38" s="118" t="s">
        <v>2864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2450</v>
      </c>
      <c r="DS38" s="144" t="s">
        <v>2865</v>
      </c>
      <c r="DT38" s="143"/>
      <c r="DU38" s="14" t="s">
        <v>2450</v>
      </c>
      <c r="DY38" s="14" t="s">
        <v>2866</v>
      </c>
      <c r="DZ38" s="14">
        <v>34</v>
      </c>
      <c r="EE38" s="14" t="s">
        <v>2867</v>
      </c>
      <c r="EF38" s="14">
        <v>40</v>
      </c>
      <c r="EH38" s="104"/>
      <c r="EL38" s="21" t="s">
        <v>2868</v>
      </c>
      <c r="EM38" s="21"/>
      <c r="ER38" s="61" t="s">
        <v>2869</v>
      </c>
      <c r="ES38" s="61">
        <f>710+22</f>
        <v>732</v>
      </c>
      <c r="ET38" s="14" t="s">
        <v>2450</v>
      </c>
      <c r="EX38" s="61" t="s">
        <v>2870</v>
      </c>
      <c r="EY38" s="49">
        <v>4.83</v>
      </c>
      <c r="EZ38" s="14" t="s">
        <v>2556</v>
      </c>
      <c r="FD38" s="61" t="s">
        <v>2871</v>
      </c>
      <c r="FE38" s="49">
        <v>78.69</v>
      </c>
      <c r="FF38" s="69" t="s">
        <v>2872</v>
      </c>
      <c r="FG38" s="57">
        <v>136</v>
      </c>
      <c r="FJ38" s="170" t="s">
        <v>1749</v>
      </c>
      <c r="FK38" s="61">
        <v>87.09</v>
      </c>
      <c r="FL38" s="69" t="s">
        <v>2699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2873</v>
      </c>
      <c r="FW38" s="61">
        <v>8.5299999999999994</v>
      </c>
      <c r="FX38" s="14" t="s">
        <v>2450</v>
      </c>
      <c r="GB38" s="150" t="s">
        <v>2874</v>
      </c>
      <c r="GC38" s="152"/>
      <c r="GH38" s="170" t="s">
        <v>2875</v>
      </c>
      <c r="GI38" s="61">
        <v>100</v>
      </c>
      <c r="GJ38" s="69"/>
      <c r="GK38" s="97"/>
      <c r="GN38" s="147" t="s">
        <v>2876</v>
      </c>
      <c r="GO38" s="14">
        <v>12.84</v>
      </c>
      <c r="GP38" s="69" t="s">
        <v>2877</v>
      </c>
      <c r="GQ38" s="14">
        <f>GU16</f>
        <v>84250</v>
      </c>
      <c r="GT38" s="176">
        <v>5</v>
      </c>
      <c r="GU38" s="150" t="s">
        <v>2878</v>
      </c>
      <c r="GZ38" s="147" t="s">
        <v>2879</v>
      </c>
      <c r="HA38" s="14">
        <f>36.3+3.2+61.6</f>
        <v>101.1</v>
      </c>
      <c r="HB38" s="14" t="s">
        <v>399</v>
      </c>
      <c r="HF38" s="182" t="s">
        <v>2880</v>
      </c>
      <c r="HG38" s="158">
        <v>17367.45</v>
      </c>
      <c r="HH38" s="14" t="s">
        <v>2450</v>
      </c>
      <c r="HR38" s="182" t="s">
        <v>2881</v>
      </c>
      <c r="HS38" s="199">
        <v>9.9</v>
      </c>
      <c r="HT38" s="14" t="s">
        <v>399</v>
      </c>
      <c r="HX38" s="198">
        <v>40</v>
      </c>
      <c r="HY38" s="150" t="s">
        <v>2882</v>
      </c>
      <c r="HZ38" s="183" t="s">
        <v>2476</v>
      </c>
      <c r="IA38" s="229">
        <v>21.35</v>
      </c>
      <c r="IC38" s="230"/>
      <c r="ID38" s="196">
        <v>28.33</v>
      </c>
      <c r="IE38" s="43"/>
      <c r="IH38" s="193"/>
      <c r="IJ38" s="43" t="s">
        <v>2277</v>
      </c>
      <c r="IK38" s="43">
        <v>810</v>
      </c>
      <c r="IN38" s="147" t="s">
        <v>2434</v>
      </c>
      <c r="IO38" s="44">
        <f>SUM(IQ21:IQ32)</f>
        <v>464.31</v>
      </c>
      <c r="IP38" s="198">
        <v>35</v>
      </c>
      <c r="IQ38" s="239" t="s">
        <v>2883</v>
      </c>
      <c r="IV38" s="69" t="s">
        <v>1895</v>
      </c>
      <c r="IW38" s="101">
        <v>51.81</v>
      </c>
      <c r="IZ38" s="150" t="s">
        <v>2884</v>
      </c>
      <c r="JA38" s="165">
        <v>200</v>
      </c>
      <c r="JB38" s="172" t="s">
        <v>2481</v>
      </c>
      <c r="JC38" s="197">
        <f>IY20+JA38-JE21</f>
        <v>260</v>
      </c>
      <c r="JH38" s="198">
        <v>70</v>
      </c>
      <c r="JI38" s="239" t="s">
        <v>2424</v>
      </c>
      <c r="JN38" s="198">
        <v>18</v>
      </c>
      <c r="JO38" s="239" t="s">
        <v>2885</v>
      </c>
      <c r="JT38" s="260" t="s">
        <v>2886</v>
      </c>
      <c r="JU38" s="272">
        <v>2.2000000000000002</v>
      </c>
      <c r="JZ38" s="147" t="s">
        <v>2887</v>
      </c>
      <c r="KA38" s="42">
        <f>48.9</f>
        <v>48.9</v>
      </c>
      <c r="KF38" s="287" t="s">
        <v>2946</v>
      </c>
      <c r="KG38" s="14">
        <v>39.700000000000003</v>
      </c>
      <c r="KJ38" s="286" t="s">
        <v>2447</v>
      </c>
      <c r="KK38" s="44">
        <v>0</v>
      </c>
      <c r="KL38" s="172" t="s">
        <v>2481</v>
      </c>
      <c r="KM38" s="197">
        <f>KI27+KK45-KO28</f>
        <v>270</v>
      </c>
      <c r="KN38" s="69"/>
      <c r="KO38" s="42"/>
      <c r="KP38" s="155" t="s">
        <v>2889</v>
      </c>
      <c r="KQ38" s="44">
        <f>SUM(KS8:KS13)</f>
        <v>1643.11</v>
      </c>
      <c r="KR38" s="14" t="s">
        <v>2766</v>
      </c>
      <c r="KS38" s="57">
        <v>40</v>
      </c>
      <c r="KT38" s="69" t="s">
        <v>1884</v>
      </c>
      <c r="KW38" s="49"/>
      <c r="KX38" s="147" t="s">
        <v>2890</v>
      </c>
      <c r="KY38" s="42">
        <f>1264.52+12.65</f>
        <v>1277.17</v>
      </c>
      <c r="KZ38" s="14" t="s">
        <v>2823</v>
      </c>
      <c r="LB38" s="286" t="s">
        <v>2447</v>
      </c>
      <c r="LC38" s="601">
        <f>SUM(LE9:LE12)</f>
        <v>3622.06</v>
      </c>
      <c r="LD38" s="147" t="s">
        <v>2891</v>
      </c>
      <c r="LE38" s="101">
        <f>7.5*2+38.7</f>
        <v>53.7</v>
      </c>
      <c r="LF38" s="14" t="s">
        <v>2892</v>
      </c>
      <c r="LJ38" s="43" t="s">
        <v>2484</v>
      </c>
      <c r="LK38" s="45">
        <f>97+232+92</f>
        <v>421</v>
      </c>
      <c r="LL38" s="14" t="s">
        <v>399</v>
      </c>
      <c r="LN38" s="147" t="s">
        <v>2578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47" t="s">
        <v>2244</v>
      </c>
      <c r="LU38" s="307"/>
      <c r="LV38" s="147" t="s">
        <v>3340</v>
      </c>
      <c r="LW38" s="42">
        <v>35.200000000000003</v>
      </c>
      <c r="LX38" s="69" t="s">
        <v>3370</v>
      </c>
    </row>
    <row r="39" spans="1:339" ht="13.5" thickBot="1">
      <c r="K39" s="14" t="s">
        <v>2894</v>
      </c>
      <c r="L39" s="14">
        <v>95</v>
      </c>
      <c r="Q39" s="568" t="s">
        <v>2634</v>
      </c>
      <c r="R39" s="14">
        <v>100</v>
      </c>
      <c r="W39" s="14" t="s">
        <v>2895</v>
      </c>
      <c r="X39" s="14">
        <f>110.35+107.59-8.62-14.01</f>
        <v>195.31</v>
      </c>
      <c r="AO39" s="78" t="s">
        <v>2896</v>
      </c>
      <c r="AP39" s="14">
        <v>99.81</v>
      </c>
      <c r="AU39" s="14" t="s">
        <v>2897</v>
      </c>
      <c r="AV39" s="14">
        <v>-134</v>
      </c>
      <c r="BE39" s="14" t="s">
        <v>2731</v>
      </c>
      <c r="BF39" s="14">
        <v>200</v>
      </c>
      <c r="BW39" s="43" t="s">
        <v>2898</v>
      </c>
      <c r="BX39" s="43">
        <v>100</v>
      </c>
      <c r="CC39" s="43" t="s">
        <v>2899</v>
      </c>
      <c r="CD39" s="43">
        <v>0</v>
      </c>
      <c r="CI39" s="43" t="s">
        <v>2900</v>
      </c>
      <c r="CJ39" s="43">
        <v>102</v>
      </c>
      <c r="CO39" s="43" t="s">
        <v>2651</v>
      </c>
      <c r="CP39" s="43">
        <v>60.08</v>
      </c>
      <c r="CU39" s="43" t="s">
        <v>2901</v>
      </c>
      <c r="CV39" s="43">
        <v>80</v>
      </c>
      <c r="DA39" s="43" t="s">
        <v>2902</v>
      </c>
      <c r="DB39" s="43">
        <v>106.3</v>
      </c>
      <c r="DC39" s="104"/>
      <c r="DG39" s="118" t="s">
        <v>2903</v>
      </c>
      <c r="DH39" s="57">
        <v>32.200000000000003</v>
      </c>
      <c r="DI39" s="672" t="s">
        <v>2551</v>
      </c>
      <c r="DJ39" s="672"/>
      <c r="DM39" s="122" t="s">
        <v>2737</v>
      </c>
      <c r="DN39" s="124"/>
      <c r="DO39" s="69" t="s">
        <v>2576</v>
      </c>
      <c r="DS39" s="122" t="s">
        <v>2904</v>
      </c>
      <c r="DT39" s="124"/>
      <c r="DU39" s="69" t="s">
        <v>2576</v>
      </c>
      <c r="DY39" s="14" t="s">
        <v>2902</v>
      </c>
      <c r="DZ39" s="14">
        <v>15</v>
      </c>
      <c r="EL39" s="21"/>
      <c r="EM39" s="21"/>
      <c r="EN39" s="104"/>
      <c r="ER39" s="61" t="s">
        <v>2905</v>
      </c>
      <c r="ES39" s="61">
        <v>69</v>
      </c>
      <c r="ET39" s="14" t="s">
        <v>2576</v>
      </c>
      <c r="EX39" s="61" t="s">
        <v>2906</v>
      </c>
      <c r="EY39" s="61">
        <v>37.869999999999997</v>
      </c>
      <c r="EZ39" s="14" t="s">
        <v>224</v>
      </c>
      <c r="FD39" s="61" t="s">
        <v>2746</v>
      </c>
      <c r="FE39" s="14" t="s">
        <v>2907</v>
      </c>
      <c r="FF39" s="61" t="s">
        <v>2908</v>
      </c>
      <c r="FG39" s="61">
        <v>250</v>
      </c>
      <c r="FJ39" s="170" t="s">
        <v>2909</v>
      </c>
      <c r="FK39" s="49">
        <v>11.25</v>
      </c>
      <c r="FL39" s="69" t="s">
        <v>2910</v>
      </c>
      <c r="FM39" s="97">
        <v>101</v>
      </c>
      <c r="FP39" s="152" t="s">
        <v>2911</v>
      </c>
      <c r="FQ39" s="152"/>
      <c r="FR39" s="14" t="s">
        <v>2450</v>
      </c>
      <c r="FV39" s="170" t="s">
        <v>2912</v>
      </c>
      <c r="FW39" s="61">
        <v>184</v>
      </c>
      <c r="FX39" s="14" t="s">
        <v>2576</v>
      </c>
      <c r="GB39" s="150" t="s">
        <v>2913</v>
      </c>
      <c r="GC39" s="152"/>
      <c r="GH39" s="170" t="s">
        <v>2914</v>
      </c>
      <c r="GI39" s="14">
        <v>70</v>
      </c>
      <c r="GJ39" s="14" t="s">
        <v>399</v>
      </c>
      <c r="GN39" s="147" t="s">
        <v>2915</v>
      </c>
      <c r="GO39" s="14">
        <v>26</v>
      </c>
      <c r="GP39" s="69" t="s">
        <v>2916</v>
      </c>
      <c r="GQ39" s="97">
        <v>45000</v>
      </c>
      <c r="GT39" s="176">
        <v>20</v>
      </c>
      <c r="GU39" s="150" t="s">
        <v>2917</v>
      </c>
      <c r="GZ39" s="147" t="s">
        <v>2918</v>
      </c>
      <c r="HA39" s="14">
        <v>84.3</v>
      </c>
      <c r="HB39" s="14" t="s">
        <v>2558</v>
      </c>
      <c r="HF39" s="182" t="s">
        <v>2919</v>
      </c>
      <c r="HG39" s="160">
        <v>88</v>
      </c>
      <c r="HH39" s="14" t="s">
        <v>2576</v>
      </c>
      <c r="HL39" s="182"/>
      <c r="HM39" s="160"/>
      <c r="HR39" s="182" t="s">
        <v>2920</v>
      </c>
      <c r="HS39" s="160">
        <v>10.57</v>
      </c>
      <c r="HT39" s="14" t="s">
        <v>224</v>
      </c>
      <c r="HX39" s="198">
        <v>40</v>
      </c>
      <c r="HY39" s="150" t="s">
        <v>2921</v>
      </c>
      <c r="HZ39" s="69" t="s">
        <v>2572</v>
      </c>
      <c r="IA39" s="97">
        <v>125.91</v>
      </c>
      <c r="ID39" s="172" t="s">
        <v>2481</v>
      </c>
      <c r="IE39" s="197">
        <f>IA28+IC42-IG23</f>
        <v>175</v>
      </c>
      <c r="IH39" s="193"/>
      <c r="IJ39" s="172" t="s">
        <v>2481</v>
      </c>
      <c r="IK39" s="197">
        <f>IG23+II50-IM23</f>
        <v>230</v>
      </c>
      <c r="IN39" s="147" t="s">
        <v>2518</v>
      </c>
      <c r="IO39" s="44">
        <f>SUM(IQ25:IQ32)</f>
        <v>303.81</v>
      </c>
      <c r="IP39" s="198">
        <v>7.9</v>
      </c>
      <c r="IQ39" s="239" t="s">
        <v>2922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2923</v>
      </c>
      <c r="JH39" s="198">
        <v>10</v>
      </c>
      <c r="JI39" s="239" t="s">
        <v>2924</v>
      </c>
      <c r="JM39" s="228"/>
      <c r="JN39" s="198">
        <v>10</v>
      </c>
      <c r="JO39" s="21" t="s">
        <v>2925</v>
      </c>
      <c r="JS39" s="261" t="s">
        <v>2926</v>
      </c>
      <c r="JT39" s="260" t="s">
        <v>2927</v>
      </c>
      <c r="JU39" s="272">
        <v>89.39</v>
      </c>
      <c r="JX39" s="47" t="s">
        <v>2244</v>
      </c>
      <c r="JY39" s="47"/>
      <c r="JZ39" s="147" t="s">
        <v>2928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2889</v>
      </c>
      <c r="KK39" s="44">
        <f>SUM(KM7:KM9)</f>
        <v>1201.5700000000002</v>
      </c>
      <c r="KL39" s="198">
        <v>40</v>
      </c>
      <c r="KM39" s="277" t="s">
        <v>2718</v>
      </c>
      <c r="KN39" s="69"/>
      <c r="KO39" s="42"/>
      <c r="KP39" s="86" t="s">
        <v>2772</v>
      </c>
      <c r="KQ39" s="235">
        <f>SUM(KS14:KS16)</f>
        <v>325.95000000000005</v>
      </c>
      <c r="KR39" s="43" t="s">
        <v>2484</v>
      </c>
      <c r="KS39" s="45">
        <v>547</v>
      </c>
      <c r="KT39" s="14" t="s">
        <v>399</v>
      </c>
      <c r="KX39" s="147" t="s">
        <v>2930</v>
      </c>
      <c r="KY39" s="101">
        <v>31.96</v>
      </c>
      <c r="KZ39" s="14" t="s">
        <v>2857</v>
      </c>
      <c r="LB39" s="155" t="s">
        <v>2889</v>
      </c>
      <c r="LC39" s="44">
        <f>SUM(LE13:LE17)</f>
        <v>825.89</v>
      </c>
      <c r="LD39" s="147" t="s">
        <v>2931</v>
      </c>
      <c r="LE39" s="101">
        <v>32.5</v>
      </c>
      <c r="LF39" s="49" t="s">
        <v>2932</v>
      </c>
      <c r="LH39" s="152" t="s">
        <v>2949</v>
      </c>
      <c r="LI39" s="284">
        <v>300</v>
      </c>
      <c r="LJ39" s="196">
        <v>22.09</v>
      </c>
      <c r="LK39" s="45"/>
      <c r="LL39" s="14" t="s">
        <v>2823</v>
      </c>
      <c r="LP39" s="172"/>
      <c r="LQ39" s="197">
        <f>LM23+LO40-LS23</f>
        <v>710</v>
      </c>
      <c r="LR39" s="14" t="s">
        <v>2823</v>
      </c>
      <c r="LT39" s="178" t="s">
        <v>1283</v>
      </c>
      <c r="LU39" s="57">
        <f>SUM(LW6:LW11)</f>
        <v>42940.07</v>
      </c>
      <c r="LV39" s="147" t="s">
        <v>2722</v>
      </c>
      <c r="LW39" s="42">
        <v>46.4</v>
      </c>
      <c r="LX39" s="14" t="s">
        <v>399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2933</v>
      </c>
      <c r="GC40" s="152"/>
      <c r="GH40" s="170" t="s">
        <v>2934</v>
      </c>
      <c r="GI40" s="61">
        <v>190</v>
      </c>
      <c r="GJ40" s="14" t="s">
        <v>2558</v>
      </c>
      <c r="GN40" s="147" t="s">
        <v>2935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2936</v>
      </c>
      <c r="GV40" s="14" t="s">
        <v>2687</v>
      </c>
      <c r="GZ40" s="147"/>
      <c r="HB40" s="14" t="s">
        <v>224</v>
      </c>
      <c r="HF40" s="182" t="s">
        <v>2937</v>
      </c>
      <c r="HG40" s="160">
        <v>9.2200000000000006</v>
      </c>
      <c r="HR40" s="182"/>
      <c r="HS40" s="160"/>
      <c r="HX40" s="198">
        <v>20</v>
      </c>
      <c r="HY40" s="150" t="s">
        <v>2938</v>
      </c>
      <c r="ID40" s="198">
        <v>70</v>
      </c>
      <c r="IE40" s="150" t="s">
        <v>2718</v>
      </c>
      <c r="IH40" s="680" t="s">
        <v>2146</v>
      </c>
      <c r="II40" s="680"/>
      <c r="IJ40" s="198">
        <v>20</v>
      </c>
      <c r="IK40" s="150" t="s">
        <v>2939</v>
      </c>
      <c r="IN40" s="150" t="s">
        <v>2940</v>
      </c>
      <c r="IO40" s="165">
        <f>100+400+100+100</f>
        <v>700</v>
      </c>
      <c r="IP40" s="198">
        <v>6</v>
      </c>
      <c r="IQ40" s="239" t="s">
        <v>2718</v>
      </c>
      <c r="IV40" s="183"/>
      <c r="IW40" s="101"/>
      <c r="JA40" s="228"/>
      <c r="JB40" s="198">
        <v>30</v>
      </c>
      <c r="JC40" s="239" t="s">
        <v>2941</v>
      </c>
      <c r="JH40" s="198">
        <v>12</v>
      </c>
      <c r="JI40" s="239" t="s">
        <v>2942</v>
      </c>
      <c r="JM40" s="228"/>
      <c r="JN40" s="198">
        <f>86*3+96</f>
        <v>354</v>
      </c>
      <c r="JO40" s="21" t="s">
        <v>2943</v>
      </c>
      <c r="JT40" s="262" t="s">
        <v>2944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2945</v>
      </c>
      <c r="KA40" s="101">
        <v>13.15</v>
      </c>
      <c r="KF40" s="287" t="s">
        <v>2991</v>
      </c>
      <c r="KG40" s="14">
        <v>81.84</v>
      </c>
      <c r="KH40" s="14" t="s">
        <v>224</v>
      </c>
      <c r="KJ40" s="86" t="s">
        <v>2772</v>
      </c>
      <c r="KK40" s="235">
        <f>SUM(KM10:KM13)</f>
        <v>451.43999999999994</v>
      </c>
      <c r="KL40" s="198">
        <v>6</v>
      </c>
      <c r="KM40" s="239" t="s">
        <v>2947</v>
      </c>
      <c r="KN40" s="14" t="s">
        <v>399</v>
      </c>
      <c r="KP40" s="288" t="s">
        <v>2584</v>
      </c>
      <c r="KQ40" s="44">
        <f>SUM(KS18:KS27)</f>
        <v>1009.24</v>
      </c>
      <c r="KR40" s="196">
        <v>25.54</v>
      </c>
      <c r="KS40" s="45"/>
      <c r="KT40" s="14" t="s">
        <v>2823</v>
      </c>
      <c r="KX40" s="147" t="s">
        <v>2948</v>
      </c>
      <c r="KY40" s="42">
        <f>21.3+22.3</f>
        <v>43.6</v>
      </c>
      <c r="KZ40" s="14" t="s">
        <v>2892</v>
      </c>
      <c r="LB40" s="86" t="s">
        <v>2772</v>
      </c>
      <c r="LC40" s="235">
        <f>SUM(LE18:LE19)</f>
        <v>135.16</v>
      </c>
      <c r="LD40" s="43" t="s">
        <v>2484</v>
      </c>
      <c r="LE40" s="45">
        <f>385+59</f>
        <v>444</v>
      </c>
      <c r="LJ40" s="172" t="s">
        <v>2481</v>
      </c>
      <c r="LK40" s="197">
        <f>LG23+LI39-LM23</f>
        <v>250</v>
      </c>
      <c r="LL40" s="14" t="s">
        <v>2857</v>
      </c>
      <c r="LN40" s="152" t="s">
        <v>2950</v>
      </c>
      <c r="LO40" s="310">
        <v>600</v>
      </c>
      <c r="LP40" s="198">
        <v>600</v>
      </c>
      <c r="LQ40" s="197" t="s">
        <v>2951</v>
      </c>
      <c r="LR40" s="14" t="s">
        <v>2857</v>
      </c>
      <c r="LT40" s="308" t="s">
        <v>2399</v>
      </c>
      <c r="LU40" s="57">
        <f>SUM(LW12:LW13)</f>
        <v>100065.8</v>
      </c>
      <c r="LV40" s="147" t="s">
        <v>3361</v>
      </c>
      <c r="LW40" s="42">
        <v>39.4</v>
      </c>
      <c r="LX40" s="14" t="s">
        <v>2823</v>
      </c>
    </row>
    <row r="41" spans="1:339">
      <c r="K41" s="578" t="s">
        <v>1459</v>
      </c>
      <c r="L41" s="14">
        <v>300.01</v>
      </c>
      <c r="W41" s="14" t="s">
        <v>2952</v>
      </c>
      <c r="X41" s="14">
        <v>159</v>
      </c>
      <c r="AO41" s="78" t="s">
        <v>2953</v>
      </c>
      <c r="AP41" s="14">
        <v>-99.81</v>
      </c>
      <c r="BE41" s="14" t="s">
        <v>2780</v>
      </c>
      <c r="BF41" s="14">
        <v>400</v>
      </c>
      <c r="BW41" s="43" t="s">
        <v>2780</v>
      </c>
      <c r="BX41" s="43">
        <v>400</v>
      </c>
      <c r="CC41" s="43" t="s">
        <v>2954</v>
      </c>
      <c r="CD41" s="43">
        <v>320</v>
      </c>
      <c r="CI41" s="43" t="s">
        <v>2955</v>
      </c>
      <c r="CJ41" s="43">
        <v>50</v>
      </c>
      <c r="CO41" s="43" t="s">
        <v>2956</v>
      </c>
      <c r="CP41" s="43">
        <v>200</v>
      </c>
      <c r="CU41" s="43" t="s">
        <v>2955</v>
      </c>
      <c r="CV41" s="43">
        <v>100</v>
      </c>
      <c r="DA41" s="43" t="s">
        <v>2957</v>
      </c>
      <c r="DB41" s="43">
        <v>296.14</v>
      </c>
      <c r="DG41" s="118" t="s">
        <v>2958</v>
      </c>
      <c r="DH41" s="57">
        <v>40</v>
      </c>
      <c r="DI41" s="111" t="s">
        <v>2959</v>
      </c>
      <c r="DJ41" s="111">
        <v>200</v>
      </c>
      <c r="DM41" s="122" t="s">
        <v>2960</v>
      </c>
      <c r="DN41" s="124"/>
      <c r="DS41" s="122" t="s">
        <v>2961</v>
      </c>
      <c r="DT41" s="124"/>
      <c r="EL41" s="14" t="s">
        <v>2962</v>
      </c>
      <c r="EM41" s="14">
        <v>59.7</v>
      </c>
      <c r="ER41" s="49" t="s">
        <v>2963</v>
      </c>
      <c r="ES41" s="49">
        <v>18</v>
      </c>
      <c r="EX41" s="61" t="s">
        <v>2964</v>
      </c>
      <c r="EY41" s="61">
        <v>761</v>
      </c>
      <c r="EZ41" s="14" t="s">
        <v>2450</v>
      </c>
      <c r="FD41" s="61"/>
      <c r="FE41" s="61"/>
      <c r="FF41" s="61"/>
      <c r="FG41" s="61"/>
      <c r="FJ41" s="61"/>
      <c r="FK41" s="61"/>
      <c r="FL41" s="69"/>
      <c r="FM41" s="97"/>
      <c r="FP41" s="150" t="s">
        <v>2965</v>
      </c>
      <c r="FQ41" s="152"/>
      <c r="FR41" s="14" t="s">
        <v>2576</v>
      </c>
      <c r="FV41" s="170" t="s">
        <v>2966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2365</v>
      </c>
      <c r="HA41" s="21"/>
      <c r="HF41" s="182"/>
      <c r="HG41" s="160"/>
      <c r="HR41" s="182" t="s">
        <v>2967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2968</v>
      </c>
      <c r="JO41" s="101">
        <v>7.5</v>
      </c>
      <c r="JT41" s="260" t="s">
        <v>2969</v>
      </c>
      <c r="JU41" s="272">
        <v>18.8</v>
      </c>
      <c r="JX41" s="171" t="s">
        <v>2533</v>
      </c>
      <c r="JY41" s="91">
        <f>SUM(KA20:KA23)</f>
        <v>6114.74</v>
      </c>
      <c r="JZ41" s="147" t="s">
        <v>2970</v>
      </c>
      <c r="KA41" s="101">
        <v>38.200000000000003</v>
      </c>
      <c r="KE41" s="49"/>
      <c r="KF41" s="287" t="s">
        <v>3013</v>
      </c>
      <c r="KG41" s="14">
        <v>37.700000000000003</v>
      </c>
      <c r="KJ41" s="288" t="s">
        <v>2584</v>
      </c>
      <c r="KK41" s="44">
        <f>SUM(KM18:KM25)</f>
        <v>714.36400000000003</v>
      </c>
      <c r="KL41" s="198">
        <v>10</v>
      </c>
      <c r="KM41" s="239" t="s">
        <v>2971</v>
      </c>
      <c r="KN41" s="673" t="s">
        <v>2932</v>
      </c>
      <c r="KO41" s="673"/>
      <c r="KP41" s="147" t="s">
        <v>2434</v>
      </c>
      <c r="KQ41" s="44">
        <f>SUM(KS28:KS37)</f>
        <v>732.65</v>
      </c>
      <c r="KR41" s="172" t="s">
        <v>2481</v>
      </c>
      <c r="KS41" s="197">
        <f>KO28+KQ44-KU26</f>
        <v>110</v>
      </c>
      <c r="KT41" s="14" t="s">
        <v>2857</v>
      </c>
      <c r="KX41" s="147" t="s">
        <v>2972</v>
      </c>
      <c r="KY41" s="42">
        <f>42.17+45.14</f>
        <v>87.31</v>
      </c>
      <c r="KZ41" s="49" t="s">
        <v>2932</v>
      </c>
      <c r="LB41" s="288" t="s">
        <v>2584</v>
      </c>
      <c r="LC41" s="44">
        <f>SUM(LE22:LE31)</f>
        <v>1073.1600000000001</v>
      </c>
      <c r="LD41" s="196">
        <v>58.81</v>
      </c>
      <c r="LE41" s="45"/>
      <c r="LF41" s="14" t="s">
        <v>2973</v>
      </c>
      <c r="LI41" s="49"/>
      <c r="LJ41" s="198">
        <v>40</v>
      </c>
      <c r="LK41" s="277" t="s">
        <v>2974</v>
      </c>
      <c r="LL41" s="14" t="s">
        <v>2892</v>
      </c>
      <c r="LP41" s="198">
        <v>40</v>
      </c>
      <c r="LQ41" s="277" t="s">
        <v>2975</v>
      </c>
      <c r="LR41" s="14" t="s">
        <v>2892</v>
      </c>
      <c r="LT41" s="43" t="s">
        <v>2447</v>
      </c>
      <c r="LU41" s="42">
        <f>SUM(LW14:LW15)</f>
        <v>330.77</v>
      </c>
      <c r="LV41" s="147" t="s">
        <v>3362</v>
      </c>
      <c r="LW41" s="42">
        <v>53.72</v>
      </c>
      <c r="LX41" s="14" t="s">
        <v>2857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2976</v>
      </c>
      <c r="GC42" s="14">
        <v>80</v>
      </c>
      <c r="GH42" s="170" t="s">
        <v>2977</v>
      </c>
      <c r="GI42" s="61">
        <v>1100</v>
      </c>
      <c r="GJ42" s="14" t="s">
        <v>224</v>
      </c>
      <c r="GN42" s="147" t="s">
        <v>2978</v>
      </c>
      <c r="GO42" s="14">
        <f>76+25.2</f>
        <v>101.2</v>
      </c>
      <c r="GP42" s="69" t="s">
        <v>2979</v>
      </c>
      <c r="GQ42" s="97"/>
      <c r="GT42" s="176">
        <v>6</v>
      </c>
      <c r="GU42" s="150" t="s">
        <v>2980</v>
      </c>
      <c r="GV42" s="104"/>
      <c r="GZ42" s="172"/>
      <c r="HA42" s="21"/>
      <c r="HB42" s="14" t="s">
        <v>2450</v>
      </c>
      <c r="HF42" s="178" t="s">
        <v>2981</v>
      </c>
      <c r="HG42" s="178">
        <v>440</v>
      </c>
      <c r="HR42" s="182"/>
      <c r="HS42" s="160"/>
      <c r="HX42" s="198">
        <v>45</v>
      </c>
      <c r="HY42" s="150" t="s">
        <v>2982</v>
      </c>
      <c r="IB42" s="150" t="s">
        <v>2983</v>
      </c>
      <c r="IC42" s="165">
        <v>205</v>
      </c>
      <c r="ID42" s="198">
        <v>15</v>
      </c>
      <c r="IE42" s="150" t="s">
        <v>2984</v>
      </c>
      <c r="IH42" s="163" t="s">
        <v>1283</v>
      </c>
      <c r="II42" s="91">
        <f>SUM(IK7:IK9)</f>
        <v>1946.12</v>
      </c>
      <c r="IJ42" s="198">
        <v>40</v>
      </c>
      <c r="IK42" s="150" t="s">
        <v>2985</v>
      </c>
      <c r="IP42" s="198">
        <v>30</v>
      </c>
      <c r="IQ42" s="239" t="s">
        <v>2986</v>
      </c>
      <c r="IV42" s="183"/>
      <c r="IW42" s="101"/>
      <c r="JA42" s="230"/>
      <c r="JB42" s="198">
        <v>30</v>
      </c>
      <c r="JC42" s="239" t="s">
        <v>2987</v>
      </c>
      <c r="JG42" s="228"/>
      <c r="JH42" s="69" t="s">
        <v>2988</v>
      </c>
      <c r="JI42" s="101">
        <v>751</v>
      </c>
      <c r="JM42" s="230"/>
      <c r="JN42" s="183" t="s">
        <v>2902</v>
      </c>
      <c r="JO42" s="101">
        <v>15.79</v>
      </c>
      <c r="JT42" s="260" t="s">
        <v>2989</v>
      </c>
      <c r="JU42" s="272">
        <v>89.8</v>
      </c>
      <c r="JX42" s="154" t="s">
        <v>1320</v>
      </c>
      <c r="JY42" s="44">
        <f>KA10</f>
        <v>5.99</v>
      </c>
      <c r="JZ42" s="147" t="s">
        <v>2990</v>
      </c>
      <c r="KA42" s="101">
        <v>10.5</v>
      </c>
      <c r="KE42" s="49"/>
      <c r="KF42" s="287" t="s">
        <v>3046</v>
      </c>
      <c r="KG42" s="14">
        <v>35.25</v>
      </c>
      <c r="KJ42" s="147" t="s">
        <v>2434</v>
      </c>
      <c r="KK42" s="44">
        <f>SUM(KM26:KM34)</f>
        <v>587.2700000000001</v>
      </c>
      <c r="KL42" s="198">
        <v>6</v>
      </c>
      <c r="KM42" s="239" t="s">
        <v>2992</v>
      </c>
      <c r="KP42" s="147" t="s">
        <v>2578</v>
      </c>
      <c r="KQ42" s="258">
        <f>SUM(KS30:KS37)</f>
        <v>271.73</v>
      </c>
      <c r="KR42" s="198">
        <v>45</v>
      </c>
      <c r="KS42" s="277" t="s">
        <v>2718</v>
      </c>
      <c r="KT42" s="14" t="s">
        <v>2892</v>
      </c>
      <c r="KV42" s="47" t="s">
        <v>2244</v>
      </c>
      <c r="KW42" s="47"/>
      <c r="KX42" s="147" t="s">
        <v>2993</v>
      </c>
      <c r="KY42" s="42">
        <f>26.4+39.9</f>
        <v>66.3</v>
      </c>
      <c r="LB42" s="147" t="s">
        <v>2434</v>
      </c>
      <c r="LC42" s="44">
        <f>SUM(LE32:LE39)</f>
        <v>808.89</v>
      </c>
      <c r="LD42" s="172" t="s">
        <v>2481</v>
      </c>
      <c r="LE42" s="197">
        <f>LA25+LC45-LG23</f>
        <v>130</v>
      </c>
      <c r="LF42" s="14" t="s">
        <v>2994</v>
      </c>
      <c r="LI42" s="49"/>
      <c r="LJ42" s="198">
        <v>10</v>
      </c>
      <c r="LK42" s="239" t="s">
        <v>2995</v>
      </c>
      <c r="LL42" s="49" t="s">
        <v>2932</v>
      </c>
      <c r="LO42" s="56"/>
      <c r="LP42" s="198">
        <v>10</v>
      </c>
      <c r="LQ42" s="277" t="s">
        <v>2996</v>
      </c>
      <c r="LR42" s="49" t="s">
        <v>2932</v>
      </c>
      <c r="LT42" s="155" t="s">
        <v>2493</v>
      </c>
      <c r="LU42" s="42">
        <f>SUM(LW16:LW21)</f>
        <v>1500.08</v>
      </c>
      <c r="LV42" s="147" t="s">
        <v>3358</v>
      </c>
      <c r="LW42" s="57">
        <v>70</v>
      </c>
    </row>
    <row r="43" spans="1:339">
      <c r="K43" s="568" t="s">
        <v>2634</v>
      </c>
      <c r="L43" s="14">
        <v>100</v>
      </c>
      <c r="AO43" s="78" t="s">
        <v>2997</v>
      </c>
      <c r="AP43" s="14">
        <v>54</v>
      </c>
      <c r="AU43" s="14" t="s">
        <v>2998</v>
      </c>
      <c r="AV43" s="14">
        <v>180</v>
      </c>
      <c r="BE43" s="14" t="s">
        <v>2829</v>
      </c>
      <c r="BF43" s="14">
        <v>300</v>
      </c>
      <c r="BW43" s="43" t="s">
        <v>2829</v>
      </c>
      <c r="BX43" s="43">
        <v>150</v>
      </c>
      <c r="CC43" s="43" t="s">
        <v>2780</v>
      </c>
      <c r="CD43" s="43">
        <v>500</v>
      </c>
      <c r="CI43" s="43" t="s">
        <v>2999</v>
      </c>
      <c r="CJ43" s="43">
        <v>0</v>
      </c>
      <c r="CO43" s="43" t="s">
        <v>2780</v>
      </c>
      <c r="CP43" s="43">
        <v>500</v>
      </c>
      <c r="CU43" s="43" t="s">
        <v>3000</v>
      </c>
      <c r="CV43" s="43">
        <v>30</v>
      </c>
      <c r="DA43" s="43" t="s">
        <v>3001</v>
      </c>
      <c r="DB43" s="43">
        <v>127.5</v>
      </c>
      <c r="DG43" s="118" t="s">
        <v>3002</v>
      </c>
      <c r="DH43" s="57">
        <v>65.319999999999993</v>
      </c>
      <c r="DI43" s="111" t="s">
        <v>3003</v>
      </c>
      <c r="DJ43" s="585" t="s">
        <v>3004</v>
      </c>
      <c r="DM43" s="122" t="s">
        <v>3005</v>
      </c>
      <c r="DN43" s="124"/>
      <c r="DP43" s="14"/>
      <c r="DS43" s="122" t="s">
        <v>3006</v>
      </c>
      <c r="DT43" s="124"/>
      <c r="DY43" s="14" t="s">
        <v>2791</v>
      </c>
      <c r="DZ43" s="14">
        <v>734.46</v>
      </c>
      <c r="EL43" s="61" t="s">
        <v>3007</v>
      </c>
      <c r="EM43" s="49">
        <v>29.9</v>
      </c>
      <c r="ER43" s="61" t="s">
        <v>3008</v>
      </c>
      <c r="ES43" s="14">
        <f>11.88+1.49+3.62</f>
        <v>16.990000000000002</v>
      </c>
      <c r="EX43" s="61" t="s">
        <v>3009</v>
      </c>
      <c r="EY43" s="61">
        <f>560-555.22</f>
        <v>4.7799999999999727</v>
      </c>
      <c r="EZ43" s="14" t="s">
        <v>2576</v>
      </c>
      <c r="FD43" s="14" t="s">
        <v>2791</v>
      </c>
      <c r="FE43" s="49">
        <v>790</v>
      </c>
      <c r="FF43" s="14" t="s">
        <v>399</v>
      </c>
      <c r="FJ43" s="14" t="s">
        <v>2791</v>
      </c>
      <c r="FK43" s="49">
        <v>990</v>
      </c>
      <c r="FL43" s="69"/>
      <c r="FM43" s="97"/>
      <c r="FP43" s="150" t="s">
        <v>2424</v>
      </c>
      <c r="FQ43" s="152"/>
      <c r="FV43" s="170" t="s">
        <v>3010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3011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2322</v>
      </c>
      <c r="JY43" s="44">
        <f>SUM(KA11:KA19)</f>
        <v>2906.73</v>
      </c>
      <c r="JZ43" s="147" t="s">
        <v>3012</v>
      </c>
      <c r="KA43" s="42">
        <f>47.8+1.2+2.5+3.2</f>
        <v>54.7</v>
      </c>
      <c r="KE43" s="49" t="s">
        <v>2926</v>
      </c>
      <c r="KF43" s="289" t="s">
        <v>3070</v>
      </c>
      <c r="KG43" s="14">
        <v>98.58</v>
      </c>
      <c r="KJ43" s="147" t="s">
        <v>2578</v>
      </c>
      <c r="KK43" s="258">
        <f>SUM(KM28:KM34)</f>
        <v>362.27</v>
      </c>
      <c r="KL43" s="198">
        <v>100</v>
      </c>
      <c r="KM43" s="239" t="s">
        <v>3014</v>
      </c>
      <c r="KN43" s="14" t="s">
        <v>2973</v>
      </c>
      <c r="KR43" s="198">
        <v>12.4</v>
      </c>
      <c r="KS43" s="239" t="s">
        <v>3015</v>
      </c>
      <c r="KT43" s="49" t="s">
        <v>2932</v>
      </c>
      <c r="KV43" s="178" t="s">
        <v>1283</v>
      </c>
      <c r="KW43" s="91">
        <f>SUM(KY6:KY7)</f>
        <v>1950.12</v>
      </c>
      <c r="KX43" s="147" t="s">
        <v>3016</v>
      </c>
      <c r="KY43" s="42">
        <v>6</v>
      </c>
      <c r="KZ43" s="14" t="s">
        <v>2973</v>
      </c>
      <c r="LB43" s="147" t="s">
        <v>2578</v>
      </c>
      <c r="LC43" s="258">
        <f>SUM(LE34:LE39)</f>
        <v>235.89</v>
      </c>
      <c r="LD43" s="198">
        <v>22.2</v>
      </c>
      <c r="LE43" s="277" t="s">
        <v>3017</v>
      </c>
      <c r="LJ43" s="198">
        <v>30</v>
      </c>
      <c r="LK43" s="239" t="s">
        <v>3018</v>
      </c>
      <c r="LO43" s="56"/>
      <c r="LP43" s="198">
        <v>10</v>
      </c>
      <c r="LQ43" s="277" t="s">
        <v>1459</v>
      </c>
      <c r="LT43" s="88" t="s">
        <v>2540</v>
      </c>
      <c r="LU43" s="250">
        <f>SUM(LW22:LW22)</f>
        <v>0</v>
      </c>
      <c r="LV43" s="43" t="s">
        <v>3368</v>
      </c>
      <c r="LW43" s="101">
        <v>16</v>
      </c>
      <c r="LX43" s="49"/>
    </row>
    <row r="44" spans="1:339" ht="13.5" thickBot="1">
      <c r="W44" s="578" t="s">
        <v>1459</v>
      </c>
      <c r="X44" s="14">
        <v>600</v>
      </c>
      <c r="AO44" s="78" t="s">
        <v>3019</v>
      </c>
      <c r="AP44" s="14">
        <v>95</v>
      </c>
      <c r="AU44" s="14" t="s">
        <v>3020</v>
      </c>
      <c r="AV44" s="14">
        <v>-180</v>
      </c>
      <c r="CC44" s="43" t="s">
        <v>2829</v>
      </c>
      <c r="CD44" s="43">
        <v>150</v>
      </c>
      <c r="CI44" s="43" t="s">
        <v>3021</v>
      </c>
      <c r="CJ44" s="43">
        <v>300</v>
      </c>
      <c r="CO44" s="43" t="s">
        <v>2829</v>
      </c>
      <c r="CP44" s="43">
        <v>400</v>
      </c>
      <c r="CU44" s="43" t="s">
        <v>2780</v>
      </c>
      <c r="CV44" s="43">
        <v>500</v>
      </c>
      <c r="DA44" s="43" t="s">
        <v>3022</v>
      </c>
      <c r="DB44" s="43">
        <v>114.55</v>
      </c>
      <c r="DG44" s="118" t="s">
        <v>3023</v>
      </c>
      <c r="DH44" s="57">
        <v>95</v>
      </c>
      <c r="DI44" s="111" t="s">
        <v>3024</v>
      </c>
      <c r="DJ44" s="585" t="s">
        <v>3004</v>
      </c>
      <c r="DL44" s="61"/>
      <c r="DM44" s="122" t="s">
        <v>3025</v>
      </c>
      <c r="DN44" s="124"/>
      <c r="DO44" s="49"/>
      <c r="DP44" s="133">
        <f>-DP10</f>
        <v>2524</v>
      </c>
      <c r="DR44" s="61"/>
      <c r="DS44" s="122" t="s">
        <v>3026</v>
      </c>
      <c r="DT44" s="124"/>
      <c r="DY44" s="14" t="s">
        <v>3027</v>
      </c>
      <c r="EA44" s="14" t="s">
        <v>3028</v>
      </c>
      <c r="EL44" s="61" t="s">
        <v>3029</v>
      </c>
      <c r="EM44" s="61">
        <v>35.799999999999997</v>
      </c>
      <c r="ER44" s="61" t="s">
        <v>3030</v>
      </c>
      <c r="ES44" s="14">
        <v>69.7</v>
      </c>
      <c r="EX44" s="61" t="s">
        <v>3031</v>
      </c>
      <c r="EY44" s="61">
        <v>8.64</v>
      </c>
      <c r="FD44" s="14" t="s">
        <v>3032</v>
      </c>
      <c r="FE44" s="61"/>
      <c r="FF44" s="14" t="s">
        <v>2558</v>
      </c>
      <c r="FJ44" s="14" t="s">
        <v>3033</v>
      </c>
      <c r="FK44" s="61"/>
      <c r="FL44" s="61"/>
      <c r="FP44" s="150" t="s">
        <v>3034</v>
      </c>
      <c r="FQ44" s="152"/>
      <c r="GB44" s="170" t="s">
        <v>3035</v>
      </c>
      <c r="GC44" s="61">
        <v>11</v>
      </c>
      <c r="GH44" s="170" t="s">
        <v>3036</v>
      </c>
      <c r="GI44" s="61">
        <v>43</v>
      </c>
      <c r="GJ44" s="14" t="s">
        <v>2450</v>
      </c>
      <c r="GN44" s="172" t="s">
        <v>2365</v>
      </c>
      <c r="GO44" s="21"/>
      <c r="GP44" s="14" t="s">
        <v>2558</v>
      </c>
      <c r="GT44" s="176">
        <v>30</v>
      </c>
      <c r="GU44" s="150" t="s">
        <v>3037</v>
      </c>
      <c r="GZ44" s="152" t="s">
        <v>3038</v>
      </c>
      <c r="HA44" s="166">
        <f>GW16+GZ43-HC17</f>
        <v>134</v>
      </c>
      <c r="HB44" s="14" t="s">
        <v>2576</v>
      </c>
      <c r="HE44" s="149"/>
      <c r="HF44" s="185">
        <v>29.54</v>
      </c>
      <c r="HX44" s="182" t="s">
        <v>3039</v>
      </c>
      <c r="HY44" s="160">
        <v>98.89</v>
      </c>
      <c r="HZ44" s="14" t="s">
        <v>399</v>
      </c>
      <c r="ID44" s="198">
        <v>10</v>
      </c>
      <c r="IE44" s="150" t="s">
        <v>3040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3041</v>
      </c>
      <c r="IP44" s="198">
        <v>20</v>
      </c>
      <c r="IQ44" s="239" t="s">
        <v>3042</v>
      </c>
      <c r="IV44" s="183"/>
      <c r="IW44" s="101"/>
      <c r="JB44" s="198">
        <v>13</v>
      </c>
      <c r="JC44" s="239" t="s">
        <v>3043</v>
      </c>
      <c r="JG44" s="228"/>
      <c r="JH44" s="69" t="s">
        <v>1749</v>
      </c>
      <c r="JI44" s="101">
        <v>12.34</v>
      </c>
      <c r="JN44" s="69" t="s">
        <v>3044</v>
      </c>
      <c r="JO44" s="101">
        <v>13.3</v>
      </c>
      <c r="JT44" s="263" t="s">
        <v>1895</v>
      </c>
      <c r="JU44" s="273">
        <f>80.82+75.78</f>
        <v>156.6</v>
      </c>
      <c r="JX44" s="162" t="s">
        <v>2376</v>
      </c>
      <c r="JY44" s="44">
        <f>SUM(KA24:KA32)</f>
        <v>1008.43</v>
      </c>
      <c r="JZ44" s="147" t="s">
        <v>3045</v>
      </c>
      <c r="KA44" s="101">
        <v>26.5</v>
      </c>
      <c r="KE44" s="49"/>
      <c r="KL44" s="198">
        <v>9</v>
      </c>
      <c r="KM44" s="239" t="s">
        <v>3047</v>
      </c>
      <c r="KN44" s="14" t="s">
        <v>2994</v>
      </c>
      <c r="KP44" s="152" t="s">
        <v>3048</v>
      </c>
      <c r="KQ44" s="284">
        <v>100</v>
      </c>
      <c r="KR44" s="198">
        <v>10</v>
      </c>
      <c r="KS44" s="239" t="s">
        <v>3049</v>
      </c>
      <c r="KV44" s="171" t="s">
        <v>2628</v>
      </c>
      <c r="KW44" s="91">
        <f>SUM(KY23:KY23)</f>
        <v>1196.72</v>
      </c>
      <c r="KX44" s="147" t="s">
        <v>3050</v>
      </c>
      <c r="KY44" s="42">
        <v>7.9</v>
      </c>
      <c r="KZ44" s="14" t="s">
        <v>2994</v>
      </c>
      <c r="LD44" s="198">
        <v>30</v>
      </c>
      <c r="LE44" s="239" t="s">
        <v>2424</v>
      </c>
      <c r="LJ44" s="198">
        <v>30</v>
      </c>
      <c r="LK44" s="239" t="s">
        <v>2424</v>
      </c>
      <c r="LL44" s="14" t="s">
        <v>2973</v>
      </c>
      <c r="LP44" s="65" t="s">
        <v>3051</v>
      </c>
      <c r="LQ44" s="243">
        <f>212.55-160-14.41</f>
        <v>38.140000000000015</v>
      </c>
      <c r="LR44" s="14" t="s">
        <v>2973</v>
      </c>
      <c r="LT44" s="288" t="s">
        <v>2584</v>
      </c>
      <c r="LU44" s="42">
        <f>SUM(LW23:LW30)</f>
        <v>717.48</v>
      </c>
      <c r="LV44" s="43" t="s">
        <v>2484</v>
      </c>
      <c r="LW44" s="45">
        <f>143+128+130+21+118</f>
        <v>540</v>
      </c>
    </row>
    <row r="45" spans="1:339">
      <c r="W45" s="568" t="s">
        <v>2634</v>
      </c>
      <c r="X45" s="14">
        <v>100</v>
      </c>
      <c r="AU45" s="14" t="s">
        <v>3052</v>
      </c>
      <c r="AV45" s="14">
        <f>53+76.3</f>
        <v>129.30000000000001</v>
      </c>
      <c r="CI45" s="43" t="s">
        <v>2780</v>
      </c>
      <c r="CJ45" s="43">
        <v>400</v>
      </c>
      <c r="CO45" s="43" t="s">
        <v>3053</v>
      </c>
      <c r="CU45" s="43" t="s">
        <v>2829</v>
      </c>
      <c r="CV45" s="43">
        <v>200</v>
      </c>
      <c r="DA45" s="43" t="s">
        <v>2780</v>
      </c>
      <c r="DB45" s="43">
        <v>700</v>
      </c>
      <c r="DG45" s="121" t="s">
        <v>2789</v>
      </c>
      <c r="DH45" s="123">
        <v>350</v>
      </c>
      <c r="DJ45" s="56"/>
      <c r="DL45" s="61"/>
      <c r="DM45" s="61" t="s">
        <v>3054</v>
      </c>
      <c r="DN45" s="57">
        <v>22.9</v>
      </c>
      <c r="DO45" s="49"/>
      <c r="DP45" s="133">
        <v>34.799999999999997</v>
      </c>
      <c r="DR45" s="61"/>
      <c r="DS45" s="122" t="s">
        <v>3055</v>
      </c>
      <c r="DT45" s="124"/>
      <c r="DU45" s="104"/>
      <c r="DY45" s="14" t="s">
        <v>2867</v>
      </c>
      <c r="DZ45" s="14">
        <v>70</v>
      </c>
      <c r="EL45" s="14" t="s">
        <v>3056</v>
      </c>
      <c r="EM45" s="14">
        <v>19.899999999999999</v>
      </c>
      <c r="ET45" s="104"/>
      <c r="EX45" s="61" t="s">
        <v>3057</v>
      </c>
      <c r="EY45" s="61">
        <f>7.3+13+10.5+10.8</f>
        <v>41.6</v>
      </c>
      <c r="FD45" s="14" t="s">
        <v>2867</v>
      </c>
      <c r="FE45" s="14">
        <v>30</v>
      </c>
      <c r="FF45" s="14" t="s">
        <v>2556</v>
      </c>
      <c r="FJ45" s="14" t="s">
        <v>2867</v>
      </c>
      <c r="FK45" s="14">
        <v>80</v>
      </c>
      <c r="FL45" s="61"/>
      <c r="FP45" s="61" t="s">
        <v>3058</v>
      </c>
      <c r="FQ45" s="14">
        <v>24</v>
      </c>
      <c r="FV45" s="14" t="s">
        <v>2791</v>
      </c>
      <c r="FW45" s="49">
        <v>646</v>
      </c>
      <c r="FX45" s="104"/>
      <c r="GB45" s="170" t="s">
        <v>3059</v>
      </c>
      <c r="GC45" s="61">
        <v>20</v>
      </c>
      <c r="GD45" s="104"/>
      <c r="GH45" s="170" t="s">
        <v>2026</v>
      </c>
      <c r="GI45" s="61">
        <v>64.680000000000007</v>
      </c>
      <c r="GJ45" s="14" t="s">
        <v>2576</v>
      </c>
      <c r="GN45" s="165">
        <v>100</v>
      </c>
      <c r="GO45" s="172"/>
      <c r="GP45" s="14" t="s">
        <v>224</v>
      </c>
      <c r="GT45" s="170" t="s">
        <v>3060</v>
      </c>
      <c r="GU45" s="61">
        <v>70</v>
      </c>
      <c r="GZ45" s="175">
        <v>60</v>
      </c>
      <c r="HA45" s="150" t="s">
        <v>2424</v>
      </c>
      <c r="HF45" s="14" t="s">
        <v>3061</v>
      </c>
      <c r="HG45" s="61">
        <v>90</v>
      </c>
      <c r="HX45" s="210" t="s">
        <v>3062</v>
      </c>
      <c r="HY45" s="210"/>
      <c r="HZ45" s="14" t="s">
        <v>224</v>
      </c>
      <c r="ID45" s="198">
        <f>20+9</f>
        <v>29</v>
      </c>
      <c r="IE45" s="150" t="s">
        <v>3063</v>
      </c>
      <c r="IH45" s="169" t="s">
        <v>1320</v>
      </c>
      <c r="II45" s="44">
        <f>SUM(IK10:IK11)</f>
        <v>3467.75</v>
      </c>
      <c r="IJ45" s="198">
        <v>20</v>
      </c>
      <c r="IK45" s="150" t="s">
        <v>3064</v>
      </c>
      <c r="IO45" s="228"/>
      <c r="IP45" s="198">
        <v>12</v>
      </c>
      <c r="IQ45" s="239" t="s">
        <v>3065</v>
      </c>
      <c r="IV45" s="190"/>
      <c r="IW45" s="240"/>
      <c r="JB45" s="238" t="s">
        <v>3066</v>
      </c>
      <c r="JC45" s="243">
        <v>18</v>
      </c>
      <c r="JG45" s="230"/>
      <c r="JH45" s="183" t="s">
        <v>3067</v>
      </c>
      <c r="JI45" s="101">
        <v>65</v>
      </c>
      <c r="JN45" s="14" t="s">
        <v>3068</v>
      </c>
      <c r="JO45" s="101">
        <v>120.36</v>
      </c>
      <c r="JT45" s="264" t="s">
        <v>3069</v>
      </c>
      <c r="JU45" s="274">
        <v>27.83</v>
      </c>
      <c r="JX45" s="147" t="s">
        <v>2434</v>
      </c>
      <c r="JY45" s="44">
        <f>SUM(KA33:KA44)</f>
        <v>681.71</v>
      </c>
      <c r="JZ45" s="14" t="s">
        <v>2439</v>
      </c>
      <c r="KA45" s="57">
        <f>8+61+1</f>
        <v>70</v>
      </c>
      <c r="KE45" s="49"/>
      <c r="KJ45" s="152" t="s">
        <v>3071</v>
      </c>
      <c r="KK45" s="284">
        <v>250</v>
      </c>
      <c r="KL45" s="198">
        <v>10</v>
      </c>
      <c r="KM45" s="239" t="s">
        <v>3072</v>
      </c>
      <c r="KR45" s="198">
        <f>10+10+5+5</f>
        <v>30</v>
      </c>
      <c r="KS45" s="239" t="s">
        <v>3073</v>
      </c>
      <c r="KT45" s="14" t="s">
        <v>2973</v>
      </c>
      <c r="KV45" s="286" t="s">
        <v>2447</v>
      </c>
      <c r="KW45" s="44">
        <v>0</v>
      </c>
      <c r="KX45" s="147" t="s">
        <v>3074</v>
      </c>
      <c r="KY45" s="101">
        <f>40.5+66.1</f>
        <v>106.6</v>
      </c>
      <c r="LB45" s="152" t="s">
        <v>3075</v>
      </c>
      <c r="LC45" s="284">
        <v>200</v>
      </c>
      <c r="LD45" s="198">
        <v>20</v>
      </c>
      <c r="LE45" s="239" t="s">
        <v>3076</v>
      </c>
      <c r="LJ45" s="198">
        <v>13</v>
      </c>
      <c r="LK45" s="239" t="s">
        <v>3077</v>
      </c>
      <c r="LL45" s="14" t="s">
        <v>2994</v>
      </c>
      <c r="LP45" s="65" t="s">
        <v>3078</v>
      </c>
      <c r="LQ45" s="14">
        <v>300</v>
      </c>
      <c r="LR45" s="14" t="s">
        <v>2994</v>
      </c>
      <c r="LT45" s="147" t="s">
        <v>2434</v>
      </c>
      <c r="LU45" s="42">
        <f>SUM(LW31:LW42)</f>
        <v>1291.0300000000004</v>
      </c>
      <c r="LV45" s="196">
        <v>64.790000000000006</v>
      </c>
      <c r="LW45" s="45"/>
      <c r="LX45" s="14" t="s">
        <v>2973</v>
      </c>
    </row>
    <row r="46" spans="1:339">
      <c r="AO46" s="14" t="s">
        <v>3079</v>
      </c>
      <c r="AP46" s="14">
        <f>129-18</f>
        <v>111</v>
      </c>
      <c r="AU46" s="14" t="s">
        <v>3080</v>
      </c>
      <c r="AV46" s="14">
        <v>25</v>
      </c>
      <c r="CI46" s="43" t="s">
        <v>2829</v>
      </c>
      <c r="CJ46" s="43">
        <v>150</v>
      </c>
      <c r="CU46" s="43" t="s">
        <v>3081</v>
      </c>
      <c r="DG46" s="122" t="s">
        <v>3082</v>
      </c>
      <c r="DH46" s="124"/>
      <c r="DI46" s="568" t="s">
        <v>399</v>
      </c>
      <c r="DL46" s="61"/>
      <c r="DM46" s="61" t="s">
        <v>3083</v>
      </c>
      <c r="DN46" s="57">
        <v>36.299999999999997</v>
      </c>
      <c r="DO46" s="49"/>
      <c r="DP46" s="133">
        <v>1.93</v>
      </c>
      <c r="DR46" s="61"/>
      <c r="DS46" s="122" t="s">
        <v>3084</v>
      </c>
      <c r="DT46" s="124"/>
      <c r="EL46" s="61" t="s">
        <v>3085</v>
      </c>
      <c r="EM46" s="61">
        <v>29</v>
      </c>
      <c r="ER46" s="14" t="s">
        <v>2791</v>
      </c>
      <c r="ES46" s="49">
        <v>840</v>
      </c>
      <c r="EX46" s="61" t="s">
        <v>3086</v>
      </c>
      <c r="EY46" s="61">
        <v>15.19</v>
      </c>
      <c r="FF46" s="14" t="s">
        <v>224</v>
      </c>
      <c r="FL46" s="14" t="s">
        <v>399</v>
      </c>
      <c r="FP46" s="49" t="s">
        <v>2901</v>
      </c>
      <c r="FQ46" s="49">
        <v>50</v>
      </c>
      <c r="FR46" s="104"/>
      <c r="FV46" s="14" t="s">
        <v>3087</v>
      </c>
      <c r="FW46" s="61"/>
      <c r="GB46" s="170" t="s">
        <v>3088</v>
      </c>
      <c r="GC46" s="61">
        <v>20</v>
      </c>
      <c r="GN46" s="152" t="s">
        <v>3089</v>
      </c>
      <c r="GO46" s="166">
        <f>GK17+GN45-GQ17</f>
        <v>104</v>
      </c>
      <c r="GP46" s="14" t="s">
        <v>2450</v>
      </c>
      <c r="GT46" s="170" t="s">
        <v>3090</v>
      </c>
      <c r="GU46" s="61">
        <v>29.6</v>
      </c>
      <c r="GZ46" s="176">
        <v>20</v>
      </c>
      <c r="HA46" s="150" t="s">
        <v>2519</v>
      </c>
      <c r="HX46" s="210"/>
      <c r="HY46" s="210"/>
      <c r="ID46" s="69" t="s">
        <v>3091</v>
      </c>
      <c r="IE46" s="160">
        <v>23</v>
      </c>
      <c r="IH46" s="157" t="s">
        <v>2322</v>
      </c>
      <c r="II46" s="168">
        <f>SUM(IK12:IK13)</f>
        <v>2138.0500000000002</v>
      </c>
      <c r="IJ46" s="198">
        <v>5</v>
      </c>
      <c r="IK46" s="150" t="s">
        <v>3092</v>
      </c>
      <c r="IO46" s="228"/>
      <c r="IP46" s="198">
        <v>20</v>
      </c>
      <c r="IQ46" s="239" t="s">
        <v>2718</v>
      </c>
      <c r="IV46" s="190"/>
      <c r="IW46" s="149"/>
      <c r="JB46" s="69" t="s">
        <v>3093</v>
      </c>
      <c r="JC46" s="14">
        <v>86.8</v>
      </c>
      <c r="JH46" s="69" t="s">
        <v>3094</v>
      </c>
      <c r="JI46" s="101">
        <v>13.3</v>
      </c>
      <c r="JN46" s="183" t="s">
        <v>3095</v>
      </c>
      <c r="JO46" s="101">
        <v>2.79</v>
      </c>
      <c r="JT46" s="264" t="s">
        <v>3096</v>
      </c>
      <c r="JU46" s="274">
        <v>8.61</v>
      </c>
      <c r="JX46" s="147" t="s">
        <v>2578</v>
      </c>
      <c r="JY46" s="44">
        <f>SUM(KA36:KA44)</f>
        <v>301.70999999999998</v>
      </c>
      <c r="JZ46" s="14" t="s">
        <v>3097</v>
      </c>
      <c r="KA46" s="57">
        <v>300</v>
      </c>
      <c r="KE46" s="49"/>
      <c r="KL46" s="198">
        <v>20</v>
      </c>
      <c r="KM46" s="239" t="s">
        <v>3098</v>
      </c>
      <c r="KQ46" s="49"/>
      <c r="KR46" s="14" t="s">
        <v>3099</v>
      </c>
      <c r="KS46" s="14">
        <v>120</v>
      </c>
      <c r="KT46" s="14" t="s">
        <v>2994</v>
      </c>
      <c r="KV46" s="155" t="s">
        <v>2889</v>
      </c>
      <c r="KW46" s="44">
        <f>SUM(KY8:KY13)</f>
        <v>1272.93</v>
      </c>
      <c r="KX46" s="147" t="s">
        <v>3100</v>
      </c>
      <c r="KY46" s="101">
        <v>5.8</v>
      </c>
      <c r="LD46" s="198">
        <v>10</v>
      </c>
      <c r="LE46" s="239" t="s">
        <v>2718</v>
      </c>
      <c r="LJ46" s="198">
        <v>7</v>
      </c>
      <c r="LK46" s="239" t="s">
        <v>3101</v>
      </c>
      <c r="LP46" s="14" t="s">
        <v>3102</v>
      </c>
      <c r="LQ46" s="14">
        <v>27.5</v>
      </c>
      <c r="LT46" s="147" t="s">
        <v>2578</v>
      </c>
      <c r="LU46" s="309">
        <f>SUM(LW35:LW42)</f>
        <v>500.95999999999992</v>
      </c>
      <c r="LV46" s="172"/>
      <c r="LW46" s="197">
        <f>LS23+LU48-LY25</f>
        <v>230</v>
      </c>
      <c r="LX46" s="14" t="s">
        <v>2994</v>
      </c>
    </row>
    <row r="47" spans="1:339">
      <c r="AO47" s="14" t="s">
        <v>3103</v>
      </c>
      <c r="AP47" s="14">
        <v>25</v>
      </c>
      <c r="BX47" s="84"/>
      <c r="CD47" s="84"/>
      <c r="CJ47" s="84"/>
      <c r="DG47" s="122" t="s">
        <v>3104</v>
      </c>
      <c r="DH47" s="124"/>
      <c r="DI47" s="568" t="s">
        <v>2343</v>
      </c>
      <c r="DJ47" s="100"/>
      <c r="DL47" s="61"/>
      <c r="DM47" s="61" t="s">
        <v>3105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3106</v>
      </c>
      <c r="ES47" s="61"/>
      <c r="EX47" s="61"/>
      <c r="EY47" s="61"/>
      <c r="EZ47" s="104"/>
      <c r="FC47" s="17"/>
      <c r="FF47" s="14" t="s">
        <v>2450</v>
      </c>
      <c r="FL47" s="14" t="s">
        <v>2558</v>
      </c>
      <c r="FP47" s="170" t="s">
        <v>3107</v>
      </c>
      <c r="FQ47" s="49">
        <v>4.41</v>
      </c>
      <c r="FV47" s="14" t="s">
        <v>3108</v>
      </c>
      <c r="FW47" s="14">
        <v>52.15</v>
      </c>
      <c r="GB47" s="170" t="s">
        <v>3109</v>
      </c>
      <c r="GC47" s="61">
        <v>30.35</v>
      </c>
      <c r="GH47" s="14" t="s">
        <v>2791</v>
      </c>
      <c r="GI47" s="49">
        <v>638</v>
      </c>
      <c r="GN47" s="150" t="s">
        <v>3110</v>
      </c>
      <c r="GO47" s="152"/>
      <c r="GP47" s="14" t="s">
        <v>2576</v>
      </c>
      <c r="GT47" s="170" t="s">
        <v>3111</v>
      </c>
      <c r="GU47" s="61">
        <v>32.1</v>
      </c>
      <c r="GZ47" s="176">
        <v>30</v>
      </c>
      <c r="HA47" s="150" t="s">
        <v>3112</v>
      </c>
      <c r="HX47" s="208" t="s">
        <v>3113</v>
      </c>
      <c r="HY47" s="14">
        <f>40+150</f>
        <v>190</v>
      </c>
      <c r="ID47" s="183" t="s">
        <v>3114</v>
      </c>
      <c r="IE47" s="14">
        <v>54.8</v>
      </c>
      <c r="IH47" s="164" t="s">
        <v>2376</v>
      </c>
      <c r="II47" s="168">
        <f>SUM(IK16:IK23)</f>
        <v>1252.2433333333333</v>
      </c>
      <c r="IJ47" s="198">
        <v>7</v>
      </c>
      <c r="IK47" s="150" t="s">
        <v>3115</v>
      </c>
      <c r="IO47" s="230"/>
      <c r="IP47" s="165">
        <v>10</v>
      </c>
      <c r="IQ47" s="239" t="s">
        <v>3116</v>
      </c>
      <c r="IV47" s="190"/>
      <c r="IW47" s="190"/>
      <c r="JB47" s="69" t="s">
        <v>3117</v>
      </c>
      <c r="JC47" s="101">
        <v>36.9</v>
      </c>
      <c r="JH47" s="190" t="s">
        <v>3118</v>
      </c>
      <c r="JI47" s="149">
        <v>3</v>
      </c>
      <c r="JN47" s="69" t="s">
        <v>3119</v>
      </c>
      <c r="JO47" s="101">
        <v>8.5500000000000007</v>
      </c>
      <c r="JT47" s="264" t="s">
        <v>3120</v>
      </c>
      <c r="JU47" s="274">
        <v>19.46</v>
      </c>
      <c r="JZ47" s="43" t="s">
        <v>2484</v>
      </c>
      <c r="KA47" s="45">
        <f>670+187</f>
        <v>857</v>
      </c>
      <c r="KE47" s="49"/>
      <c r="KK47" s="49"/>
      <c r="KL47" s="198">
        <v>24</v>
      </c>
      <c r="KM47" s="239" t="s">
        <v>3121</v>
      </c>
      <c r="KQ47" s="49"/>
      <c r="KR47" s="14" t="s">
        <v>3122</v>
      </c>
      <c r="KS47" s="14">
        <v>82.45</v>
      </c>
      <c r="KV47" s="86" t="s">
        <v>2772</v>
      </c>
      <c r="KW47" s="299">
        <f>SUM(KY14:KY22)</f>
        <v>1574</v>
      </c>
      <c r="KX47" s="14" t="s">
        <v>2766</v>
      </c>
      <c r="KY47" s="57">
        <f>400+110</f>
        <v>510</v>
      </c>
      <c r="LB47" s="14" t="s">
        <v>3123</v>
      </c>
      <c r="LC47" s="49"/>
      <c r="LD47" s="198">
        <v>7</v>
      </c>
      <c r="LE47" s="239" t="s">
        <v>3124</v>
      </c>
      <c r="LJ47" s="198">
        <v>50</v>
      </c>
      <c r="LK47" s="21" t="s">
        <v>3098</v>
      </c>
      <c r="LP47" s="65" t="s">
        <v>3125</v>
      </c>
      <c r="LQ47" s="61">
        <v>21.1</v>
      </c>
      <c r="LV47" s="198">
        <v>10</v>
      </c>
      <c r="LW47" s="197" t="s">
        <v>2424</v>
      </c>
    </row>
    <row r="48" spans="1:339">
      <c r="AO48" s="14" t="s">
        <v>3126</v>
      </c>
      <c r="AP48" s="14">
        <v>508</v>
      </c>
      <c r="AU48" s="14" t="s">
        <v>2731</v>
      </c>
      <c r="AV48" s="14">
        <v>200</v>
      </c>
      <c r="DG48" s="122" t="s">
        <v>3127</v>
      </c>
      <c r="DH48" s="124"/>
      <c r="DI48" s="49" t="s">
        <v>224</v>
      </c>
      <c r="DJ48" s="57"/>
      <c r="DM48" s="61" t="s">
        <v>3128</v>
      </c>
      <c r="DN48" s="57">
        <v>34</v>
      </c>
      <c r="DO48" s="49"/>
      <c r="DP48" s="133">
        <v>21.78</v>
      </c>
      <c r="DS48" s="61" t="s">
        <v>3129</v>
      </c>
      <c r="DT48" s="57">
        <v>34.799999999999997</v>
      </c>
      <c r="EL48" s="14" t="s">
        <v>2791</v>
      </c>
      <c r="EM48" s="14">
        <v>870</v>
      </c>
      <c r="EN48" s="14" t="s">
        <v>3028</v>
      </c>
      <c r="ER48" s="14" t="s">
        <v>2867</v>
      </c>
      <c r="ES48" s="14">
        <v>60</v>
      </c>
      <c r="EX48" s="14" t="s">
        <v>2791</v>
      </c>
      <c r="EY48" s="49">
        <v>940</v>
      </c>
      <c r="FF48" s="14" t="s">
        <v>2576</v>
      </c>
      <c r="FL48" s="14" t="s">
        <v>2556</v>
      </c>
      <c r="FP48" s="170" t="s">
        <v>3130</v>
      </c>
      <c r="FQ48" s="61">
        <v>70.3</v>
      </c>
      <c r="FV48" s="14" t="s">
        <v>3131</v>
      </c>
      <c r="GH48" s="14" t="s">
        <v>3132</v>
      </c>
      <c r="GI48" s="61"/>
      <c r="GJ48" s="14" t="s">
        <v>2687</v>
      </c>
      <c r="GN48" s="150" t="s">
        <v>3133</v>
      </c>
      <c r="GO48" s="152"/>
      <c r="GT48" s="170" t="s">
        <v>3054</v>
      </c>
      <c r="GU48" s="14">
        <v>2.66</v>
      </c>
      <c r="GZ48" s="170" t="s">
        <v>3134</v>
      </c>
      <c r="HA48" s="61">
        <v>6</v>
      </c>
      <c r="HB48" s="104"/>
      <c r="HX48" s="211" t="s">
        <v>3135</v>
      </c>
      <c r="HY48" s="160">
        <v>150</v>
      </c>
      <c r="ID48" s="183" t="s">
        <v>3007</v>
      </c>
      <c r="IE48" s="14">
        <v>54.6</v>
      </c>
      <c r="IH48" s="147" t="s">
        <v>2434</v>
      </c>
      <c r="II48" s="168">
        <f>SUM(IK24:IK36)</f>
        <v>602.14</v>
      </c>
      <c r="IJ48" s="165">
        <f>-IK7</f>
        <v>-15</v>
      </c>
      <c r="IK48" s="150" t="s">
        <v>3136</v>
      </c>
      <c r="IP48" s="165">
        <f>17+11+6</f>
        <v>34</v>
      </c>
      <c r="IQ48" s="239" t="s">
        <v>3137</v>
      </c>
      <c r="IV48" s="182"/>
      <c r="IW48" s="190"/>
      <c r="JB48" s="69" t="s">
        <v>3094</v>
      </c>
      <c r="JC48" s="101">
        <v>13.3</v>
      </c>
      <c r="JH48" s="190"/>
      <c r="JI48" s="190"/>
      <c r="JN48" s="69" t="s">
        <v>3138</v>
      </c>
      <c r="JO48" s="101">
        <v>10.35</v>
      </c>
      <c r="JS48" s="265" t="s">
        <v>3139</v>
      </c>
      <c r="JT48" s="264" t="s">
        <v>3140</v>
      </c>
      <c r="JU48" s="275">
        <f>5.42+0.41+0.58+2.33+0.29+0.28+0.26+1.45+0.29+4.73+1.54</f>
        <v>17.579999999999998</v>
      </c>
      <c r="JZ48" s="196">
        <v>47.04</v>
      </c>
      <c r="KA48" s="45" t="s">
        <v>3141</v>
      </c>
      <c r="KG48" s="61"/>
      <c r="KK48" s="49"/>
      <c r="KL48" s="198">
        <v>8</v>
      </c>
      <c r="KM48" s="239" t="s">
        <v>3142</v>
      </c>
      <c r="KR48" s="285" t="s">
        <v>3143</v>
      </c>
      <c r="KS48" s="243">
        <v>50</v>
      </c>
      <c r="KV48" s="288" t="s">
        <v>2584</v>
      </c>
      <c r="KW48" s="44">
        <f>SUM(KY24:KY31)</f>
        <v>699.97</v>
      </c>
      <c r="KX48" s="43" t="s">
        <v>2484</v>
      </c>
      <c r="KY48" s="45">
        <f>194+179+2</f>
        <v>375</v>
      </c>
      <c r="LB48" s="14" t="s">
        <v>3144</v>
      </c>
      <c r="LC48" s="49"/>
      <c r="LD48" s="198">
        <v>30</v>
      </c>
      <c r="LE48" s="239" t="s">
        <v>3145</v>
      </c>
      <c r="LJ48" s="198">
        <v>40</v>
      </c>
      <c r="LK48" s="21" t="s">
        <v>3146</v>
      </c>
      <c r="LP48" s="65" t="s">
        <v>3147</v>
      </c>
      <c r="LQ48" s="57">
        <v>17.5</v>
      </c>
      <c r="LT48" s="152" t="s">
        <v>3365</v>
      </c>
      <c r="LU48" s="310">
        <v>290</v>
      </c>
      <c r="LV48" s="198">
        <v>60</v>
      </c>
      <c r="LW48" s="277" t="s">
        <v>3014</v>
      </c>
    </row>
    <row r="49" spans="41:337">
      <c r="AO49" s="14" t="s">
        <v>3148</v>
      </c>
      <c r="AP49" s="14">
        <f>20*3</f>
        <v>60</v>
      </c>
      <c r="AU49" s="14" t="s">
        <v>2780</v>
      </c>
      <c r="AV49" s="14">
        <v>300</v>
      </c>
      <c r="DF49" s="61"/>
      <c r="DG49" s="122" t="s">
        <v>3149</v>
      </c>
      <c r="DH49" s="124"/>
      <c r="DI49" s="14" t="s">
        <v>2450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3150</v>
      </c>
      <c r="EX49" s="14" t="s">
        <v>3151</v>
      </c>
      <c r="EY49" s="61"/>
      <c r="FL49" s="14" t="s">
        <v>224</v>
      </c>
      <c r="FP49" s="170" t="s">
        <v>3152</v>
      </c>
      <c r="FQ49" s="61">
        <v>206</v>
      </c>
      <c r="FV49" s="14" t="s">
        <v>2867</v>
      </c>
      <c r="FW49" s="14">
        <v>48</v>
      </c>
      <c r="GB49" s="14" t="s">
        <v>2791</v>
      </c>
      <c r="GC49" s="49">
        <v>1057</v>
      </c>
      <c r="GH49" s="14" t="s">
        <v>2867</v>
      </c>
      <c r="GI49" s="14">
        <v>72</v>
      </c>
      <c r="GJ49" s="104" t="s">
        <v>3153</v>
      </c>
      <c r="GN49" s="150" t="s">
        <v>3154</v>
      </c>
      <c r="GO49" s="152"/>
      <c r="GT49" s="170" t="s">
        <v>3155</v>
      </c>
      <c r="GU49" s="61">
        <v>60.6</v>
      </c>
      <c r="GV49" s="665" t="s">
        <v>3156</v>
      </c>
      <c r="GZ49" s="14" t="s">
        <v>3157</v>
      </c>
      <c r="HA49" s="178">
        <v>670.00099999999998</v>
      </c>
      <c r="HX49" s="212" t="s">
        <v>3158</v>
      </c>
      <c r="HY49" s="14">
        <f>389.7+107.1</f>
        <v>496.79999999999995</v>
      </c>
      <c r="ID49" s="183" t="s">
        <v>3159</v>
      </c>
      <c r="IE49" s="14">
        <v>195.81</v>
      </c>
      <c r="IH49" s="147" t="s">
        <v>2518</v>
      </c>
      <c r="II49" s="44">
        <f>SUM(IK27:IK36)</f>
        <v>428.43999999999994</v>
      </c>
      <c r="IJ49" s="165">
        <v>20</v>
      </c>
      <c r="IK49" s="150" t="s">
        <v>2424</v>
      </c>
      <c r="IP49" s="165">
        <v>20</v>
      </c>
      <c r="IQ49" s="239" t="s">
        <v>3160</v>
      </c>
      <c r="IV49" s="190"/>
      <c r="IW49" s="158"/>
      <c r="JB49" s="183"/>
      <c r="JC49" s="101"/>
      <c r="JH49" s="182"/>
      <c r="JI49" s="190"/>
      <c r="JN49" s="69" t="s">
        <v>3161</v>
      </c>
      <c r="JO49" s="101">
        <v>15.000999999999999</v>
      </c>
      <c r="JS49" s="266" t="s">
        <v>3162</v>
      </c>
      <c r="JT49" s="264" t="s">
        <v>3163</v>
      </c>
      <c r="JU49" s="276">
        <f>0.29*3</f>
        <v>0.86999999999999988</v>
      </c>
      <c r="JZ49" s="172" t="s">
        <v>2481</v>
      </c>
      <c r="KA49" s="197">
        <f>JW19+JY53+JY8-KC19</f>
        <v>280</v>
      </c>
      <c r="KL49" s="14" t="s">
        <v>3164</v>
      </c>
      <c r="KM49" s="14">
        <v>7.2</v>
      </c>
      <c r="KR49" s="14" t="s">
        <v>3165</v>
      </c>
      <c r="KS49" s="14">
        <v>19.649999999999999</v>
      </c>
      <c r="KV49" s="147" t="s">
        <v>2434</v>
      </c>
      <c r="KW49" s="44">
        <f>SUM(KY32:KY46)</f>
        <v>2538.3200000000002</v>
      </c>
      <c r="KX49" s="196">
        <v>1.9</v>
      </c>
      <c r="KY49" s="45"/>
      <c r="LD49" s="285" t="s">
        <v>3166</v>
      </c>
      <c r="LE49" s="243">
        <f>7.77+2.71</f>
        <v>10.48</v>
      </c>
      <c r="LJ49" s="65" t="s">
        <v>3167</v>
      </c>
      <c r="LK49" s="42">
        <v>28.72</v>
      </c>
      <c r="LP49" s="65" t="s">
        <v>3168</v>
      </c>
      <c r="LQ49" s="243">
        <v>5.5</v>
      </c>
      <c r="LV49" s="198">
        <v>20</v>
      </c>
      <c r="LW49" s="277" t="s">
        <v>3342</v>
      </c>
    </row>
    <row r="50" spans="41:337">
      <c r="AO50" s="14" t="s">
        <v>3169</v>
      </c>
      <c r="AP50" s="14">
        <v>810</v>
      </c>
      <c r="AU50" s="14" t="s">
        <v>2829</v>
      </c>
      <c r="AV50" s="14">
        <v>100</v>
      </c>
      <c r="DG50" s="122" t="s">
        <v>3170</v>
      </c>
      <c r="DH50" s="124"/>
      <c r="DI50" s="77" t="s">
        <v>2495</v>
      </c>
      <c r="DK50" s="61"/>
      <c r="DM50" s="43" t="s">
        <v>3171</v>
      </c>
      <c r="DN50" s="45">
        <v>700</v>
      </c>
      <c r="DO50" s="49"/>
      <c r="DP50" s="133">
        <v>15.35</v>
      </c>
      <c r="DQ50" s="61"/>
      <c r="DS50" s="43" t="s">
        <v>3172</v>
      </c>
      <c r="DT50" s="119">
        <v>0</v>
      </c>
      <c r="DU50" s="49"/>
      <c r="EL50" s="14" t="s">
        <v>2867</v>
      </c>
      <c r="EM50" s="14">
        <v>100</v>
      </c>
      <c r="EV50" s="17"/>
      <c r="EX50" s="14" t="s">
        <v>2867</v>
      </c>
      <c r="EY50" s="14">
        <v>30</v>
      </c>
      <c r="FL50" s="14" t="s">
        <v>2450</v>
      </c>
      <c r="FP50" s="170" t="s">
        <v>3173</v>
      </c>
      <c r="FQ50" s="61">
        <v>45.6</v>
      </c>
      <c r="GB50" s="14" t="s">
        <v>3174</v>
      </c>
      <c r="GC50" s="61"/>
      <c r="GN50" s="150" t="s">
        <v>3175</v>
      </c>
      <c r="GO50" s="152"/>
      <c r="GP50" s="14" t="s">
        <v>2687</v>
      </c>
      <c r="GT50" s="170" t="s">
        <v>3176</v>
      </c>
      <c r="GU50" s="61">
        <v>14.9</v>
      </c>
      <c r="GV50" s="665"/>
      <c r="GZ50" s="178" t="s">
        <v>3177</v>
      </c>
      <c r="HX50" s="211" t="s">
        <v>3178</v>
      </c>
      <c r="HY50" s="199">
        <v>14.4</v>
      </c>
      <c r="ID50" s="183" t="s">
        <v>3179</v>
      </c>
      <c r="IE50" s="14">
        <v>50</v>
      </c>
      <c r="IH50" s="150" t="s">
        <v>3180</v>
      </c>
      <c r="II50" s="165">
        <v>300</v>
      </c>
      <c r="IJ50" s="165">
        <v>20</v>
      </c>
      <c r="IK50" s="150" t="s">
        <v>3181</v>
      </c>
      <c r="IP50" s="69" t="s">
        <v>3182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3183</v>
      </c>
      <c r="JO50" s="149">
        <v>7.67</v>
      </c>
      <c r="JS50" s="267"/>
      <c r="JT50" s="268" t="s">
        <v>3184</v>
      </c>
      <c r="JU50" s="275">
        <v>21.27</v>
      </c>
      <c r="JZ50" s="198">
        <v>34</v>
      </c>
      <c r="KA50" s="277" t="s">
        <v>3185</v>
      </c>
      <c r="KL50" s="14" t="s">
        <v>3186</v>
      </c>
      <c r="KM50" s="14">
        <v>32.4</v>
      </c>
      <c r="KR50" s="43" t="s">
        <v>3187</v>
      </c>
      <c r="KS50" s="61">
        <v>25.8</v>
      </c>
      <c r="KV50" s="147" t="s">
        <v>2578</v>
      </c>
      <c r="KW50" s="258">
        <f>SUM(KY39:KY46)</f>
        <v>355.47</v>
      </c>
      <c r="KX50" s="172" t="s">
        <v>2481</v>
      </c>
      <c r="KY50" s="197">
        <f>KU26+KW52-LA25</f>
        <v>210</v>
      </c>
      <c r="LD50" s="14" t="s">
        <v>3188</v>
      </c>
      <c r="LE50" s="14">
        <v>6.3</v>
      </c>
      <c r="LJ50" s="65" t="s">
        <v>3189</v>
      </c>
      <c r="LK50" s="42">
        <v>39.75</v>
      </c>
      <c r="LU50" s="56"/>
      <c r="LV50" s="198">
        <v>7</v>
      </c>
      <c r="LW50" s="277" t="s">
        <v>3343</v>
      </c>
    </row>
    <row r="51" spans="41:337">
      <c r="AO51" s="14" t="s">
        <v>3190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3191</v>
      </c>
      <c r="DO51" s="49"/>
      <c r="DP51" s="133">
        <v>12.7</v>
      </c>
      <c r="DQ51" s="61"/>
      <c r="DS51" s="43" t="s">
        <v>2791</v>
      </c>
      <c r="DT51" s="45">
        <v>590</v>
      </c>
      <c r="FL51" s="14" t="s">
        <v>2576</v>
      </c>
      <c r="FP51" s="69" t="s">
        <v>3192</v>
      </c>
      <c r="FQ51" s="69"/>
      <c r="GB51" s="14" t="s">
        <v>2867</v>
      </c>
      <c r="GC51" s="14">
        <v>100</v>
      </c>
      <c r="GN51" s="170" t="s">
        <v>3193</v>
      </c>
      <c r="GO51" s="61">
        <f>360+18</f>
        <v>378</v>
      </c>
      <c r="GP51" s="104" t="s">
        <v>3153</v>
      </c>
      <c r="GT51" s="170" t="s">
        <v>3194</v>
      </c>
      <c r="GU51" s="61">
        <v>55.29</v>
      </c>
      <c r="GV51" s="665"/>
      <c r="GZ51" s="14" t="s">
        <v>3061</v>
      </c>
      <c r="HA51" s="61">
        <v>50.000999999999998</v>
      </c>
      <c r="HX51" s="212" t="s">
        <v>3195</v>
      </c>
      <c r="HY51" s="14">
        <v>17.88</v>
      </c>
      <c r="ID51" s="183" t="s">
        <v>3196</v>
      </c>
      <c r="IE51" s="14">
        <v>26.8</v>
      </c>
      <c r="IJ51" s="198">
        <v>10</v>
      </c>
      <c r="IK51" s="21" t="s">
        <v>2432</v>
      </c>
      <c r="IP51" s="69" t="s">
        <v>3093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3197</v>
      </c>
      <c r="JO51" s="149">
        <v>3</v>
      </c>
      <c r="JT51" s="269" t="s">
        <v>3198</v>
      </c>
      <c r="JU51" s="278"/>
      <c r="JZ51" s="198">
        <v>25</v>
      </c>
      <c r="KA51" s="239" t="s">
        <v>2622</v>
      </c>
      <c r="KL51" s="285" t="s">
        <v>3199</v>
      </c>
      <c r="KM51" s="297">
        <v>1746</v>
      </c>
      <c r="KR51" s="285" t="s">
        <v>3200</v>
      </c>
      <c r="KS51" s="243">
        <v>19.07</v>
      </c>
      <c r="KX51" s="198">
        <v>20</v>
      </c>
      <c r="KY51" s="277" t="s">
        <v>3201</v>
      </c>
      <c r="LD51" s="285" t="s">
        <v>3202</v>
      </c>
      <c r="LE51" s="243">
        <v>6.8</v>
      </c>
      <c r="LJ51" s="285" t="s">
        <v>3203</v>
      </c>
      <c r="LK51" s="243">
        <v>810</v>
      </c>
      <c r="LQ51" s="240"/>
      <c r="LU51" s="56"/>
      <c r="LV51" s="198">
        <v>20</v>
      </c>
      <c r="LW51" s="277" t="s">
        <v>3350</v>
      </c>
    </row>
    <row r="52" spans="41:337">
      <c r="AO52" s="14" t="s">
        <v>3204</v>
      </c>
      <c r="AP52" s="14">
        <v>12.9</v>
      </c>
      <c r="DG52" s="61" t="s">
        <v>3205</v>
      </c>
      <c r="DH52" s="57">
        <v>120</v>
      </c>
      <c r="DI52" s="69" t="s">
        <v>2576</v>
      </c>
      <c r="DK52" s="61"/>
      <c r="DM52" s="43" t="s">
        <v>2867</v>
      </c>
      <c r="DN52" s="45">
        <v>50</v>
      </c>
      <c r="DO52" s="49"/>
      <c r="DP52" s="133">
        <v>11.6</v>
      </c>
      <c r="DQ52" s="61"/>
      <c r="DS52" s="43" t="s">
        <v>3206</v>
      </c>
      <c r="FF52" s="104"/>
      <c r="FP52" s="170" t="s">
        <v>3207</v>
      </c>
      <c r="FQ52" s="61">
        <v>29.95</v>
      </c>
      <c r="GN52" s="170" t="s">
        <v>3208</v>
      </c>
      <c r="GO52" s="14">
        <v>38.9</v>
      </c>
      <c r="GU52" s="61"/>
      <c r="GV52" s="665"/>
      <c r="HF52" s="49"/>
      <c r="HX52" s="212" t="s">
        <v>3209</v>
      </c>
      <c r="HY52" s="14">
        <v>23.86</v>
      </c>
      <c r="IJ52" s="69" t="s">
        <v>3210</v>
      </c>
      <c r="IK52" s="97">
        <f>161+14</f>
        <v>175</v>
      </c>
      <c r="IP52" s="69" t="s">
        <v>3211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2831</v>
      </c>
      <c r="KV52" s="152" t="s">
        <v>3212</v>
      </c>
      <c r="KW52" s="284">
        <v>200</v>
      </c>
      <c r="KX52" s="198">
        <v>10</v>
      </c>
      <c r="KY52" s="239" t="s">
        <v>3213</v>
      </c>
      <c r="LD52" s="14" t="s">
        <v>3214</v>
      </c>
      <c r="LE52" s="14">
        <f>53.6+6.5</f>
        <v>60.1</v>
      </c>
      <c r="LJ52" s="14" t="s">
        <v>3215</v>
      </c>
      <c r="LK52" s="42">
        <v>680</v>
      </c>
      <c r="LQ52" s="61"/>
      <c r="LV52" s="198">
        <v>50</v>
      </c>
      <c r="LW52" s="277" t="s">
        <v>3351</v>
      </c>
    </row>
    <row r="53" spans="41:337">
      <c r="DA53" s="61"/>
      <c r="DB53" s="61"/>
      <c r="DC53" s="49"/>
      <c r="DD53" s="56"/>
      <c r="DG53" s="61" t="s">
        <v>3216</v>
      </c>
      <c r="DH53" s="57">
        <v>143.96</v>
      </c>
      <c r="DK53" s="61"/>
      <c r="DO53" s="49"/>
      <c r="DP53" s="133">
        <v>2</v>
      </c>
      <c r="DQ53" s="61"/>
      <c r="DS53" s="43" t="s">
        <v>2867</v>
      </c>
      <c r="DT53" s="45">
        <v>80</v>
      </c>
      <c r="FP53" s="170" t="s">
        <v>3217</v>
      </c>
      <c r="FQ53" s="61">
        <v>120</v>
      </c>
      <c r="GN53" s="170" t="s">
        <v>3218</v>
      </c>
      <c r="GO53" s="61">
        <v>33</v>
      </c>
      <c r="GT53" s="14" t="s">
        <v>3157</v>
      </c>
      <c r="GU53" s="179">
        <v>900</v>
      </c>
      <c r="HB53" s="49"/>
      <c r="HC53" s="49"/>
      <c r="HD53" s="49"/>
      <c r="HE53" s="49"/>
      <c r="HF53" s="49"/>
      <c r="HX53" s="212" t="s">
        <v>3219</v>
      </c>
      <c r="HY53" s="14">
        <v>19.89</v>
      </c>
      <c r="ID53" s="210" t="s">
        <v>3062</v>
      </c>
      <c r="IE53" s="210"/>
      <c r="II53" s="228"/>
      <c r="IJ53" s="69" t="s">
        <v>3220</v>
      </c>
      <c r="IK53" s="97">
        <v>87.8</v>
      </c>
      <c r="IP53" s="182" t="s">
        <v>3221</v>
      </c>
      <c r="IQ53" s="101">
        <v>84.9</v>
      </c>
      <c r="IV53" s="183"/>
      <c r="JB53" s="190"/>
      <c r="JC53" s="149"/>
      <c r="JH53" s="183"/>
      <c r="JI53" s="190"/>
      <c r="JX53" s="152" t="s">
        <v>3222</v>
      </c>
      <c r="JY53" s="165">
        <v>200</v>
      </c>
      <c r="JZ53" s="279">
        <v>20</v>
      </c>
      <c r="KA53" s="280" t="s">
        <v>3223</v>
      </c>
      <c r="KL53" s="285"/>
      <c r="KM53" s="243"/>
      <c r="KX53" s="198">
        <v>10</v>
      </c>
      <c r="KY53" s="239" t="s">
        <v>2424</v>
      </c>
      <c r="LD53" s="14" t="s">
        <v>3224</v>
      </c>
      <c r="LE53" s="14">
        <v>70</v>
      </c>
      <c r="LJ53" s="14" t="s">
        <v>3225</v>
      </c>
      <c r="LK53" s="243">
        <v>262</v>
      </c>
      <c r="LV53" s="198">
        <v>20</v>
      </c>
      <c r="LW53" s="277" t="s">
        <v>3360</v>
      </c>
    </row>
    <row r="54" spans="41:337">
      <c r="DA54" s="61"/>
      <c r="DB54" s="61"/>
      <c r="DC54" s="49"/>
      <c r="DD54" s="56"/>
      <c r="DG54" s="43" t="s">
        <v>3226</v>
      </c>
      <c r="DH54" s="45">
        <v>51</v>
      </c>
      <c r="DK54" s="61"/>
      <c r="DO54" s="49"/>
      <c r="DP54" s="133">
        <v>28.8</v>
      </c>
      <c r="DQ54" s="61"/>
      <c r="FP54" s="170" t="s">
        <v>3227</v>
      </c>
      <c r="FQ54" s="61">
        <v>108.12</v>
      </c>
      <c r="GO54" s="61"/>
      <c r="GT54" s="179" t="s">
        <v>3228</v>
      </c>
      <c r="HB54" s="49"/>
      <c r="HC54" s="49"/>
      <c r="HD54" s="186"/>
      <c r="HE54" s="49"/>
      <c r="HF54" s="49"/>
      <c r="HX54" s="212" t="s">
        <v>3229</v>
      </c>
      <c r="HY54" s="14">
        <f>30.9+469.82+100.14+34.91</f>
        <v>635.77</v>
      </c>
      <c r="ID54" s="208" t="s">
        <v>3230</v>
      </c>
      <c r="IE54" s="14">
        <f>30+139.5</f>
        <v>169.5</v>
      </c>
      <c r="II54" s="228"/>
      <c r="IJ54" s="69" t="s">
        <v>3231</v>
      </c>
      <c r="IK54" s="97">
        <f>40.6+11.5</f>
        <v>52.1</v>
      </c>
      <c r="IP54" s="183" t="s">
        <v>3232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3233</v>
      </c>
      <c r="KS54" s="61"/>
      <c r="KW54" s="49"/>
      <c r="KX54" s="198">
        <v>40</v>
      </c>
      <c r="KY54" s="239" t="s">
        <v>3234</v>
      </c>
      <c r="LE54" s="61"/>
      <c r="LJ54" s="14" t="s">
        <v>3235</v>
      </c>
      <c r="LK54" s="14">
        <v>7.9</v>
      </c>
      <c r="LV54" s="198">
        <v>10</v>
      </c>
      <c r="LW54" s="277" t="s">
        <v>3359</v>
      </c>
    </row>
    <row r="55" spans="41:337">
      <c r="AO55" s="14" t="s">
        <v>3236</v>
      </c>
      <c r="AP55" s="14">
        <v>600</v>
      </c>
      <c r="DA55" s="61"/>
      <c r="DB55" s="61"/>
      <c r="DC55" s="49"/>
      <c r="DD55" s="56"/>
      <c r="DE55" s="61"/>
      <c r="DG55" s="61" t="s">
        <v>3237</v>
      </c>
      <c r="DH55" s="45">
        <f>500+356</f>
        <v>856</v>
      </c>
      <c r="DI55" s="104" t="s">
        <v>3153</v>
      </c>
      <c r="DK55" s="61"/>
      <c r="DO55" s="49"/>
      <c r="DP55" s="133">
        <v>25.5</v>
      </c>
      <c r="DQ55" s="61"/>
      <c r="FL55" s="104"/>
      <c r="GN55" s="14" t="s">
        <v>2791</v>
      </c>
      <c r="GO55" s="14">
        <v>800</v>
      </c>
      <c r="GT55" s="14" t="s">
        <v>3061</v>
      </c>
      <c r="GU55" s="61">
        <v>44</v>
      </c>
      <c r="HB55" s="49"/>
      <c r="HC55" s="49"/>
      <c r="HD55" s="186"/>
      <c r="HE55" s="49"/>
      <c r="HF55" s="49"/>
      <c r="HX55" s="14" t="s">
        <v>3238</v>
      </c>
      <c r="HY55" s="14">
        <v>7329.5</v>
      </c>
      <c r="ID55" s="208" t="s">
        <v>3239</v>
      </c>
      <c r="IE55" s="14">
        <v>15.32</v>
      </c>
      <c r="II55" s="230"/>
      <c r="IJ55" s="69" t="s">
        <v>3240</v>
      </c>
      <c r="IK55" s="97">
        <v>10.49</v>
      </c>
      <c r="IP55" s="183" t="s">
        <v>3241</v>
      </c>
      <c r="IQ55" s="101"/>
      <c r="IV55" s="183"/>
      <c r="JB55" s="182"/>
      <c r="JC55" s="190"/>
      <c r="JH55" s="183"/>
      <c r="JZ55" s="198">
        <v>80</v>
      </c>
      <c r="KA55" s="239" t="s">
        <v>3242</v>
      </c>
      <c r="KW55" s="49"/>
      <c r="KX55" s="198">
        <v>20</v>
      </c>
      <c r="KY55" s="239" t="s">
        <v>3243</v>
      </c>
      <c r="LJ55" s="14" t="s">
        <v>3244</v>
      </c>
      <c r="LK55" s="61">
        <v>49</v>
      </c>
      <c r="LV55" s="65" t="s">
        <v>3356</v>
      </c>
      <c r="LW55" s="243">
        <v>3</v>
      </c>
    </row>
    <row r="56" spans="41:337">
      <c r="AO56" s="14" t="s">
        <v>3245</v>
      </c>
      <c r="AP56" s="14">
        <v>300</v>
      </c>
      <c r="DA56" s="61"/>
      <c r="DB56" s="61"/>
      <c r="DC56" s="125"/>
      <c r="DD56" s="126"/>
      <c r="DE56" s="61"/>
      <c r="DG56" s="61" t="s">
        <v>3246</v>
      </c>
      <c r="DH56" s="45">
        <v>30</v>
      </c>
      <c r="DK56" s="61"/>
      <c r="DO56" s="49" t="s">
        <v>3247</v>
      </c>
      <c r="DP56" s="133">
        <v>-1122.52</v>
      </c>
      <c r="DQ56" s="61"/>
      <c r="FP56" s="14" t="s">
        <v>2791</v>
      </c>
      <c r="FQ56" s="49">
        <v>753.05</v>
      </c>
      <c r="GN56" s="14" t="s">
        <v>3248</v>
      </c>
      <c r="GO56" s="49"/>
      <c r="HB56" s="49"/>
      <c r="HC56" s="49"/>
      <c r="HD56" s="186"/>
      <c r="HE56" s="49"/>
      <c r="HF56" s="49"/>
      <c r="HX56" s="183"/>
      <c r="ID56" s="211" t="s">
        <v>3249</v>
      </c>
      <c r="IE56" s="160">
        <v>67.61</v>
      </c>
      <c r="IJ56" s="69" t="s">
        <v>3229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3250</v>
      </c>
      <c r="KM56" s="61"/>
      <c r="KX56" s="198">
        <v>10</v>
      </c>
      <c r="KY56" s="239" t="s">
        <v>3251</v>
      </c>
      <c r="LV56" s="65"/>
    </row>
    <row r="57" spans="41:337">
      <c r="DA57" s="61"/>
      <c r="DB57" s="61"/>
      <c r="DC57" s="49"/>
      <c r="DD57" s="56"/>
      <c r="DE57" s="61"/>
      <c r="DG57" s="43" t="s">
        <v>3252</v>
      </c>
      <c r="DH57" s="45">
        <v>30</v>
      </c>
      <c r="DK57" s="61"/>
      <c r="DO57" s="49" t="s">
        <v>3253</v>
      </c>
      <c r="DP57" s="133">
        <f>SUM(DP44:DP56)</f>
        <v>1647.79</v>
      </c>
      <c r="DQ57" s="61"/>
      <c r="FP57" s="14" t="s">
        <v>3254</v>
      </c>
      <c r="FQ57" s="61"/>
      <c r="GN57" s="14" t="s">
        <v>2867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3255</v>
      </c>
      <c r="IE57" s="213">
        <v>-25.98</v>
      </c>
      <c r="IJ57" s="210" t="s">
        <v>3256</v>
      </c>
      <c r="IK57" s="210"/>
      <c r="IP57" s="183" t="s">
        <v>3257</v>
      </c>
      <c r="IQ57" s="240">
        <v>22.2</v>
      </c>
      <c r="JB57" s="183"/>
      <c r="JC57" s="241"/>
      <c r="JZ57" s="198">
        <v>50</v>
      </c>
      <c r="KA57" s="239" t="s">
        <v>2424</v>
      </c>
      <c r="KX57" s="198">
        <v>10</v>
      </c>
      <c r="KY57" s="239" t="s">
        <v>2769</v>
      </c>
    </row>
    <row r="58" spans="41:337">
      <c r="DA58" s="61"/>
      <c r="DB58" s="61"/>
      <c r="DC58" s="49"/>
      <c r="DD58" s="56"/>
      <c r="DE58" s="61"/>
      <c r="DG58" s="43" t="s">
        <v>3258</v>
      </c>
      <c r="DH58" s="45">
        <v>58.2</v>
      </c>
      <c r="DK58" s="61"/>
      <c r="DQ58" s="61"/>
      <c r="FP58" s="14" t="s">
        <v>2867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3259</v>
      </c>
      <c r="IE58" s="14">
        <v>8.8000000000000007</v>
      </c>
      <c r="IJ58" s="183" t="s">
        <v>3260</v>
      </c>
      <c r="IK58" s="14">
        <v>150</v>
      </c>
      <c r="IP58" s="190" t="s">
        <v>3261</v>
      </c>
      <c r="IQ58" s="149">
        <v>22.6</v>
      </c>
      <c r="JB58" s="183"/>
      <c r="JC58" s="190"/>
      <c r="JZ58" s="14" t="s">
        <v>3262</v>
      </c>
      <c r="KA58" s="14">
        <v>31.001000000000001</v>
      </c>
      <c r="KX58" s="198">
        <v>8</v>
      </c>
      <c r="KY58" s="239" t="s">
        <v>3263</v>
      </c>
      <c r="LV58" s="65"/>
      <c r="LW58" s="61"/>
    </row>
    <row r="59" spans="41:337">
      <c r="DA59" s="61"/>
      <c r="DB59" s="61"/>
      <c r="DC59" s="49"/>
      <c r="DD59" s="126"/>
      <c r="DE59" s="61"/>
      <c r="DG59" s="43" t="s">
        <v>3264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3265</v>
      </c>
      <c r="IE59" s="14">
        <f>2000+1311.79</f>
        <v>3311.79</v>
      </c>
      <c r="IJ59" s="183" t="s">
        <v>3259</v>
      </c>
      <c r="IK59" s="14">
        <v>5.4</v>
      </c>
      <c r="IP59" s="190"/>
      <c r="IQ59" s="190"/>
      <c r="JB59" s="183"/>
      <c r="JC59" s="190"/>
      <c r="JW59" s="20"/>
      <c r="JZ59" s="14" t="s">
        <v>3266</v>
      </c>
      <c r="KA59" s="180">
        <f>30/5.217</f>
        <v>5.7504312823461765</v>
      </c>
      <c r="KC59" s="20"/>
      <c r="KX59" s="198">
        <v>10</v>
      </c>
      <c r="KY59" s="239" t="s">
        <v>3267</v>
      </c>
      <c r="LG59" s="20"/>
      <c r="LV59" s="65"/>
      <c r="LW59" s="57"/>
    </row>
    <row r="60" spans="41:337">
      <c r="DA60" s="61"/>
      <c r="DB60" s="61"/>
      <c r="DC60" s="49"/>
      <c r="DD60" s="56"/>
      <c r="DE60" s="61"/>
      <c r="DG60" s="43" t="s">
        <v>3268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3269</v>
      </c>
      <c r="KA60" s="14">
        <v>21.81</v>
      </c>
      <c r="KX60" s="198">
        <v>40</v>
      </c>
      <c r="KY60" s="239" t="s">
        <v>3270</v>
      </c>
      <c r="LV60" s="65"/>
      <c r="LW60" s="243"/>
    </row>
    <row r="61" spans="41:337">
      <c r="DA61" s="61"/>
      <c r="DB61" s="61"/>
      <c r="DC61" s="49"/>
      <c r="DD61" s="56"/>
      <c r="DE61" s="61"/>
      <c r="DG61" s="43" t="s">
        <v>3271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3272</v>
      </c>
      <c r="KA61" s="14">
        <v>11.25</v>
      </c>
      <c r="KX61" s="285" t="s">
        <v>3273</v>
      </c>
      <c r="KY61" s="243">
        <v>14.4</v>
      </c>
      <c r="LA61" s="20"/>
    </row>
    <row r="62" spans="41:337">
      <c r="DE62" s="61"/>
      <c r="DG62" s="43" t="s">
        <v>3274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2887</v>
      </c>
      <c r="KA62" s="14">
        <v>117.5</v>
      </c>
      <c r="KU62" s="20"/>
      <c r="LM62" s="20"/>
      <c r="LS62" s="20"/>
      <c r="LW62" s="240"/>
    </row>
    <row r="63" spans="41:337">
      <c r="DE63" s="61"/>
      <c r="DG63" s="43" t="s">
        <v>3275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3276</v>
      </c>
      <c r="KA63" s="14">
        <v>36.200000000000003</v>
      </c>
      <c r="KX63" s="285"/>
      <c r="KY63" s="243"/>
      <c r="LW63" s="61"/>
      <c r="LY63" s="20"/>
    </row>
    <row r="64" spans="41:337">
      <c r="DG64" s="43" t="s">
        <v>2780</v>
      </c>
      <c r="DH64" s="45">
        <v>1500</v>
      </c>
      <c r="ID64" s="183"/>
      <c r="IP64" s="183"/>
      <c r="IQ64" s="190"/>
      <c r="IY64" s="20"/>
      <c r="JE64" s="20"/>
      <c r="JZ64" s="49" t="s">
        <v>3277</v>
      </c>
      <c r="KA64" s="14">
        <v>9.8000000000000007</v>
      </c>
    </row>
    <row r="65" spans="205:311">
      <c r="IP65" s="183"/>
      <c r="JK65" s="20"/>
      <c r="JQ65" s="20"/>
      <c r="JZ65" s="14" t="s">
        <v>3278</v>
      </c>
      <c r="KA65" s="14">
        <v>9.77</v>
      </c>
    </row>
    <row r="66" spans="205:311">
      <c r="IJ66" s="182"/>
      <c r="IK66" s="160"/>
      <c r="IP66" s="183"/>
      <c r="JZ66" s="14" t="s">
        <v>3279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3280</v>
      </c>
      <c r="KA67" s="14">
        <v>6.62</v>
      </c>
      <c r="KI67" s="20"/>
      <c r="KO67" s="20"/>
    </row>
    <row r="68" spans="205:311">
      <c r="IJ68" s="183"/>
      <c r="IP68" s="183"/>
      <c r="JY68" s="14" t="s">
        <v>2926</v>
      </c>
      <c r="JZ68" s="253" t="s">
        <v>3281</v>
      </c>
      <c r="KA68" s="14">
        <v>69</v>
      </c>
    </row>
    <row r="69" spans="205:311">
      <c r="HO69" s="20"/>
      <c r="IG69" s="20"/>
      <c r="IJ69" s="183"/>
      <c r="JZ69" s="253" t="s">
        <v>3282</v>
      </c>
      <c r="KA69" s="14">
        <v>8</v>
      </c>
    </row>
    <row r="70" spans="205:311">
      <c r="IJ70" s="183"/>
      <c r="JZ70" s="313" t="s">
        <v>3283</v>
      </c>
      <c r="KA70" s="61">
        <v>29.7</v>
      </c>
    </row>
    <row r="71" spans="205:311">
      <c r="IJ71" s="183"/>
      <c r="JZ71" s="253" t="s">
        <v>3284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8"/>
  <sheetViews>
    <sheetView workbookViewId="0">
      <selection activeCell="C16" sqref="C16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3329</v>
      </c>
    </row>
    <row r="2" spans="2:3">
      <c r="B2" s="37" t="s">
        <v>3357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6" customFormat="1">
      <c r="B14" s="37">
        <v>12000</v>
      </c>
      <c r="C14" s="38">
        <v>45552</v>
      </c>
    </row>
    <row r="15" spans="2:3" s="610" customFormat="1">
      <c r="B15" s="37">
        <v>14000</v>
      </c>
      <c r="C15" s="38" t="s">
        <v>3374</v>
      </c>
    </row>
    <row r="16" spans="2:3">
      <c r="B16" s="39"/>
      <c r="C16" s="40"/>
    </row>
    <row r="17" spans="2:3">
      <c r="B17" s="41">
        <f>SUM(B2:B16)</f>
        <v>141000</v>
      </c>
      <c r="C17" t="s">
        <v>1188</v>
      </c>
    </row>
    <row r="18" spans="2:3">
      <c r="B18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2024-03-27T16:34:22Z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