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2E0C5E6-3630-4F7D-8343-8A0B5B94B073}" xr6:coauthVersionLast="47" xr6:coauthVersionMax="47" xr10:uidLastSave="{00000000-0000-0000-0000-000000000000}"/>
  <bookViews>
    <workbookView xWindow="150" yWindow="-21600" windowWidth="17310" windowHeight="21150" xr2:uid="{D4D1A54F-01AE-4300-8644-B16194D9355C}"/>
  </bookViews>
  <sheets>
    <sheet name="FWD300" sheetId="9" r:id="rId1"/>
    <sheet name="overlap ptf" sheetId="4" state="hidden" r:id="rId2"/>
    <sheet name="FLI2" sheetId="1" r:id="rId3"/>
    <sheet name="FLI2PF 317" sheetId="5" state="hidden" r:id="rId4"/>
    <sheet name="FWD41" sheetId="10" state="hidden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9" l="1"/>
  <c r="E28" i="10"/>
  <c r="D8" i="10"/>
  <c r="J7" i="10"/>
  <c r="I7" i="10"/>
  <c r="D4" i="10"/>
  <c r="D3" i="10"/>
  <c r="D28" i="10" s="1"/>
  <c r="D9" i="10" l="1"/>
  <c r="G6" i="10"/>
  <c r="F8" i="9"/>
  <c r="F3" i="9"/>
  <c r="M9" i="9"/>
  <c r="K9" i="9"/>
  <c r="F4" i="9"/>
  <c r="D13" i="10" l="1"/>
  <c r="D11" i="10"/>
  <c r="K5" i="10"/>
  <c r="D26" i="10"/>
  <c r="D24" i="10"/>
  <c r="D22" i="10"/>
  <c r="D20" i="10"/>
  <c r="D18" i="10"/>
  <c r="D16" i="10"/>
  <c r="D14" i="10"/>
  <c r="D12" i="10"/>
  <c r="K6" i="10"/>
  <c r="D27" i="10"/>
  <c r="D25" i="10"/>
  <c r="D23" i="10"/>
  <c r="D21" i="10"/>
  <c r="D19" i="10"/>
  <c r="D17" i="10"/>
  <c r="D15" i="10"/>
  <c r="B15" i="10" s="1"/>
  <c r="K7" i="10"/>
  <c r="F28" i="9"/>
  <c r="I7" i="9"/>
  <c r="F16" i="9" s="1"/>
  <c r="K8" i="10" l="1"/>
  <c r="D6" i="10" s="1"/>
  <c r="F12" i="9"/>
  <c r="F20" i="9"/>
  <c r="F24" i="9"/>
  <c r="F11" i="9"/>
  <c r="F15" i="9"/>
  <c r="F27" i="9"/>
  <c r="F13" i="9"/>
  <c r="F17" i="9"/>
  <c r="F21" i="9"/>
  <c r="F25" i="9"/>
  <c r="F19" i="9"/>
  <c r="F23" i="9"/>
  <c r="F14" i="9"/>
  <c r="F18" i="9"/>
  <c r="F22" i="9"/>
  <c r="F26" i="9"/>
  <c r="L9" i="9"/>
  <c r="L7" i="9"/>
  <c r="L8" i="9"/>
  <c r="H5" i="5"/>
  <c r="A16" i="10" l="1"/>
  <c r="A24" i="10"/>
  <c r="A11" i="10"/>
  <c r="A17" i="10"/>
  <c r="A25" i="10"/>
  <c r="A12" i="10"/>
  <c r="A18" i="10"/>
  <c r="A26" i="10"/>
  <c r="A19" i="10"/>
  <c r="A27" i="10"/>
  <c r="A13" i="10"/>
  <c r="A14" i="10"/>
  <c r="A20" i="10"/>
  <c r="A28" i="10"/>
  <c r="A15" i="10"/>
  <c r="A21" i="10"/>
  <c r="A22" i="10"/>
  <c r="A9" i="10"/>
  <c r="B9" i="10" s="1"/>
  <c r="A23" i="10"/>
  <c r="B28" i="10"/>
  <c r="L10" i="9"/>
  <c r="F6" i="9" s="1"/>
  <c r="J3" i="5"/>
  <c r="J5" i="5"/>
  <c r="B8" i="9" l="1"/>
  <c r="C8" i="9" s="1"/>
  <c r="C28" i="9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D17" i="5"/>
  <c r="D21" i="5"/>
  <c r="D23" i="5"/>
  <c r="D26" i="5"/>
  <c r="D18" i="5"/>
  <c r="D20" i="5"/>
  <c r="D22" i="5"/>
  <c r="D12" i="5"/>
  <c r="D13" i="5"/>
  <c r="D15" i="5"/>
  <c r="D19" i="5"/>
  <c r="D27" i="5"/>
  <c r="B14" i="5"/>
  <c r="B12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<sst xmlns="http://schemas.openxmlformats.org/spreadsheetml/2006/main" count="108" uniqueCount="85">
  <si>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</si>
  <si>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</si>
  <si>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</si>
  <si>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</si>
  <si>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</si>
  <si>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</si>
  <si>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</si>
  <si>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</si>
  <si>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</si>
  <si>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</si>
  <si>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</si>
  <si>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</si>
  <si>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</si>
  <si>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</si>
  <si>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</si>
  <si>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</si>
  <si>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</si>
  <si>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</si>
  <si>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</si>
  <si>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</si>
  <si>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</si>
  <si>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</si>
  <si>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</si>
  <si>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</si>
  <si>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</si>
  <si>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</si>
  <si>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</si>
  <si>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</si>
  <si>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</si>
  <si>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</si>
  <si>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</si>
  <si>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</si>
  <si>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</si>
  <si>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</si>
  <si>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</si>
  <si>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</si>
  <si>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</si>
  <si>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</si>
  <si>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</si>
  <si>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</si>
  <si>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</si>
  <si>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</si>
  <si>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</si>
  <si>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</si>
  <si>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</si>
  <si>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</si>
  <si>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</si>
  <si>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36M int cost</t>
  </si>
  <si>
    <t>total prem - FWD</t>
  </si>
  <si>
    <t>FWD DYOC</t>
  </si>
  <si>
    <t>FWD xirr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</si>
  <si>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</si>
  <si>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</si>
  <si>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</si>
  <si>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</si>
  <si>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</si>
  <si>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</si>
  <si>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</si>
  <si>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</si>
  <si>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</si>
  <si>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</si>
  <si>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</si>
  <si>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</si>
  <si>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</si>
  <si>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</si>
  <si>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</si>
  <si>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</si>
  <si>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</si>
  <si>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&lt; COF+0.4% spread</t>
  </si>
  <si>
    <t>&lt; actually spread out over 12M after</t>
  </si>
  <si>
    <t>&lt;- 3.38% for first 24 payout years</t>
  </si>
  <si>
    <t>surrender FWD to wipe out loan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</si>
  <si>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</si>
  <si>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</si>
  <si>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</si>
  <si>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</si>
  <si>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</si>
  <si>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</si>
  <si>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</si>
  <si>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</si>
  <si>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Based on this convention, only the initial down payment is included. All subsequent cash flows are treated as other things.</t>
  </si>
  <si>
    <t>&lt;- 3.38% for first 24 annual payouts</t>
  </si>
  <si>
    <t>net outlay 
assum`LIR=3%</t>
  </si>
  <si>
    <t>DYOC is imprecise. The CCCost can be computed multiple ways; I used the simplest convention.</t>
  </si>
  <si>
    <t>&lt; 1M COF + 45 bps over 14M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</si>
</sst>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0" fontId="0" fillId="0" borderId="6" xfId="0" applyNumberFormat="1" applyBorder="1"/>
    <xf numFmtId="1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5" xfId="0" applyBorder="1"/>
    <xf numFmtId="164" fontId="0" fillId="0" borderId="6" xfId="0" applyNumberFormat="1" applyBorder="1" applyAlignment="1">
      <alignment horizontal="center"/>
    </xf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tabSelected="1" workbookViewId="0">
      <selection activeCell="I13" sqref="I13"/>
    </sheetView>
  </sheetViews>
  <sheetFormatPr defaultRowHeight="15" x14ac:dyDescent="0.25"/>
  <cols>
    <col min="1" max="1" width="1" style="55" customWidth="1"/>
    <col min="2" max="2" width="13.42578125" bestFit="1" customWidth="1"/>
    <col min="3" max="3" width="6.28515625" bestFit="1" customWidth="1"/>
    <col min="4" max="4" width="2" style="55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2" max="12" width="7.5703125" style="18" bestFit="1" customWidth="1"/>
    <col min="13" max="13" width="7.140625" bestFit="1" customWidth="1"/>
  </cols>
  <sheetData>
    <row r="2" spans="1:14" x14ac:dyDescent="0.25">
      <c r="E2" s="13"/>
      <c r="F2" s="10" t="s">
        <v>2</v>
      </c>
      <c r="H2" s="10" t="s">
        <v>0</v>
      </c>
      <c r="I2" s="49">
        <v>300000</v>
      </c>
    </row>
    <row r="3" spans="1:14" x14ac:dyDescent="0.25">
      <c r="B3" s="5"/>
      <c r="C3" s="2"/>
      <c r="D3" s="2"/>
      <c r="E3" s="11">
        <v>45597</v>
      </c>
      <c r="F3" s="12">
        <f>-24%*I2</f>
        <v>-72000</v>
      </c>
      <c r="G3" t="s">
        <v>73</v>
      </c>
      <c r="H3" s="10" t="s">
        <v>13</v>
      </c>
      <c r="I3" s="53">
        <v>1.8700000000000001E-2</v>
      </c>
    </row>
    <row r="4" spans="1:14" x14ac:dyDescent="0.25">
      <c r="B4" s="5"/>
      <c r="C4" s="2"/>
      <c r="D4" s="2"/>
      <c r="E4" s="11">
        <v>45689</v>
      </c>
      <c r="F4" s="12">
        <f>I3*I2</f>
        <v>5610</v>
      </c>
      <c r="G4" t="s">
        <v>45</v>
      </c>
      <c r="H4" s="40" t="s">
        <v>60</v>
      </c>
      <c r="I4" s="52">
        <v>3.3799999999999997E-2</v>
      </c>
      <c r="J4" t="s">
        <v>81</v>
      </c>
    </row>
    <row r="5" spans="1:14" x14ac:dyDescent="0.25">
      <c r="B5" s="5"/>
      <c r="C5" s="2"/>
      <c r="D5" s="2"/>
      <c r="E5" s="60"/>
      <c r="F5" s="12"/>
      <c r="G5" s="63" t="s">
        <v>75</v>
      </c>
      <c r="H5" s="15"/>
      <c r="I5" s="15"/>
    </row>
    <row r="6" spans="1:14" x14ac:dyDescent="0.25">
      <c r="B6" s="64" t="s">
        <v>82</v>
      </c>
      <c r="C6" s="66" t="s">
        <v>78</v>
      </c>
      <c r="D6" s="2"/>
      <c r="E6" s="11">
        <v>46174</v>
      </c>
      <c r="F6" s="12">
        <f>-L10</f>
        <v>-20278.7</v>
      </c>
      <c r="G6" s="63"/>
      <c r="H6" s="10" t="s">
        <v>67</v>
      </c>
      <c r="I6" s="14">
        <v>0.04</v>
      </c>
    </row>
    <row r="7" spans="1:14" x14ac:dyDescent="0.25">
      <c r="B7" s="65"/>
      <c r="C7" s="67"/>
      <c r="D7" s="43"/>
      <c r="E7" s="60"/>
      <c r="F7" s="12"/>
      <c r="G7" s="63"/>
      <c r="H7" s="10" t="s">
        <v>12</v>
      </c>
      <c r="I7" s="49">
        <f>I2+F3</f>
        <v>228000</v>
      </c>
      <c r="K7">
        <v>0.75</v>
      </c>
      <c r="L7" s="7">
        <f>$I$7*K7*M7</f>
        <v>4326.3</v>
      </c>
      <c r="M7" s="2">
        <v>2.53E-2</v>
      </c>
    </row>
    <row r="8" spans="1:14" x14ac:dyDescent="0.25">
      <c r="B8" s="56">
        <f>SUM($F$3:F8)</f>
        <v>-76528.7</v>
      </c>
      <c r="C8" s="57">
        <f>B8-F3</f>
        <v>-4528.6999999999971</v>
      </c>
      <c r="D8" s="5" t="s">
        <v>79</v>
      </c>
      <c r="E8" s="11">
        <v>46692</v>
      </c>
      <c r="F8" s="12">
        <f>I4*$I$2</f>
        <v>10139.999999999998</v>
      </c>
      <c r="G8" t="s">
        <v>3</v>
      </c>
      <c r="H8" s="10" t="s">
        <v>76</v>
      </c>
      <c r="I8" s="14">
        <v>2.5000000000000001E-2</v>
      </c>
      <c r="K8">
        <v>1</v>
      </c>
      <c r="L8" s="7">
        <f>$I$7*K8*M8</f>
        <v>5312.4000000000005</v>
      </c>
      <c r="M8" s="2">
        <v>2.3300000000000001E-2</v>
      </c>
    </row>
    <row r="9" spans="1:14" x14ac:dyDescent="0.25">
      <c r="B9" s="58"/>
      <c r="C9" s="59"/>
      <c r="E9" s="11"/>
      <c r="F9" s="12"/>
      <c r="G9" s="6"/>
      <c r="K9">
        <f>14/12</f>
        <v>1.1666666666666667</v>
      </c>
      <c r="L9" s="7">
        <f>$I$7*K9*M9</f>
        <v>10640</v>
      </c>
      <c r="M9" s="2">
        <f>I6</f>
        <v>0.04</v>
      </c>
      <c r="N9" t="s">
        <v>84</v>
      </c>
    </row>
    <row r="10" spans="1:14" s="54" customFormat="1" x14ac:dyDescent="0.25">
      <c r="A10" s="55"/>
      <c r="B10" s="28" t="s">
        <v>55</v>
      </c>
      <c r="D10" s="55"/>
      <c r="E10" s="11"/>
      <c r="F10" s="12"/>
      <c r="G10" s="6"/>
      <c r="K10"/>
      <c r="L10" s="7">
        <f>SUM(L7:L9)</f>
        <v>20278.7</v>
      </c>
      <c r="M10" s="9"/>
      <c r="N10"/>
    </row>
    <row r="11" spans="1:14" x14ac:dyDescent="0.25">
      <c r="B11" s="5">
        <f>SUM($F$3:F11)</f>
        <v>-72088.7</v>
      </c>
      <c r="C11" s="2"/>
      <c r="D11" s="2"/>
      <c r="E11" s="11">
        <v>47058</v>
      </c>
      <c r="F11" s="12">
        <f t="shared" ref="F11:F27" si="0">$I$4*$I$2-$I$8*$I$7</f>
        <v>4439.9999999999982</v>
      </c>
    </row>
    <row r="12" spans="1:14" x14ac:dyDescent="0.25">
      <c r="B12" s="5">
        <f>SUM($F$3:F12)</f>
        <v>-67648.7</v>
      </c>
      <c r="C12" s="2"/>
      <c r="D12" s="2"/>
      <c r="E12" s="11">
        <v>47423</v>
      </c>
      <c r="F12" s="12">
        <f t="shared" si="0"/>
        <v>4439.9999999999982</v>
      </c>
      <c r="H12" s="8"/>
      <c r="I12" s="8"/>
      <c r="J12" s="8"/>
      <c r="K12" s="8"/>
    </row>
    <row r="13" spans="1:14" x14ac:dyDescent="0.25">
      <c r="B13" s="5">
        <f>SUM($F$3:F13)</f>
        <v>-63208.7</v>
      </c>
      <c r="C13" s="2"/>
      <c r="D13" s="2"/>
      <c r="E13" s="11">
        <v>47788</v>
      </c>
      <c r="F13" s="12">
        <f t="shared" si="0"/>
        <v>4439.9999999999982</v>
      </c>
      <c r="H13" s="8"/>
      <c r="I13" s="8"/>
      <c r="J13" s="8"/>
      <c r="K13" s="8"/>
    </row>
    <row r="14" spans="1:14" x14ac:dyDescent="0.25">
      <c r="B14" s="5">
        <f>SUM($F$3:F14)</f>
        <v>-58768.7</v>
      </c>
      <c r="C14" s="8" t="s">
        <v>77</v>
      </c>
      <c r="D14" s="8"/>
      <c r="E14" s="11">
        <v>48153</v>
      </c>
      <c r="F14" s="12">
        <f t="shared" si="0"/>
        <v>4439.9999999999982</v>
      </c>
    </row>
    <row r="15" spans="1:14" x14ac:dyDescent="0.25">
      <c r="B15" s="5">
        <f>SUM($F$3:F15)</f>
        <v>-54328.7</v>
      </c>
      <c r="C15" s="27">
        <f>-F15/F3</f>
        <v>6.166666666666664E-2</v>
      </c>
      <c r="D15" s="27"/>
      <c r="E15" s="11">
        <v>48519</v>
      </c>
      <c r="F15" s="12">
        <f t="shared" si="0"/>
        <v>4439.9999999999982</v>
      </c>
    </row>
    <row r="16" spans="1:14" x14ac:dyDescent="0.25">
      <c r="B16" s="5">
        <f>SUM($F$3:F16)</f>
        <v>-49888.7</v>
      </c>
      <c r="C16" s="2"/>
      <c r="D16" s="2"/>
      <c r="E16" s="11">
        <v>48884</v>
      </c>
      <c r="F16" s="12">
        <f t="shared" si="0"/>
        <v>4439.9999999999982</v>
      </c>
    </row>
    <row r="17" spans="2:14" x14ac:dyDescent="0.25">
      <c r="B17" s="5">
        <f>SUM($F$3:F17)</f>
        <v>-45448.7</v>
      </c>
      <c r="C17" s="2"/>
      <c r="D17" s="2"/>
      <c r="E17" s="11">
        <v>49249</v>
      </c>
      <c r="F17" s="12">
        <f t="shared" si="0"/>
        <v>4439.9999999999982</v>
      </c>
    </row>
    <row r="18" spans="2:14" x14ac:dyDescent="0.25">
      <c r="B18" s="5">
        <f>SUM($F$3:F18)</f>
        <v>-41008.699999999997</v>
      </c>
      <c r="C18" s="2"/>
      <c r="D18" s="2"/>
      <c r="E18" s="11">
        <v>49614</v>
      </c>
      <c r="F18" s="12">
        <f t="shared" si="0"/>
        <v>4439.9999999999982</v>
      </c>
    </row>
    <row r="19" spans="2:14" x14ac:dyDescent="0.25">
      <c r="B19" s="5">
        <f>SUM($F$3:F19)</f>
        <v>-36568.699999999997</v>
      </c>
      <c r="C19" s="2"/>
      <c r="D19" s="2"/>
      <c r="E19" s="11">
        <v>49980</v>
      </c>
      <c r="F19" s="12">
        <f t="shared" si="0"/>
        <v>4439.9999999999982</v>
      </c>
    </row>
    <row r="20" spans="2:14" x14ac:dyDescent="0.25">
      <c r="B20" s="5">
        <f>SUM($F$3:F20)</f>
        <v>-32128.699999999997</v>
      </c>
      <c r="C20" s="2"/>
      <c r="D20" s="2"/>
      <c r="E20" s="11">
        <v>50345</v>
      </c>
      <c r="F20" s="12">
        <f t="shared" si="0"/>
        <v>4439.9999999999982</v>
      </c>
    </row>
    <row r="21" spans="2:14" x14ac:dyDescent="0.25">
      <c r="B21" s="5">
        <f>SUM($F$3:F21)</f>
        <v>-27688.699999999997</v>
      </c>
      <c r="C21" s="2"/>
      <c r="D21" s="2"/>
      <c r="E21" s="11">
        <v>50710</v>
      </c>
      <c r="F21" s="12">
        <f t="shared" si="0"/>
        <v>4439.9999999999982</v>
      </c>
    </row>
    <row r="22" spans="2:14" x14ac:dyDescent="0.25">
      <c r="B22" s="5">
        <f>SUM($F$3:F22)</f>
        <v>-23248.699999999997</v>
      </c>
      <c r="C22" s="2"/>
      <c r="D22" s="2"/>
      <c r="E22" s="11">
        <v>51075</v>
      </c>
      <c r="F22" s="12">
        <f t="shared" si="0"/>
        <v>4439.9999999999982</v>
      </c>
    </row>
    <row r="23" spans="2:14" x14ac:dyDescent="0.25">
      <c r="B23" s="5">
        <f>SUM($F$3:F23)</f>
        <v>-18808.699999999997</v>
      </c>
      <c r="C23" s="2"/>
      <c r="D23" s="2"/>
      <c r="E23" s="11">
        <v>51441</v>
      </c>
      <c r="F23" s="12">
        <f t="shared" si="0"/>
        <v>4439.9999999999982</v>
      </c>
    </row>
    <row r="24" spans="2:14" x14ac:dyDescent="0.25">
      <c r="B24" s="5">
        <f>SUM($F$3:F24)</f>
        <v>-14368.699999999999</v>
      </c>
      <c r="C24" s="2"/>
      <c r="D24" s="2"/>
      <c r="E24" s="11">
        <v>51806</v>
      </c>
      <c r="F24" s="12">
        <f t="shared" si="0"/>
        <v>4439.9999999999982</v>
      </c>
    </row>
    <row r="25" spans="2:14" x14ac:dyDescent="0.25">
      <c r="B25" s="5">
        <f>SUM($F$3:F25)</f>
        <v>-9928.7000000000007</v>
      </c>
      <c r="C25" s="2"/>
      <c r="D25" s="2"/>
      <c r="E25" s="11">
        <v>52171</v>
      </c>
      <c r="F25" s="12">
        <f t="shared" si="0"/>
        <v>4439.9999999999982</v>
      </c>
    </row>
    <row r="26" spans="2:14" x14ac:dyDescent="0.25">
      <c r="B26" s="5">
        <f>SUM($F$3:F26)</f>
        <v>-5488.7000000000025</v>
      </c>
      <c r="C26" s="2"/>
      <c r="D26" s="2"/>
      <c r="E26" s="11">
        <v>52536</v>
      </c>
      <c r="F26" s="12">
        <f t="shared" si="0"/>
        <v>4439.9999999999982</v>
      </c>
    </row>
    <row r="27" spans="2:14" x14ac:dyDescent="0.25">
      <c r="B27" s="5">
        <f>SUM($F$3:F27)</f>
        <v>-1048.7000000000044</v>
      </c>
      <c r="C27" s="2" t="s">
        <v>5</v>
      </c>
      <c r="D27" s="2"/>
      <c r="E27" s="11">
        <v>52902</v>
      </c>
      <c r="F27" s="12">
        <f t="shared" si="0"/>
        <v>4439.9999999999982</v>
      </c>
    </row>
    <row r="28" spans="2:14" x14ac:dyDescent="0.25">
      <c r="B28" s="5">
        <f>SUM($F$3:F28)</f>
        <v>70951.299999999988</v>
      </c>
      <c r="C28" s="2">
        <f>XIRR(F3:F28,E3:E28)</f>
        <v>4.2764946818351746E-2</v>
      </c>
      <c r="D28" s="2" t="s">
        <v>79</v>
      </c>
      <c r="E28" s="11">
        <v>53267</v>
      </c>
      <c r="F28" s="12">
        <f>-F3</f>
        <v>72000</v>
      </c>
      <c r="G28" s="6" t="s">
        <v>71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61" t="s">
        <v>83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2:14" x14ac:dyDescent="0.25">
      <c r="B32" s="62" t="s">
        <v>80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</row>
    <row r="33" spans="2:14" x14ac:dyDescent="0.25"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</row>
    <row r="34" spans="2:14" x14ac:dyDescent="0.25"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</row>
  </sheetData>
  <mergeCells count="7">
    <mergeCell ref="B31:N31"/>
    <mergeCell ref="B32:N32"/>
    <mergeCell ref="B33:N33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A24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0" t="s">
        <v>25</v>
      </c>
      <c r="C2" s="13"/>
      <c r="D2" s="12" t="s">
        <v>20</v>
      </c>
      <c r="E2" s="12" t="s">
        <v>17</v>
      </c>
      <c r="F2" s="12" t="s">
        <v>18</v>
      </c>
      <c r="G2" s="12" t="s">
        <v>24</v>
      </c>
      <c r="H2" s="10"/>
      <c r="I2" s="8"/>
    </row>
    <row r="3" spans="2:11" x14ac:dyDescent="0.25">
      <c r="B3" s="10"/>
      <c r="C3" s="13">
        <v>45170</v>
      </c>
      <c r="D3" s="12">
        <f>SUM(E3:G3)</f>
        <v>-50065.676666666666</v>
      </c>
      <c r="E3" s="12">
        <f>-K8/3</f>
        <v>-50065.666666666664</v>
      </c>
      <c r="F3" s="12"/>
      <c r="G3" s="12">
        <v>-0.01</v>
      </c>
      <c r="H3" s="10" t="s">
        <v>23</v>
      </c>
      <c r="I3" s="8"/>
    </row>
    <row r="4" spans="2:11" x14ac:dyDescent="0.25">
      <c r="B4" s="12"/>
      <c r="C4" s="13">
        <v>45261</v>
      </c>
      <c r="D4" s="12">
        <f t="shared" ref="D4:D38" si="0">SUM(E4:G4)</f>
        <v>6129</v>
      </c>
      <c r="E4" s="12">
        <v>6129</v>
      </c>
      <c r="F4" s="12"/>
      <c r="G4" s="12"/>
      <c r="H4" s="10" t="s">
        <v>22</v>
      </c>
      <c r="I4" s="8"/>
    </row>
    <row r="5" spans="2:11" x14ac:dyDescent="0.25">
      <c r="B5" s="12"/>
      <c r="C5" s="13">
        <v>45352</v>
      </c>
      <c r="D5" s="12">
        <f t="shared" si="0"/>
        <v>-50065.666666666664</v>
      </c>
      <c r="E5" s="12">
        <f>E3</f>
        <v>-50065.666666666664</v>
      </c>
      <c r="F5" s="12"/>
      <c r="G5" s="12"/>
      <c r="H5" s="10"/>
      <c r="I5" s="8"/>
    </row>
    <row r="6" spans="2:11" x14ac:dyDescent="0.25">
      <c r="B6" s="12">
        <f>SUM($D$6:D6)</f>
        <v>-60000</v>
      </c>
      <c r="C6" s="13">
        <v>45505</v>
      </c>
      <c r="D6" s="12">
        <f t="shared" si="0"/>
        <v>-60000</v>
      </c>
      <c r="E6" s="12"/>
      <c r="F6" s="12">
        <f>-24%*K9</f>
        <v>-60000</v>
      </c>
      <c r="G6" s="12"/>
      <c r="H6" s="10" t="s">
        <v>28</v>
      </c>
      <c r="I6" s="8"/>
    </row>
    <row r="7" spans="2:11" x14ac:dyDescent="0.25">
      <c r="B7" s="12">
        <f>SUM($D$6:D7)</f>
        <v>-56575</v>
      </c>
      <c r="C7" s="13">
        <v>45566</v>
      </c>
      <c r="D7" s="12">
        <f t="shared" si="0"/>
        <v>3425</v>
      </c>
      <c r="E7" s="12"/>
      <c r="F7" s="12">
        <f>1.37%*K9</f>
        <v>3425</v>
      </c>
      <c r="G7" s="12"/>
      <c r="H7" s="10" t="s">
        <v>15</v>
      </c>
      <c r="I7" s="8"/>
      <c r="J7" t="s">
        <v>8</v>
      </c>
      <c r="K7" s="16">
        <f>150394.75*0</f>
        <v>0</v>
      </c>
    </row>
    <row r="8" spans="2:11" x14ac:dyDescent="0.25">
      <c r="B8" s="12">
        <f>SUM($D$6:D8)</f>
        <v>-56575</v>
      </c>
      <c r="C8" s="13">
        <v>45505</v>
      </c>
      <c r="D8" s="12">
        <f t="shared" si="0"/>
        <v>0</v>
      </c>
      <c r="E8" s="12"/>
      <c r="F8" s="12"/>
      <c r="G8" s="12">
        <f>-$K$7/5</f>
        <v>0</v>
      </c>
      <c r="H8" s="10"/>
      <c r="I8" s="8"/>
      <c r="J8" t="s">
        <v>4</v>
      </c>
      <c r="K8" s="5">
        <v>150197</v>
      </c>
    </row>
    <row r="9" spans="2:11" x14ac:dyDescent="0.25">
      <c r="B9" s="12">
        <f>SUM($D$6:D9)</f>
        <v>-56575</v>
      </c>
      <c r="C9" s="13">
        <v>45566</v>
      </c>
      <c r="D9" s="12">
        <f t="shared" si="0"/>
        <v>0</v>
      </c>
      <c r="E9" s="12"/>
      <c r="F9" s="12"/>
      <c r="G9" s="12">
        <f>-9%*G8</f>
        <v>0</v>
      </c>
      <c r="H9" s="10" t="s">
        <v>14</v>
      </c>
      <c r="I9" s="8"/>
      <c r="J9" t="s">
        <v>10</v>
      </c>
      <c r="K9" s="5">
        <v>250000</v>
      </c>
    </row>
    <row r="10" spans="2:11" x14ac:dyDescent="0.25">
      <c r="B10" s="12">
        <f>SUM($D$6:D10)</f>
        <v>-106640.66666666666</v>
      </c>
      <c r="C10" s="13">
        <v>45717</v>
      </c>
      <c r="D10" s="12">
        <f t="shared" si="0"/>
        <v>-50065.666666666664</v>
      </c>
      <c r="E10" s="12">
        <f>E3</f>
        <v>-50065.666666666664</v>
      </c>
      <c r="F10" s="12"/>
      <c r="G10" s="12"/>
      <c r="H10" s="10"/>
      <c r="I10" s="8"/>
      <c r="J10" t="s">
        <v>19</v>
      </c>
      <c r="K10" s="5">
        <f>K9+F6</f>
        <v>190000</v>
      </c>
    </row>
    <row r="11" spans="2:11" x14ac:dyDescent="0.25">
      <c r="B11" s="12">
        <f>SUM($D$6:D11)</f>
        <v>-106640.66666666666</v>
      </c>
      <c r="C11" s="13">
        <v>45870</v>
      </c>
      <c r="D11" s="12">
        <f t="shared" si="0"/>
        <v>0</v>
      </c>
      <c r="E11" s="12"/>
      <c r="F11" s="12"/>
      <c r="G11" s="12">
        <f>G8</f>
        <v>0</v>
      </c>
      <c r="H11" s="10"/>
      <c r="I11" s="8"/>
      <c r="J11" t="s">
        <v>21</v>
      </c>
      <c r="K11" s="2">
        <f>0.5%+K32</f>
        <v>3.0000000000000002E-2</v>
      </c>
    </row>
    <row r="12" spans="2:11" x14ac:dyDescent="0.25">
      <c r="B12" s="12">
        <f>SUM($D$6:D12)</f>
        <v>-106640.66666666666</v>
      </c>
      <c r="C12" s="13">
        <v>45870</v>
      </c>
      <c r="D12" s="12">
        <f t="shared" si="0"/>
        <v>0</v>
      </c>
      <c r="E12" s="12"/>
      <c r="F12" s="12"/>
      <c r="G12" s="12">
        <f>(0.0425-0.03)*K7</f>
        <v>0</v>
      </c>
      <c r="H12" s="10" t="s">
        <v>29</v>
      </c>
      <c r="I12" s="8"/>
    </row>
    <row r="13" spans="2:11" ht="30" x14ac:dyDescent="0.25">
      <c r="B13" s="12">
        <f>SUM($D$6:D13)</f>
        <v>-118850.66666666666</v>
      </c>
      <c r="C13" s="13">
        <v>45962</v>
      </c>
      <c r="D13" s="12">
        <f t="shared" si="0"/>
        <v>-12210</v>
      </c>
      <c r="E13" s="12"/>
      <c r="F13" s="12">
        <f>-(6510+K10*K11)</f>
        <v>-12210</v>
      </c>
      <c r="G13" s="12"/>
      <c r="H13" s="23" t="s">
        <v>40</v>
      </c>
      <c r="I13" s="8"/>
      <c r="J13" s="23" t="s">
        <v>43</v>
      </c>
      <c r="K13" s="24">
        <f>B13</f>
        <v>-118850.66666666666</v>
      </c>
    </row>
    <row r="14" spans="2:11" x14ac:dyDescent="0.25">
      <c r="B14" s="12">
        <f>SUM($D$6:D14)</f>
        <v>-114377.80000666666</v>
      </c>
      <c r="C14" s="13">
        <v>46082</v>
      </c>
      <c r="D14" s="12">
        <f>SUM(E14:G14)</f>
        <v>4472.8666599999997</v>
      </c>
      <c r="E14" s="12">
        <f>2.978%*K8</f>
        <v>4472.8666599999997</v>
      </c>
      <c r="F14" s="12"/>
      <c r="G14" s="12"/>
      <c r="H14" s="10" t="s">
        <v>6</v>
      </c>
      <c r="I14" s="8"/>
      <c r="J14" s="10" t="s">
        <v>30</v>
      </c>
      <c r="K14" s="12">
        <f>B5</f>
        <v>0</v>
      </c>
    </row>
    <row r="15" spans="2:11" x14ac:dyDescent="0.25">
      <c r="B15" s="12">
        <f>SUM($D$6:D15)</f>
        <v>35819.199993333343</v>
      </c>
      <c r="C15" s="13">
        <v>46082</v>
      </c>
      <c r="D15" s="12">
        <f>SUM(E15:G15)</f>
        <v>150197</v>
      </c>
      <c r="E15" s="12">
        <f>K8</f>
        <v>150197</v>
      </c>
      <c r="F15" s="12"/>
      <c r="G15" s="12"/>
      <c r="H15" s="10" t="s">
        <v>32</v>
      </c>
      <c r="I15" s="8"/>
      <c r="J15" s="10" t="s">
        <v>31</v>
      </c>
      <c r="K15" s="12">
        <f>K13-K14</f>
        <v>-118850.66666666666</v>
      </c>
    </row>
    <row r="16" spans="2:11" x14ac:dyDescent="0.25">
      <c r="B16" s="12">
        <f>SUM($D$6:D16)</f>
        <v>35819.199993333343</v>
      </c>
      <c r="C16" s="13">
        <v>46235</v>
      </c>
      <c r="D16" s="12">
        <f t="shared" si="0"/>
        <v>0</v>
      </c>
      <c r="E16" s="12"/>
      <c r="F16" s="12"/>
      <c r="G16" s="12">
        <f>G8</f>
        <v>0</v>
      </c>
      <c r="H16" s="10"/>
      <c r="I16" s="8"/>
    </row>
    <row r="17" spans="2:11" x14ac:dyDescent="0.25">
      <c r="B17" s="12">
        <f>SUM($D$6:D17)</f>
        <v>43844.199993333343</v>
      </c>
      <c r="C17" s="13">
        <v>46419</v>
      </c>
      <c r="D17" s="12">
        <f t="shared" si="0"/>
        <v>8024.9999999999991</v>
      </c>
      <c r="E17" s="12"/>
      <c r="F17" s="12">
        <f>3.21%*$K$9</f>
        <v>8024.9999999999991</v>
      </c>
      <c r="G17" s="12"/>
      <c r="H17" s="10" t="s">
        <v>16</v>
      </c>
      <c r="I17" s="8"/>
    </row>
    <row r="18" spans="2:11" x14ac:dyDescent="0.25">
      <c r="B18" s="12">
        <f>SUM($D$6:D18)</f>
        <v>103844.19999333334</v>
      </c>
      <c r="C18" s="13">
        <v>46419</v>
      </c>
      <c r="D18" s="12">
        <f t="shared" si="0"/>
        <v>60000</v>
      </c>
      <c r="E18" s="12"/>
      <c r="F18" s="12">
        <f>-F6</f>
        <v>60000</v>
      </c>
      <c r="G18" s="12"/>
      <c r="H18" s="15" t="s">
        <v>33</v>
      </c>
      <c r="I18" s="17"/>
    </row>
    <row r="19" spans="2:11" x14ac:dyDescent="0.25">
      <c r="B19" s="12">
        <f>SUM($D$6:D19)</f>
        <v>103844.19999333334</v>
      </c>
      <c r="C19" s="13">
        <v>46600</v>
      </c>
      <c r="D19" s="12">
        <f t="shared" si="0"/>
        <v>0</v>
      </c>
      <c r="E19" s="12"/>
      <c r="F19" s="12"/>
      <c r="G19" s="12">
        <f>G8</f>
        <v>0</v>
      </c>
      <c r="H19" s="10"/>
      <c r="I19" s="8"/>
    </row>
    <row r="20" spans="2:11" x14ac:dyDescent="0.25">
      <c r="B20" s="12">
        <f>SUM($D$6:D20)</f>
        <v>103844.19999333334</v>
      </c>
      <c r="C20" s="13">
        <v>46966</v>
      </c>
      <c r="D20" s="12">
        <f t="shared" si="0"/>
        <v>0</v>
      </c>
      <c r="E20" s="12"/>
      <c r="F20" s="12"/>
      <c r="G20" s="12">
        <f>G8</f>
        <v>0</v>
      </c>
      <c r="H20" s="10"/>
      <c r="I20" s="8"/>
    </row>
    <row r="21" spans="2:11" x14ac:dyDescent="0.25">
      <c r="B21" s="12">
        <f>SUM($D$6:D21)</f>
        <v>103844.19999333334</v>
      </c>
      <c r="C21" s="13">
        <v>47331</v>
      </c>
      <c r="D21" s="12">
        <f t="shared" si="0"/>
        <v>0</v>
      </c>
      <c r="E21" s="12"/>
      <c r="F21" s="12"/>
      <c r="G21" s="12">
        <f>3.391%*$K$7</f>
        <v>0</v>
      </c>
      <c r="H21" s="10" t="s">
        <v>7</v>
      </c>
      <c r="I21" s="8"/>
    </row>
    <row r="22" spans="2:11" x14ac:dyDescent="0.25">
      <c r="B22" s="12">
        <f>SUM($D$6:D22)</f>
        <v>103844.19999333334</v>
      </c>
      <c r="C22" s="13">
        <v>47331</v>
      </c>
      <c r="D22" s="12">
        <f t="shared" si="0"/>
        <v>0</v>
      </c>
      <c r="E22" s="12"/>
      <c r="F22" s="12"/>
      <c r="G22" s="12">
        <f>3%*K7</f>
        <v>0</v>
      </c>
      <c r="H22" s="10" t="s">
        <v>27</v>
      </c>
      <c r="I22" s="8"/>
    </row>
    <row r="23" spans="2:11" ht="15.75" thickBot="1" x14ac:dyDescent="0.3">
      <c r="B23" s="12">
        <f>SUM($D$6:D23)</f>
        <v>103844.19999333334</v>
      </c>
      <c r="C23" s="20">
        <v>47331</v>
      </c>
      <c r="D23" s="21">
        <f t="shared" si="0"/>
        <v>0</v>
      </c>
      <c r="E23" s="21"/>
      <c r="F23" s="21"/>
      <c r="G23" s="21">
        <f>K7</f>
        <v>0</v>
      </c>
      <c r="H23" s="10" t="s">
        <v>34</v>
      </c>
      <c r="I23" s="8"/>
    </row>
    <row r="24" spans="2:11" ht="15.75" thickTop="1" x14ac:dyDescent="0.25">
      <c r="B24" s="68" t="s">
        <v>38</v>
      </c>
      <c r="C24" s="69"/>
      <c r="D24" s="70"/>
      <c r="E24" s="19">
        <f>SUM(E3:E23)</f>
        <v>10601.86666</v>
      </c>
      <c r="F24" s="19">
        <f>SUM(F3:F23)</f>
        <v>-760</v>
      </c>
      <c r="G24" s="19">
        <f>SUM(G3:G23)</f>
        <v>-0.01</v>
      </c>
      <c r="H24" s="10"/>
      <c r="I24" s="8"/>
    </row>
    <row r="25" spans="2:11" x14ac:dyDescent="0.25">
      <c r="B25" s="71"/>
      <c r="C25" s="72"/>
      <c r="D25" s="73"/>
      <c r="E25" s="14">
        <f>XIRR(E3:E23,C3:C23)</f>
        <v>3.9722254872322102E-2</v>
      </c>
      <c r="F25" s="14" t="s">
        <v>41</v>
      </c>
      <c r="G25" s="14"/>
      <c r="H25" s="10"/>
      <c r="I25" s="8"/>
    </row>
    <row r="26" spans="2:11" x14ac:dyDescent="0.25">
      <c r="B26" s="10" t="s">
        <v>26</v>
      </c>
      <c r="C26" s="13"/>
      <c r="D26" s="12"/>
      <c r="E26" s="12"/>
      <c r="F26" s="12"/>
      <c r="G26" s="14"/>
      <c r="H26" s="10"/>
      <c r="I26" s="8"/>
    </row>
    <row r="27" spans="2:11" x14ac:dyDescent="0.25">
      <c r="B27" s="12">
        <f>SUM($D$6:D27)</f>
        <v>103844.19999333334</v>
      </c>
      <c r="C27" s="13">
        <v>47696</v>
      </c>
      <c r="D27" s="12">
        <f t="shared" si="0"/>
        <v>0</v>
      </c>
      <c r="E27" s="12"/>
      <c r="F27" s="12"/>
      <c r="G27" s="12">
        <f>3.391%*$K$7</f>
        <v>0</v>
      </c>
      <c r="H27" s="74" t="s">
        <v>42</v>
      </c>
      <c r="I27" s="8"/>
    </row>
    <row r="28" spans="2:11" x14ac:dyDescent="0.25">
      <c r="B28" s="12">
        <f>SUM($D$6:D28)</f>
        <v>103844.19999333334</v>
      </c>
      <c r="C28" s="13">
        <v>48061</v>
      </c>
      <c r="D28" s="12">
        <f t="shared" si="0"/>
        <v>0</v>
      </c>
      <c r="E28" s="12"/>
      <c r="F28" s="12"/>
      <c r="G28" s="12">
        <f>3.391%*$K$7</f>
        <v>0</v>
      </c>
      <c r="H28" s="75"/>
      <c r="I28" s="8"/>
    </row>
    <row r="29" spans="2:11" x14ac:dyDescent="0.25">
      <c r="B29" s="12">
        <f>SUM($D$6:D29)</f>
        <v>103844.19999333334</v>
      </c>
      <c r="C29" s="13">
        <v>48427</v>
      </c>
      <c r="D29" s="12">
        <f t="shared" si="0"/>
        <v>0</v>
      </c>
      <c r="E29" s="12"/>
      <c r="F29" s="12"/>
      <c r="G29" s="12">
        <f>3.391%*$K$7</f>
        <v>0</v>
      </c>
      <c r="H29" s="75"/>
      <c r="I29" s="8"/>
    </row>
    <row r="30" spans="2:11" x14ac:dyDescent="0.25">
      <c r="B30" s="12">
        <f>SUM($D$6:D30)</f>
        <v>103844.19999333334</v>
      </c>
      <c r="C30" s="13">
        <v>48792</v>
      </c>
      <c r="D30" s="12">
        <f t="shared" si="0"/>
        <v>0</v>
      </c>
      <c r="E30" s="12"/>
      <c r="F30" s="12"/>
      <c r="G30" s="12">
        <f>3.391%*$K$7</f>
        <v>0</v>
      </c>
      <c r="H30" s="75"/>
      <c r="I30" s="8"/>
    </row>
    <row r="31" spans="2:11" x14ac:dyDescent="0.25">
      <c r="B31" s="12">
        <f>SUM($D$6:D31)</f>
        <v>103844.19999333334</v>
      </c>
      <c r="C31" s="13">
        <v>49157</v>
      </c>
      <c r="D31" s="12">
        <f t="shared" si="0"/>
        <v>0</v>
      </c>
      <c r="E31" s="12"/>
      <c r="F31" s="12"/>
      <c r="G31" s="12">
        <f>3.391%*$K$7</f>
        <v>0</v>
      </c>
      <c r="H31" s="75"/>
      <c r="I31" s="8"/>
    </row>
    <row r="32" spans="2:11" x14ac:dyDescent="0.25">
      <c r="B32" s="12">
        <f>SUM($D$6:D32)</f>
        <v>107119.19999333334</v>
      </c>
      <c r="C32" s="11">
        <v>46784</v>
      </c>
      <c r="D32" s="12">
        <f t="shared" si="0"/>
        <v>3274.9999999999991</v>
      </c>
      <c r="E32" s="12"/>
      <c r="F32" s="10">
        <f>3.21%*$K$9-$K$10*$K$32</f>
        <v>3274.9999999999991</v>
      </c>
      <c r="G32" s="26" t="s">
        <v>36</v>
      </c>
      <c r="H32" s="75"/>
      <c r="I32" s="8"/>
      <c r="J32" t="s">
        <v>37</v>
      </c>
      <c r="K32" s="2">
        <v>2.5000000000000001E-2</v>
      </c>
    </row>
    <row r="33" spans="2:11" x14ac:dyDescent="0.25">
      <c r="B33" s="12">
        <f>SUM($D$6:D33)</f>
        <v>110394.19999333334</v>
      </c>
      <c r="C33" s="11">
        <v>47150</v>
      </c>
      <c r="D33" s="12">
        <f t="shared" si="0"/>
        <v>3274.9999999999991</v>
      </c>
      <c r="E33" s="12"/>
      <c r="F33" s="10">
        <f t="shared" ref="F33:F38" si="1">3.21%*$K$9-$K$10*$K$32</f>
        <v>3274.9999999999991</v>
      </c>
      <c r="G33" s="12"/>
      <c r="H33" s="75"/>
      <c r="I33" s="8"/>
      <c r="J33" t="s">
        <v>39</v>
      </c>
      <c r="K33" s="22">
        <f>-F32/F6</f>
        <v>5.4583333333333317E-2</v>
      </c>
    </row>
    <row r="34" spans="2:11" x14ac:dyDescent="0.25">
      <c r="B34" s="12">
        <f>SUM($D$6:D34)</f>
        <v>113669.19999333334</v>
      </c>
      <c r="C34" s="11">
        <v>47515</v>
      </c>
      <c r="D34" s="12">
        <f t="shared" si="0"/>
        <v>3274.9999999999991</v>
      </c>
      <c r="E34" s="12"/>
      <c r="F34" s="10">
        <f t="shared" si="1"/>
        <v>3274.9999999999991</v>
      </c>
      <c r="G34" s="12"/>
      <c r="H34" s="75"/>
      <c r="I34" s="8"/>
    </row>
    <row r="35" spans="2:11" x14ac:dyDescent="0.25">
      <c r="B35" s="12">
        <f>SUM($D$6:D35)</f>
        <v>116944.19999333334</v>
      </c>
      <c r="C35" s="11">
        <v>47880</v>
      </c>
      <c r="D35" s="12">
        <f t="shared" si="0"/>
        <v>3274.9999999999991</v>
      </c>
      <c r="E35" s="12"/>
      <c r="F35" s="10">
        <f t="shared" si="1"/>
        <v>3274.9999999999991</v>
      </c>
      <c r="G35" s="12"/>
      <c r="H35" s="75"/>
      <c r="I35" s="8"/>
    </row>
    <row r="36" spans="2:11" x14ac:dyDescent="0.25">
      <c r="B36" s="12">
        <f>SUM($D$6:D36)</f>
        <v>120219.19999333334</v>
      </c>
      <c r="C36" s="11">
        <v>48245</v>
      </c>
      <c r="D36" s="12">
        <f t="shared" si="0"/>
        <v>3274.9999999999991</v>
      </c>
      <c r="E36" s="12"/>
      <c r="F36" s="10">
        <f t="shared" si="1"/>
        <v>3274.9999999999991</v>
      </c>
      <c r="G36" s="12"/>
      <c r="H36" s="75"/>
      <c r="I36" s="8"/>
    </row>
    <row r="37" spans="2:11" x14ac:dyDescent="0.25">
      <c r="B37" s="12">
        <f>SUM($D$6:D37)</f>
        <v>123494.19999333334</v>
      </c>
      <c r="C37" s="11">
        <v>48611</v>
      </c>
      <c r="D37" s="12">
        <f t="shared" si="0"/>
        <v>3274.9999999999991</v>
      </c>
      <c r="E37" s="12"/>
      <c r="F37" s="10">
        <f t="shared" si="1"/>
        <v>3274.9999999999991</v>
      </c>
      <c r="G37" s="12"/>
      <c r="H37" s="75"/>
      <c r="I37" s="8"/>
    </row>
    <row r="38" spans="2:11" x14ac:dyDescent="0.25">
      <c r="B38" s="12">
        <f>SUM($D$6:D38)</f>
        <v>126769.19999333334</v>
      </c>
      <c r="C38" s="11">
        <v>48976</v>
      </c>
      <c r="D38" s="12">
        <f t="shared" si="0"/>
        <v>3274.9999999999991</v>
      </c>
      <c r="E38" s="12"/>
      <c r="F38" s="10">
        <f t="shared" si="1"/>
        <v>3274.9999999999991</v>
      </c>
      <c r="G38" s="12"/>
      <c r="H38" s="76"/>
      <c r="I38" s="8"/>
    </row>
    <row r="40" spans="2:11" x14ac:dyDescent="0.25">
      <c r="H40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8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G5" sqref="G5"/>
    </sheetView>
  </sheetViews>
  <sheetFormatPr defaultRowHeight="15" x14ac:dyDescent="0.25"/>
  <cols>
    <col min="1" max="1" width="4.7109375" style="28" bestFit="1" customWidth="1"/>
    <col min="2" max="2" width="10" style="28" bestFit="1" customWidth="1"/>
    <col min="3" max="3" width="7.42578125" style="31" bestFit="1" customWidth="1"/>
    <col min="4" max="4" width="10.85546875" style="48" bestFit="1" customWidth="1"/>
    <col min="5" max="5" width="36.85546875" style="28" bestFit="1" customWidth="1"/>
    <col min="6" max="6" width="1.5703125" style="28" customWidth="1"/>
    <col min="7" max="7" width="17.7109375" style="28" bestFit="1" customWidth="1"/>
    <col min="8" max="16384" width="9.140625" style="28"/>
  </cols>
  <sheetData>
    <row r="2" spans="1:12" x14ac:dyDescent="0.25">
      <c r="C2" s="44"/>
      <c r="D2" s="47" t="s">
        <v>2</v>
      </c>
    </row>
    <row r="3" spans="1:12" x14ac:dyDescent="0.25">
      <c r="A3" s="29"/>
      <c r="B3" s="30"/>
      <c r="C3" s="45">
        <v>45597</v>
      </c>
      <c r="D3" s="47">
        <f>-24%*H6</f>
        <v>-76189.919999999998</v>
      </c>
      <c r="E3" s="28" t="s">
        <v>52</v>
      </c>
      <c r="I3" s="30"/>
      <c r="J3" s="28">
        <f>9/12</f>
        <v>0.75</v>
      </c>
      <c r="K3" s="30">
        <v>2.53E-2</v>
      </c>
      <c r="L3" s="32">
        <f>$H$9*J3*K3</f>
        <v>4578.0618180000001</v>
      </c>
    </row>
    <row r="4" spans="1:12" x14ac:dyDescent="0.25">
      <c r="A4" s="29"/>
      <c r="B4" s="30"/>
      <c r="C4" s="45">
        <v>45658</v>
      </c>
      <c r="D4" s="47">
        <f>H4*H6</f>
        <v>4349.1746000000003</v>
      </c>
      <c r="E4" s="28" t="s">
        <v>15</v>
      </c>
      <c r="G4" s="37" t="s">
        <v>13</v>
      </c>
      <c r="H4" s="39">
        <v>1.37E-2</v>
      </c>
      <c r="J4" s="28">
        <v>1</v>
      </c>
      <c r="K4" s="30">
        <v>2.3300000000000001E-2</v>
      </c>
      <c r="L4" s="32">
        <f t="shared" ref="L4:L5" si="0">$H$9*J4*K4</f>
        <v>5621.5462640000005</v>
      </c>
    </row>
    <row r="5" spans="1:12" x14ac:dyDescent="0.25">
      <c r="A5" s="29"/>
      <c r="B5" s="30"/>
      <c r="C5" s="45"/>
      <c r="D5" s="47"/>
      <c r="G5" s="40" t="s">
        <v>60</v>
      </c>
      <c r="H5" s="41">
        <f>D9/H6</f>
        <v>3.2760239149745796E-2</v>
      </c>
      <c r="J5" s="28">
        <f>6/12</f>
        <v>0.5</v>
      </c>
      <c r="K5" s="30">
        <f>H8</f>
        <v>0.03</v>
      </c>
      <c r="L5" s="32">
        <f t="shared" si="0"/>
        <v>3619.0212000000001</v>
      </c>
    </row>
    <row r="6" spans="1:12" x14ac:dyDescent="0.25">
      <c r="A6" s="29"/>
      <c r="B6" s="30"/>
      <c r="C6" s="45">
        <v>46023</v>
      </c>
      <c r="D6" s="47">
        <f>-SUM(L3:L5)</f>
        <v>-13818.629282000002</v>
      </c>
      <c r="E6" s="28" t="s">
        <v>64</v>
      </c>
      <c r="G6" s="37" t="s">
        <v>65</v>
      </c>
      <c r="H6" s="38">
        <v>317458</v>
      </c>
      <c r="K6" s="33"/>
      <c r="L6" s="32"/>
    </row>
    <row r="7" spans="1:12" x14ac:dyDescent="0.25">
      <c r="A7" s="77" t="s">
        <v>57</v>
      </c>
      <c r="B7" s="78"/>
      <c r="C7" s="45"/>
      <c r="D7" s="47"/>
      <c r="G7" s="37"/>
      <c r="H7" s="38"/>
    </row>
    <row r="8" spans="1:12" x14ac:dyDescent="0.25">
      <c r="A8" s="43" t="s">
        <v>54</v>
      </c>
      <c r="B8" s="28" t="s">
        <v>55</v>
      </c>
      <c r="C8" s="45"/>
      <c r="D8" s="47"/>
      <c r="G8" s="37" t="s">
        <v>62</v>
      </c>
      <c r="H8" s="39">
        <v>0.03</v>
      </c>
    </row>
    <row r="9" spans="1:12" x14ac:dyDescent="0.25">
      <c r="A9" s="29">
        <f>B9-D3</f>
        <v>930.54531800000404</v>
      </c>
      <c r="B9" s="29">
        <f>SUM($D$3:D9)</f>
        <v>-75259.374681999994</v>
      </c>
      <c r="C9" s="45">
        <v>46447</v>
      </c>
      <c r="D9" s="47">
        <v>10400</v>
      </c>
      <c r="E9" s="28" t="s">
        <v>66</v>
      </c>
      <c r="G9" s="37" t="s">
        <v>12</v>
      </c>
      <c r="H9" s="38">
        <f>H6+D3</f>
        <v>241268.08000000002</v>
      </c>
    </row>
    <row r="10" spans="1:12" x14ac:dyDescent="0.25">
      <c r="A10" s="29"/>
      <c r="B10" s="46" t="s">
        <v>59</v>
      </c>
      <c r="C10" s="45"/>
      <c r="D10" s="47"/>
      <c r="E10" s="34"/>
      <c r="F10" s="34"/>
      <c r="G10" s="37" t="s">
        <v>11</v>
      </c>
      <c r="H10" s="39">
        <v>0.02</v>
      </c>
    </row>
    <row r="11" spans="1:12" x14ac:dyDescent="0.25">
      <c r="A11" s="29"/>
      <c r="B11" s="36">
        <f>-D11/$D$3</f>
        <v>7.316766312394081E-2</v>
      </c>
      <c r="C11" s="45">
        <v>46813</v>
      </c>
      <c r="D11" s="47">
        <f>10400-$H$10*$H$9</f>
        <v>5574.6383999999998</v>
      </c>
      <c r="I11" s="35"/>
      <c r="J11" s="35"/>
    </row>
    <row r="12" spans="1:12" x14ac:dyDescent="0.25">
      <c r="A12" s="29"/>
      <c r="B12" s="36">
        <f>-D12/$D$3</f>
        <v>7.316766312394081E-2</v>
      </c>
      <c r="C12" s="45">
        <v>47178</v>
      </c>
      <c r="D12" s="47">
        <f t="shared" ref="D12:D27" si="1">10400-$H$10*$H$9</f>
        <v>5574.6383999999998</v>
      </c>
      <c r="G12" s="35"/>
      <c r="H12" s="35"/>
      <c r="I12" s="35"/>
      <c r="J12" s="35"/>
    </row>
    <row r="13" spans="1:12" x14ac:dyDescent="0.25">
      <c r="A13" s="29"/>
      <c r="B13" s="36">
        <f>-D13/$D$3</f>
        <v>7.316766312394081E-2</v>
      </c>
      <c r="C13" s="45">
        <v>47543</v>
      </c>
      <c r="D13" s="47">
        <f t="shared" si="1"/>
        <v>5574.6383999999998</v>
      </c>
      <c r="G13" s="35"/>
      <c r="H13" s="35"/>
      <c r="I13" s="35"/>
      <c r="J13" s="35"/>
    </row>
    <row r="14" spans="1:12" x14ac:dyDescent="0.25">
      <c r="A14" s="29"/>
      <c r="B14" s="36">
        <f t="shared" ref="B14:B15" si="2">-D14/$D$3</f>
        <v>7.316766312394081E-2</v>
      </c>
      <c r="C14" s="45">
        <v>47908</v>
      </c>
      <c r="D14" s="47">
        <f t="shared" si="1"/>
        <v>5574.6383999999998</v>
      </c>
    </row>
    <row r="15" spans="1:12" x14ac:dyDescent="0.25">
      <c r="A15" s="29"/>
      <c r="B15" s="36">
        <f t="shared" si="2"/>
        <v>7.316766312394081E-2</v>
      </c>
      <c r="C15" s="45">
        <v>48274</v>
      </c>
      <c r="D15" s="47">
        <f t="shared" si="1"/>
        <v>5574.6383999999998</v>
      </c>
    </row>
    <row r="16" spans="1:12" x14ac:dyDescent="0.25">
      <c r="A16" s="29"/>
      <c r="B16" s="42" t="s">
        <v>56</v>
      </c>
      <c r="C16" s="45">
        <v>48639</v>
      </c>
      <c r="D16" s="47">
        <f t="shared" si="1"/>
        <v>5574.6383999999998</v>
      </c>
    </row>
    <row r="17" spans="1:8" x14ac:dyDescent="0.25">
      <c r="A17" s="29"/>
      <c r="B17" s="30"/>
      <c r="C17" s="45">
        <v>49004</v>
      </c>
      <c r="D17" s="47">
        <f t="shared" si="1"/>
        <v>5574.6383999999998</v>
      </c>
    </row>
    <row r="18" spans="1:8" x14ac:dyDescent="0.25">
      <c r="A18" s="29"/>
      <c r="B18" s="30"/>
      <c r="C18" s="45">
        <v>49369</v>
      </c>
      <c r="D18" s="47">
        <f t="shared" si="1"/>
        <v>5574.6383999999998</v>
      </c>
    </row>
    <row r="19" spans="1:8" x14ac:dyDescent="0.25">
      <c r="A19" s="29"/>
      <c r="B19" s="30"/>
      <c r="C19" s="45">
        <v>49735</v>
      </c>
      <c r="D19" s="47">
        <f t="shared" si="1"/>
        <v>5574.6383999999998</v>
      </c>
    </row>
    <row r="20" spans="1:8" x14ac:dyDescent="0.25">
      <c r="A20" s="29"/>
      <c r="B20" s="30"/>
      <c r="C20" s="45">
        <v>50100</v>
      </c>
      <c r="D20" s="47">
        <f t="shared" si="1"/>
        <v>5574.6383999999998</v>
      </c>
    </row>
    <row r="21" spans="1:8" x14ac:dyDescent="0.25">
      <c r="A21" s="29"/>
      <c r="B21" s="30"/>
      <c r="C21" s="45">
        <v>50465</v>
      </c>
      <c r="D21" s="47">
        <f t="shared" si="1"/>
        <v>5574.6383999999998</v>
      </c>
    </row>
    <row r="22" spans="1:8" x14ac:dyDescent="0.25">
      <c r="A22" s="29"/>
      <c r="B22" s="30"/>
      <c r="C22" s="45">
        <v>50830</v>
      </c>
      <c r="D22" s="47">
        <f t="shared" si="1"/>
        <v>5574.6383999999998</v>
      </c>
    </row>
    <row r="23" spans="1:8" x14ac:dyDescent="0.25">
      <c r="A23" s="29"/>
      <c r="B23" s="30"/>
      <c r="C23" s="45">
        <v>51196</v>
      </c>
      <c r="D23" s="47">
        <f t="shared" si="1"/>
        <v>5574.6383999999998</v>
      </c>
    </row>
    <row r="24" spans="1:8" x14ac:dyDescent="0.25">
      <c r="A24" s="29"/>
      <c r="B24" s="30"/>
      <c r="C24" s="45">
        <v>51561</v>
      </c>
      <c r="D24" s="47">
        <f t="shared" si="1"/>
        <v>5574.6383999999998</v>
      </c>
    </row>
    <row r="25" spans="1:8" x14ac:dyDescent="0.25">
      <c r="A25" s="29"/>
      <c r="B25" s="30"/>
      <c r="C25" s="45">
        <v>51926</v>
      </c>
      <c r="D25" s="47">
        <f t="shared" si="1"/>
        <v>5574.6383999999998</v>
      </c>
    </row>
    <row r="26" spans="1:8" x14ac:dyDescent="0.25">
      <c r="A26" s="29"/>
      <c r="B26" s="30"/>
      <c r="C26" s="45">
        <v>52291</v>
      </c>
      <c r="D26" s="47">
        <f t="shared" si="1"/>
        <v>5574.6383999999998</v>
      </c>
    </row>
    <row r="27" spans="1:8" x14ac:dyDescent="0.25">
      <c r="A27" s="29"/>
      <c r="B27" s="30" t="s">
        <v>53</v>
      </c>
      <c r="C27" s="45">
        <v>52657</v>
      </c>
      <c r="D27" s="47">
        <f t="shared" si="1"/>
        <v>5574.6383999999998</v>
      </c>
    </row>
    <row r="28" spans="1:8" x14ac:dyDescent="0.25">
      <c r="A28" s="29"/>
      <c r="B28" s="30">
        <f>XIRR(D3:D28,C3:C28)</f>
        <v>6.5773609280586245E-2</v>
      </c>
      <c r="C28" s="45">
        <v>52657</v>
      </c>
      <c r="D28" s="47">
        <v>94080</v>
      </c>
      <c r="E28" s="28" t="s">
        <v>58</v>
      </c>
      <c r="F28" s="34"/>
      <c r="G28" s="34"/>
      <c r="H28" s="34"/>
    </row>
    <row r="29" spans="1:8" x14ac:dyDescent="0.25">
      <c r="A29" s="29"/>
      <c r="B29" s="30"/>
      <c r="C29" s="45"/>
      <c r="D29" s="47"/>
      <c r="E29" s="34" t="s">
        <v>51</v>
      </c>
    </row>
    <row r="31" spans="1:8" x14ac:dyDescent="0.25">
      <c r="A31" s="29"/>
      <c r="B31" s="30" t="s">
        <v>61</v>
      </c>
    </row>
    <row r="32" spans="1:8" x14ac:dyDescent="0.25">
      <c r="B32" s="28" t="s">
        <v>63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DB8D-88AD-45FA-A854-BC1C8DC366C2}">
  <dimension ref="A2:L31"/>
  <sheetViews>
    <sheetView workbookViewId="0">
      <selection activeCell="F22" sqref="F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8.28515625" customWidth="1"/>
    <col min="6" max="6" width="17.85546875" bestFit="1" customWidth="1"/>
    <col min="10" max="10" width="7.140625" bestFit="1" customWidth="1"/>
    <col min="11" max="11" width="6" style="18" bestFit="1" customWidth="1"/>
  </cols>
  <sheetData>
    <row r="2" spans="1:12" x14ac:dyDescent="0.25">
      <c r="C2" s="13"/>
      <c r="D2" s="10" t="s">
        <v>2</v>
      </c>
      <c r="F2" s="10" t="s">
        <v>48</v>
      </c>
      <c r="G2" s="49">
        <v>410000</v>
      </c>
    </row>
    <row r="3" spans="1:12" x14ac:dyDescent="0.25">
      <c r="A3" s="5"/>
      <c r="B3" s="2"/>
      <c r="C3" s="11">
        <v>45597</v>
      </c>
      <c r="D3" s="12">
        <f>-24%*G2</f>
        <v>-98400</v>
      </c>
      <c r="E3" t="s">
        <v>44</v>
      </c>
      <c r="F3" s="10" t="s">
        <v>13</v>
      </c>
      <c r="G3" s="53">
        <v>0.02</v>
      </c>
      <c r="H3" t="s">
        <v>70</v>
      </c>
    </row>
    <row r="4" spans="1:12" x14ac:dyDescent="0.25">
      <c r="A4" s="5"/>
      <c r="B4" s="2"/>
      <c r="C4" s="11">
        <v>45689</v>
      </c>
      <c r="D4" s="50">
        <f>G3*G2</f>
        <v>8200</v>
      </c>
      <c r="E4" t="s">
        <v>45</v>
      </c>
      <c r="F4" s="40" t="s">
        <v>60</v>
      </c>
      <c r="G4" s="52">
        <v>3.3799999999999997E-2</v>
      </c>
    </row>
    <row r="5" spans="1:12" x14ac:dyDescent="0.25">
      <c r="A5" s="5"/>
      <c r="B5" s="2"/>
      <c r="C5" s="11"/>
      <c r="D5" s="10"/>
      <c r="F5" s="10" t="s">
        <v>67</v>
      </c>
      <c r="G5" s="14">
        <v>0.03</v>
      </c>
      <c r="I5">
        <v>0.75</v>
      </c>
      <c r="J5" s="2">
        <v>2.53E-2</v>
      </c>
      <c r="K5" s="18">
        <f>$G$6*I5*J5</f>
        <v>5912.61</v>
      </c>
    </row>
    <row r="6" spans="1:12" x14ac:dyDescent="0.25">
      <c r="A6" s="5"/>
      <c r="B6" s="2"/>
      <c r="C6" s="11">
        <v>46174</v>
      </c>
      <c r="D6" s="51">
        <f>-K8</f>
        <v>-24078.89</v>
      </c>
      <c r="E6" t="s">
        <v>47</v>
      </c>
      <c r="F6" s="10" t="s">
        <v>12</v>
      </c>
      <c r="G6" s="49">
        <f>G2+D3</f>
        <v>311600</v>
      </c>
      <c r="I6">
        <v>1</v>
      </c>
      <c r="J6" s="2">
        <v>2.3300000000000001E-2</v>
      </c>
      <c r="K6" s="18">
        <f>$G$6*I6*J6</f>
        <v>7260.2800000000007</v>
      </c>
    </row>
    <row r="7" spans="1:12" x14ac:dyDescent="0.25">
      <c r="A7" s="77" t="s">
        <v>57</v>
      </c>
      <c r="B7" s="78"/>
      <c r="C7" s="11"/>
      <c r="D7" s="10"/>
      <c r="F7" s="10" t="s">
        <v>11</v>
      </c>
      <c r="G7" s="14">
        <v>0.02</v>
      </c>
      <c r="I7">
        <f>14/12</f>
        <v>1.1666666666666667</v>
      </c>
      <c r="J7" s="2">
        <f>G5</f>
        <v>0.03</v>
      </c>
      <c r="K7" s="18">
        <f>$G$6*I7*J7</f>
        <v>10906</v>
      </c>
      <c r="L7" t="s">
        <v>68</v>
      </c>
    </row>
    <row r="8" spans="1:12" x14ac:dyDescent="0.25">
      <c r="A8" s="28" t="s">
        <v>55</v>
      </c>
      <c r="B8" s="43" t="s">
        <v>54</v>
      </c>
      <c r="C8" s="11">
        <v>46692</v>
      </c>
      <c r="D8" s="51">
        <f>G4*$G$2</f>
        <v>13857.999999999998</v>
      </c>
      <c r="E8" t="s">
        <v>46</v>
      </c>
      <c r="F8" s="15"/>
      <c r="G8" s="15"/>
      <c r="J8" s="9"/>
      <c r="K8" s="18">
        <f>SUM(K5:K7)</f>
        <v>24078.89</v>
      </c>
    </row>
    <row r="9" spans="1:12" x14ac:dyDescent="0.25">
      <c r="A9" s="5">
        <f>SUM($D$3:D9)</f>
        <v>-100420.89</v>
      </c>
      <c r="B9" s="5">
        <f>A9-D3</f>
        <v>-2020.8899999999994</v>
      </c>
      <c r="C9" s="11">
        <v>46692</v>
      </c>
      <c r="D9" s="51">
        <f>-$D$3*0</f>
        <v>0</v>
      </c>
      <c r="E9" s="6" t="s">
        <v>71</v>
      </c>
    </row>
    <row r="10" spans="1:12" x14ac:dyDescent="0.25">
      <c r="A10" s="5"/>
      <c r="C10" s="11"/>
      <c r="D10" s="51"/>
      <c r="E10" s="6"/>
    </row>
    <row r="11" spans="1:12" x14ac:dyDescent="0.25">
      <c r="A11" s="5">
        <f>SUM($D$3:D11)</f>
        <v>-92794.89</v>
      </c>
      <c r="B11" s="2"/>
      <c r="C11" s="11">
        <v>47058</v>
      </c>
      <c r="D11" s="51">
        <f t="shared" ref="D11:D27" si="0">$G$4*$G$2-$G$7*$G$6</f>
        <v>7625.9999999999982</v>
      </c>
      <c r="E11" t="s">
        <v>69</v>
      </c>
    </row>
    <row r="12" spans="1:12" x14ac:dyDescent="0.25">
      <c r="A12" s="5">
        <f>SUM($D$3:D12)</f>
        <v>-85168.89</v>
      </c>
      <c r="B12" s="2"/>
      <c r="C12" s="11">
        <v>47423</v>
      </c>
      <c r="D12" s="51">
        <f t="shared" si="0"/>
        <v>7625.9999999999982</v>
      </c>
      <c r="F12" s="8"/>
      <c r="G12" s="8"/>
      <c r="H12" s="8"/>
      <c r="I12" s="8"/>
    </row>
    <row r="13" spans="1:12" x14ac:dyDescent="0.25">
      <c r="A13" s="5">
        <f>SUM($D$3:D13)</f>
        <v>-77542.89</v>
      </c>
      <c r="B13" s="2"/>
      <c r="C13" s="11">
        <v>47788</v>
      </c>
      <c r="D13" s="51">
        <f t="shared" si="0"/>
        <v>7625.9999999999982</v>
      </c>
      <c r="F13" s="8"/>
      <c r="G13" s="8"/>
      <c r="H13" s="8"/>
      <c r="I13" s="8"/>
    </row>
    <row r="14" spans="1:12" x14ac:dyDescent="0.25">
      <c r="A14" s="5">
        <f>SUM($D$3:D14)</f>
        <v>-69916.89</v>
      </c>
      <c r="B14" s="8" t="s">
        <v>49</v>
      </c>
      <c r="C14" s="11">
        <v>48153</v>
      </c>
      <c r="D14" s="51">
        <f t="shared" si="0"/>
        <v>7625.9999999999982</v>
      </c>
      <c r="H14" s="8"/>
      <c r="I14" s="8"/>
    </row>
    <row r="15" spans="1:12" x14ac:dyDescent="0.25">
      <c r="A15" s="5">
        <f>SUM($D$3:D15)</f>
        <v>-62290.89</v>
      </c>
      <c r="B15" s="27">
        <f>-D15/D3</f>
        <v>7.7499999999999986E-2</v>
      </c>
      <c r="C15" s="11">
        <v>48519</v>
      </c>
      <c r="D15" s="51">
        <f t="shared" si="0"/>
        <v>7625.9999999999982</v>
      </c>
    </row>
    <row r="16" spans="1:12" x14ac:dyDescent="0.25">
      <c r="A16" s="5">
        <f>SUM($D$3:D16)</f>
        <v>-54664.89</v>
      </c>
      <c r="B16" s="2"/>
      <c r="C16" s="11">
        <v>48884</v>
      </c>
      <c r="D16" s="51">
        <f t="shared" si="0"/>
        <v>7625.9999999999982</v>
      </c>
    </row>
    <row r="17" spans="1:7" x14ac:dyDescent="0.25">
      <c r="A17" s="5">
        <f>SUM($D$3:D17)</f>
        <v>-47038.89</v>
      </c>
      <c r="B17" s="2"/>
      <c r="C17" s="11">
        <v>49249</v>
      </c>
      <c r="D17" s="51">
        <f t="shared" si="0"/>
        <v>7625.9999999999982</v>
      </c>
    </row>
    <row r="18" spans="1:7" x14ac:dyDescent="0.25">
      <c r="A18" s="5">
        <f>SUM($D$3:D18)</f>
        <v>-39412.89</v>
      </c>
      <c r="B18" s="2"/>
      <c r="C18" s="11">
        <v>49614</v>
      </c>
      <c r="D18" s="51">
        <f t="shared" si="0"/>
        <v>7625.9999999999982</v>
      </c>
    </row>
    <row r="19" spans="1:7" x14ac:dyDescent="0.25">
      <c r="A19" s="5">
        <f>SUM($D$3:D19)</f>
        <v>-31786.89</v>
      </c>
      <c r="B19" s="2"/>
      <c r="C19" s="11">
        <v>49980</v>
      </c>
      <c r="D19" s="51">
        <f t="shared" si="0"/>
        <v>7625.9999999999982</v>
      </c>
    </row>
    <row r="20" spans="1:7" x14ac:dyDescent="0.25">
      <c r="A20" s="5">
        <f>SUM($D$3:D20)</f>
        <v>-24160.89</v>
      </c>
      <c r="B20" s="2"/>
      <c r="C20" s="11">
        <v>50345</v>
      </c>
      <c r="D20" s="51">
        <f t="shared" si="0"/>
        <v>7625.9999999999982</v>
      </c>
    </row>
    <row r="21" spans="1:7" x14ac:dyDescent="0.25">
      <c r="A21" s="5">
        <f>SUM($D$3:D21)</f>
        <v>-16534.89</v>
      </c>
      <c r="B21" s="2"/>
      <c r="C21" s="11">
        <v>50710</v>
      </c>
      <c r="D21" s="51">
        <f t="shared" si="0"/>
        <v>7625.9999999999982</v>
      </c>
    </row>
    <row r="22" spans="1:7" x14ac:dyDescent="0.25">
      <c r="A22" s="5">
        <f>SUM($D$3:D22)</f>
        <v>-8908.8900000000012</v>
      </c>
      <c r="B22" s="2"/>
      <c r="C22" s="11">
        <v>51075</v>
      </c>
      <c r="D22" s="51">
        <f t="shared" si="0"/>
        <v>7625.9999999999982</v>
      </c>
    </row>
    <row r="23" spans="1:7" x14ac:dyDescent="0.25">
      <c r="A23" s="5">
        <f>SUM($D$3:D23)</f>
        <v>-1282.8900000000031</v>
      </c>
      <c r="B23" s="2"/>
      <c r="C23" s="11">
        <v>51441</v>
      </c>
      <c r="D23" s="51">
        <f t="shared" si="0"/>
        <v>7625.9999999999982</v>
      </c>
    </row>
    <row r="24" spans="1:7" x14ac:dyDescent="0.25">
      <c r="A24" s="5">
        <f>SUM($D$3:D24)</f>
        <v>6343.1099999999951</v>
      </c>
      <c r="B24" s="2"/>
      <c r="C24" s="11">
        <v>51806</v>
      </c>
      <c r="D24" s="51">
        <f t="shared" si="0"/>
        <v>7625.9999999999982</v>
      </c>
    </row>
    <row r="25" spans="1:7" x14ac:dyDescent="0.25">
      <c r="A25" s="5">
        <f>SUM($D$3:D25)</f>
        <v>13969.109999999993</v>
      </c>
      <c r="B25" s="2"/>
      <c r="C25" s="11">
        <v>52171</v>
      </c>
      <c r="D25" s="51">
        <f t="shared" si="0"/>
        <v>7625.9999999999982</v>
      </c>
    </row>
    <row r="26" spans="1:7" x14ac:dyDescent="0.25">
      <c r="A26" s="5">
        <f>SUM($D$3:D26)</f>
        <v>21595.109999999993</v>
      </c>
      <c r="B26" s="2"/>
      <c r="C26" s="11">
        <v>52536</v>
      </c>
      <c r="D26" s="51">
        <f t="shared" si="0"/>
        <v>7625.9999999999982</v>
      </c>
    </row>
    <row r="27" spans="1:7" x14ac:dyDescent="0.25">
      <c r="A27" s="5">
        <f>SUM($D$3:D27)</f>
        <v>29221.109999999993</v>
      </c>
      <c r="B27" s="2" t="s">
        <v>50</v>
      </c>
      <c r="C27" s="11">
        <v>52902</v>
      </c>
      <c r="D27" s="51">
        <f t="shared" si="0"/>
        <v>7625.9999999999982</v>
      </c>
    </row>
    <row r="28" spans="1:7" x14ac:dyDescent="0.25">
      <c r="A28" s="5">
        <f>SUM($D$3:D28)</f>
        <v>127621.10999999999</v>
      </c>
      <c r="B28" s="2">
        <f>XIRR(D3:D28,C3:C28)</f>
        <v>5.6375792622566229E-2</v>
      </c>
      <c r="C28" s="11">
        <v>53267</v>
      </c>
      <c r="D28" s="51">
        <f>-D3</f>
        <v>98400</v>
      </c>
      <c r="E28" s="6" t="str">
        <f>E9</f>
        <v>surrender FWD to wipe out loan</v>
      </c>
      <c r="F28" s="6"/>
      <c r="G28" s="6"/>
    </row>
    <row r="29" spans="1:7" x14ac:dyDescent="0.25">
      <c r="A29" s="5"/>
      <c r="B29" s="2"/>
    </row>
    <row r="31" spans="1:7" x14ac:dyDescent="0.25">
      <c r="A31" s="5"/>
      <c r="B31" s="2"/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5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62" t="s">
        <v>72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x14ac:dyDescent="0.25">
      <c r="A4" s="1">
        <v>37257</v>
      </c>
      <c r="B4">
        <v>3</v>
      </c>
      <c r="E4" s="62" t="s">
        <v>74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18" x14ac:dyDescent="0.25">
      <c r="A5" s="1">
        <v>37622</v>
      </c>
      <c r="B5">
        <v>3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1:18" x14ac:dyDescent="0.25">
      <c r="A6" s="1">
        <v>37987</v>
      </c>
      <c r="B6">
        <v>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FWD300</vt:lpstr>
      <vt:lpstr>overlap ptf</vt:lpstr>
      <vt:lpstr>FLI2</vt:lpstr>
      <vt:lpstr>FLI2PF 317</vt:lpstr>
      <vt:lpstr>FWD41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2024-11-05T13:29:26Z</dcterms:modified>
</cp:coreProperties>
</file>