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FA8A187-FF7E-48F7-B352-852BCB48D4BC}" xr6:coauthVersionLast="38" xr6:coauthVersionMax="38" xr10:uidLastSave="{00000000-0000-0000-0000-000000000000}"/>
  <bookViews>
    <workbookView xWindow="6852" yWindow="2088" windowWidth="21240" windowHeight="11832" tabRatio="673" firstSheet="7" activeTab="10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G33" i="32" l="1"/>
  <c r="KE24" i="32" l="1"/>
  <c r="KG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F6" i="47"/>
  <c r="F24" i="47" s="1"/>
  <c r="I25" i="47" s="1"/>
  <c r="I5" i="47" l="1"/>
  <c r="D17" i="47"/>
  <c r="D13" i="47" l="1"/>
  <c r="C12" i="47"/>
  <c r="C15" i="47" s="1"/>
  <c r="KE25" i="32"/>
  <c r="H23" i="47" l="1"/>
  <c r="H10" i="47"/>
  <c r="B14" i="47"/>
  <c r="F15" i="47"/>
  <c r="KE35" i="32" l="1"/>
  <c r="KE31" i="32" l="1"/>
  <c r="F8" i="47" l="1"/>
  <c r="D7" i="47"/>
  <c r="D8" i="47" s="1"/>
  <c r="J20" i="47" l="1"/>
  <c r="J9" i="47"/>
  <c r="J11" i="47"/>
  <c r="J17" i="47"/>
  <c r="J7" i="47"/>
  <c r="J6" i="47"/>
  <c r="J8" i="47"/>
  <c r="J24" i="47"/>
  <c r="J12" i="47"/>
  <c r="J15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4" i="32" l="1"/>
  <c r="KI3" i="32"/>
  <c r="KI2" i="32" s="1"/>
  <c r="KC5" i="32"/>
  <c r="KC4" i="32"/>
  <c r="KE9" i="32"/>
  <c r="KC2" i="32" l="1"/>
  <c r="D20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P35" i="44" l="1"/>
  <c r="L35" i="44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<sst xmlns="http://schemas.openxmlformats.org/spreadsheetml/2006/main" count="7498" uniqueCount="3086">
  <si>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</si>
  <si>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</si>
  <si>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</si>
  <si>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</si>
  <si>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</si>
  <si>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</si>
  <si>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</si>
  <si>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</si>
  <si>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</si>
  <si>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</si>
  <si>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</si>
  <si>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</si>
  <si>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</si>
  <si>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</si>
  <si>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</si>
  <si>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</si>
  <si>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</si>
  <si>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</si>
  <si>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</si>
  <si>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</si>
  <si>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</si>
  <si>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</si>
  <si>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</si>
  <si>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</si>
  <si>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</si>
  <si>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</si>
  <si>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</si>
  <si>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</si>
  <si>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</si>
  <si>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</si>
  <si>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</si>
  <si>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</si>
  <si>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</si>
  <si>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</si>
  <si>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</si>
  <si>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</si>
  <si>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</si>
  <si>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</si>
  <si>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</si>
  <si>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</si>
  <si>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</si>
  <si>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</si>
  <si>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</si>
  <si>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</si>
  <si>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</si>
  <si>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</si>
  <si>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</si>
  <si>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</si>
  <si>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</si>
  <si>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</si>
  <si>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</si>
  <si>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</si>
  <si>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</si>
  <si>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</si>
  <si>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</si>
  <si>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</si>
  <si>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</si>
  <si>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</si>
  <si>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</si>
  <si>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</si>
  <si>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</si>
  <si>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</si>
  <si>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</si>
  <si>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</si>
  <si>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</si>
  <si>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</si>
  <si>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</si>
  <si>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</si>
  <si>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</si>
  <si>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</si>
  <si>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</si>
  <si>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</si>
  <si>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</si>
  <si>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</si>
  <si>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</si>
  <si>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</si>
  <si>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</si>
  <si>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</si>
  <si>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</si>
  <si>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</si>
  <si>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</si>
  <si>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</si>
  <si>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</si>
  <si>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</si>
  <si>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</si>
  <si>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</si>
  <si>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</si>
  <si>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</si>
  <si>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</si>
  <si>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</si>
  <si>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</si>
  <si>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</si>
  <si>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</si>
  <si>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</si>
  <si>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</si>
  <si>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</si>
  <si>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</si>
  <si>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</si>
  <si>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</si>
  <si>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</si>
  <si>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</si>
  <si>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</si>
  <si>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</si>
  <si>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</si>
  <si>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</si>
  <si>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</si>
  <si>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</si>
  <si>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</si>
  <si>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</si>
  <si>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</si>
  <si>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</si>
  <si>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</si>
  <si>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</si>
  <si>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</si>
  <si>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</si>
  <si>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</si>
  <si>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</si>
  <si>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</si>
  <si>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</si>
  <si>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</si>
  <si>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</si>
  <si>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</si>
  <si>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</si>
  <si>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</si>
  <si>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</si>
  <si>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</si>
  <si>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</si>
  <si>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</si>
  <si>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</si>
  <si>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</si>
  <si>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</si>
  <si>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</si>
  <si>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</si>
  <si>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</si>
  <si>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</si>
  <si>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</si>
  <si>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</si>
  <si>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</si>
  <si>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</si>
  <si>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</si>
  <si>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</si>
  <si>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</si>
  <si>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</si>
  <si>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</si>
  <si>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</si>
  <si>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</si>
  <si>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</si>
  <si>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</si>
  <si>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</si>
  <si>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</si>
  <si>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</si>
  <si>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</si>
  <si>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</si>
  <si>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</si>
  <si>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</si>
  <si>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</si>
  <si>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</si>
  <si>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</si>
  <si>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</si>
  <si>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</si>
  <si>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</si>
  <si>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</si>
  <si>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</si>
  <si>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</si>
  <si>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</si>
  <si>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</si>
  <si>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</si>
  <si>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</si>
  <si>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</si>
  <si>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</si>
  <si>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</si>
  <si>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</si>
  <si>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</si>
  <si>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</si>
  <si>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</si>
  <si>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</si>
  <si>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</si>
  <si>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</si>
  <si>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</si>
  <si>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</si>
  <si>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</si>
  <si>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</si>
  <si>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</si>
  <si>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</si>
  <si>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</si>
  <si>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</si>
  <si>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</si>
  <si>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</si>
  <si>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</si>
  <si>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</si>
  <si>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</si>
  <si>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</si>
  <si>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</si>
  <si>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</si>
  <si>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</si>
  <si>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</si>
  <si>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</si>
  <si>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</si>
  <si>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</si>
  <si>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</si>
  <si>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</si>
  <si>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</si>
  <si>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</si>
  <si>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</si>
  <si>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</si>
  <si>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</si>
  <si>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</si>
  <si>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</si>
  <si>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</si>
  <si>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</si>
  <si>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</si>
  <si>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</si>
  <si>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</si>
  <si>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</si>
  <si>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</si>
  <si>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</si>
  <si>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</si>
  <si>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</si>
  <si>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</si>
  <si>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</si>
  <si>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</si>
  <si>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</si>
  <si>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</si>
  <si>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</si>
  <si>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</si>
  <si>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</si>
  <si>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</si>
  <si>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</si>
  <si>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</si>
  <si>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</si>
  <si>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</si>
  <si>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</si>
  <si>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</si>
  <si>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</si>
  <si>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</si>
  <si>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</si>
  <si>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</si>
  <si>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</si>
  <si>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</si>
  <si>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</si>
  <si>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</si>
  <si>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</si>
  <si>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</si>
  <si>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</si>
  <si>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</si>
  <si>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</si>
  <si>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</si>
  <si>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</si>
  <si>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</si>
  <si>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</si>
  <si>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</si>
  <si>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</si>
  <si>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</si>
  <si>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</si>
  <si>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</si>
  <si>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</si>
  <si>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</si>
  <si>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</si>
  <si>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</si>
  <si>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</si>
  <si>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</si>
  <si>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</si>
  <si>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</si>
  <si>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</si>
  <si>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</si>
  <si>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</si>
  <si>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</si>
  <si>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</si>
  <si>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</si>
  <si>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</si>
  <si>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</si>
  <si>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</si>
  <si>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</si>
  <si>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</si>
  <si>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</si>
  <si>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</si>
  <si>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</si>
  <si>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</si>
  <si>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</si>
  <si>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</si>
  <si>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</si>
  <si>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</si>
  <si>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</si>
  <si>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</si>
  <si>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</si>
  <si>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</si>
  <si>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</si>
  <si>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</si>
  <si>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</si>
  <si>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</si>
  <si>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</si>
  <si>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</si>
  <si>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</si>
  <si>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</si>
  <si>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</si>
  <si>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</si>
  <si>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</si>
  <si>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</si>
  <si>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</si>
  <si>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</si>
  <si>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</si>
  <si>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</si>
  <si>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</si>
  <si>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</si>
  <si>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</si>
  <si>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</si>
  <si>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</si>
  <si>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</si>
  <si>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</si>
  <si>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</si>
  <si>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</si>
  <si>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</si>
  <si>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</si>
  <si>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</si>
  <si>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</si>
  <si>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</si>
  <si>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</si>
  <si>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</si>
  <si>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</si>
  <si>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</si>
  <si>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</si>
  <si>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</si>
  <si>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</si>
  <si>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</si>
  <si>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</si>
  <si>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</si>
  <si>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</si>
  <si>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</si>
  <si>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</si>
  <si>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</si>
  <si>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</si>
  <si>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</si>
  <si>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</si>
  <si>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</si>
  <si>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</si>
  <si>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</si>
  <si>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</si>
  <si>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</si>
  <si>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</si>
  <si>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</si>
  <si>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</si>
  <si>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</si>
  <si>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</si>
  <si>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</si>
  <si>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</si>
  <si>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</si>
  <si>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</si>
  <si>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</si>
  <si>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</si>
  <si>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</si>
  <si>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</si>
  <si>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</si>
  <si>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</si>
  <si>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</si>
  <si>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</si>
  <si>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</si>
  <si>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</si>
  <si>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</si>
  <si>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</si>
  <si>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</si>
  <si>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</si>
  <si>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</si>
  <si>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</si>
  <si>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</si>
  <si>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</si>
  <si>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</si>
  <si>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</si>
  <si>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</si>
  <si>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</si>
  <si>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</si>
  <si>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</si>
  <si>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</si>
  <si>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</si>
  <si>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</si>
  <si>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</si>
  <si>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</si>
  <si>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</si>
  <si>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</si>
  <si>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</si>
  <si>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</si>
  <si>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</si>
  <si>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</si>
  <si>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</si>
  <si>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</si>
  <si>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</si>
  <si>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</si>
  <si>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</si>
  <si>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</si>
  <si>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</si>
  <si>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</si>
  <si>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</si>
  <si>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</si>
  <si>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</si>
  <si>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</si>
  <si>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</si>
  <si>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</si>
  <si>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</si>
  <si>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</si>
  <si>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</si>
  <si>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</si>
  <si>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</si>
  <si>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</si>
  <si>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</si>
  <si>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</si>
  <si>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</si>
  <si>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</si>
  <si>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</si>
  <si>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</si>
  <si>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</si>
  <si>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</si>
  <si>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</si>
  <si>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</si>
  <si>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</si>
  <si>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</si>
  <si>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</si>
  <si>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</si>
  <si>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</si>
  <si>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</si>
  <si>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</si>
  <si>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</si>
  <si>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</si>
  <si>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</si>
  <si>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</si>
  <si>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</si>
  <si>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</si>
  <si>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</si>
  <si>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</si>
  <si>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</si>
  <si>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</si>
  <si>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</si>
  <si>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</si>
  <si>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</si>
  <si>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</si>
  <si>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</si>
  <si>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</si>
  <si>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</si>
  <si>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</si>
  <si>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</si>
  <si>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</si>
  <si>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</si>
  <si>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</si>
  <si>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</si>
  <si>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</si>
  <si>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</si>
  <si>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</si>
  <si>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</si>
  <si>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</si>
  <si>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</si>
  <si>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</si>
  <si>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</si>
  <si>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</si>
  <si>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</si>
  <si>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</si>
  <si>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</si>
  <si>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</si>
  <si>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</si>
  <si>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</si>
  <si>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</si>
  <si>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</si>
  <si>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</si>
  <si>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</si>
  <si>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</si>
  <si>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</si>
  <si>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</si>
  <si>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</si>
  <si>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</si>
  <si>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</si>
  <si>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</si>
  <si>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</si>
  <si>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</si>
  <si>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</si>
  <si>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</si>
  <si>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</si>
  <si>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</si>
  <si>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</si>
  <si>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</si>
  <si>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</si>
  <si>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</si>
  <si>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</si>
  <si>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</si>
  <si>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</si>
  <si>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</si>
  <si>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</si>
  <si>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</si>
  <si>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</si>
  <si>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</si>
  <si>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</si>
  <si>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</si>
  <si>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</si>
  <si>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</si>
  <si>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</si>
  <si>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</si>
  <si>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</si>
  <si>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</si>
  <si>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</si>
  <si>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</si>
  <si>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</si>
  <si>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</si>
  <si>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</si>
  <si>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</si>
  <si>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</si>
  <si>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</si>
  <si>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</si>
  <si>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</si>
  <si>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</si>
  <si>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</si>
  <si>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</si>
  <si>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</si>
  <si>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</si>
  <si>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</si>
  <si>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</si>
  <si>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</si>
  <si>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</si>
  <si>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</si>
  <si>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</si>
  <si>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</si>
  <si>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</si>
  <si>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</si>
  <si>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</si>
  <si>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</si>
  <si>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</si>
  <si>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</si>
  <si>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</si>
  <si>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</si>
  <si>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</si>
  <si>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</si>
  <si>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</si>
  <si>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</si>
  <si>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</si>
  <si>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</si>
  <si>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</si>
  <si>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</si>
  <si>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</si>
  <si>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</si>
  <si>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</si>
  <si>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</si>
  <si>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</si>
  <si>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</si>
  <si>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</si>
  <si>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</si>
  <si>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</si>
  <si>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</si>
  <si>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</si>
  <si>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</si>
  <si>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</si>
  <si>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</si>
  <si>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</si>
  <si>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</si>
  <si>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</si>
  <si>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</si>
  <si>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</si>
  <si>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</si>
  <si>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</si>
  <si>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</si>
  <si>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</si>
  <si>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</si>
  <si>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</si>
  <si>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</si>
  <si>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</si>
  <si>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</si>
  <si>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</si>
  <si>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</si>
  <si>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</si>
  <si>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</si>
  <si>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</si>
  <si>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</si>
  <si>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</si>
  <si>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</si>
  <si>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</si>
  <si>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</si>
  <si>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</si>
  <si>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</si>
  <si>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</si>
  <si>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</si>
  <si>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</si>
  <si>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</si>
  <si>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</si>
  <si>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</si>
  <si>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</si>
  <si>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</si>
  <si>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</si>
  <si>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</si>
  <si>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</si>
  <si>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</si>
  <si>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</si>
  <si>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</si>
  <si>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</si>
  <si>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</si>
  <si>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</si>
  <si>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</si>
  <si>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</si>
  <si>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</si>
  <si>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</si>
  <si>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</si>
  <si>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</si>
  <si>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</si>
  <si>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</si>
  <si>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</si>
  <si>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</si>
  <si>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</si>
  <si>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</si>
  <si>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</si>
  <si>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</si>
  <si>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</si>
  <si>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</si>
  <si>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</si>
  <si>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</si>
  <si>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</si>
  <si>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</si>
  <si>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</si>
  <si>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</si>
  <si>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</si>
  <si>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</si>
  <si>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</si>
  <si>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</si>
  <si>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</si>
  <si>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</si>
  <si>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</si>
  <si>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</si>
  <si>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</si>
  <si>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</si>
  <si>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</si>
  <si>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</si>
  <si>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</si>
  <si>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</si>
  <si>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</si>
  <si>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</si>
  <si>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</si>
  <si>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</si>
  <si>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</si>
  <si>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</si>
  <si>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</si>
  <si>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</si>
  <si>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</si>
  <si>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</si>
  <si>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</si>
  <si>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</si>
  <si>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</si>
  <si>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</si>
  <si>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</si>
  <si>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</si>
  <si>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</si>
  <si>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</si>
  <si>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</si>
  <si>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</si>
  <si>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</si>
  <si>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</si>
  <si>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</si>
  <si>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</si>
  <si>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</si>
  <si>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</si>
  <si>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</si>
  <si>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</si>
  <si>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</si>
  <si>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</si>
  <si>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</si>
  <si>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</si>
  <si>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</si>
  <si>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</si>
  <si>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</si>
  <si>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</si>
  <si>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</si>
  <si>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</si>
  <si>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</si>
  <si>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</si>
  <si>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</si>
  <si>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</si>
  <si>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</si>
  <si>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</si>
  <si>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</si>
  <si>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</si>
  <si>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</si>
  <si>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</si>
  <si>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</si>
  <si>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</si>
  <si>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</si>
  <si>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</si>
  <si>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</si>
  <si>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</si>
  <si>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</si>
  <si>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</si>
  <si>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</si>
  <si>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</si>
  <si>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</si>
  <si>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</si>
  <si>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</si>
  <si>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</si>
  <si>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</si>
  <si>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</si>
  <si>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</si>
  <si>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</si>
  <si>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</si>
  <si>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</si>
  <si>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</si>
  <si>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</si>
  <si>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</si>
  <si>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</si>
  <si>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</si>
  <si>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</si>
  <si>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</si>
  <si>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</si>
  <si>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</si>
  <si>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</si>
  <si>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</si>
  <si>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</si>
  <si>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</si>
  <si>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</si>
  <si>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</si>
  <si>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</si>
  <si>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</si>
  <si>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</si>
  <si>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</si>
  <si>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</si>
  <si>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</si>
  <si>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</si>
  <si>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</si>
  <si>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</si>
  <si>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</si>
  <si>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</si>
  <si>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</si>
  <si>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</si>
  <si>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</si>
  <si>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</si>
  <si>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</si>
  <si>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</si>
  <si>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</si>
  <si>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</si>
  <si>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</si>
  <si>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</si>
  <si>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</si>
  <si>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</si>
  <si>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</si>
  <si>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</si>
  <si>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</si>
  <si>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</si>
  <si>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</si>
  <si>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</si>
  <si>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</si>
  <si>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</si>
  <si>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</si>
  <si>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</si>
  <si>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</si>
  <si>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</si>
  <si>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</si>
  <si>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</si>
  <si>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</si>
  <si>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</si>
  <si>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</si>
  <si>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</si>
  <si>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</si>
  <si>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</si>
  <si>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</si>
  <si>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</si>
  <si>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</si>
  <si>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</si>
  <si>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</si>
  <si>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</si>
  <si>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</si>
  <si>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</si>
  <si>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</si>
  <si>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</si>
  <si>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</si>
  <si>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</si>
  <si>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</si>
  <si>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</si>
  <si>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</si>
  <si>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</si>
  <si>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</si>
  <si>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</si>
  <si>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</si>
  <si>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</si>
  <si>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</si>
  <si>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</si>
  <si>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</si>
  <si>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</si>
  <si>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</si>
  <si>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</si>
  <si>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</si>
  <si>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</si>
  <si>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</si>
  <si>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</si>
  <si>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</si>
  <si>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</si>
  <si>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</si>
  <si>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</si>
  <si>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</si>
  <si>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</si>
  <si>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</si>
  <si>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</si>
  <si>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</si>
  <si>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</si>
  <si>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</si>
  <si>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</si>
  <si>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</si>
  <si>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</si>
  <si>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</si>
  <si>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</si>
  <si>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</si>
  <si>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</si>
  <si>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</si>
  <si>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</si>
  <si>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</si>
  <si>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</si>
  <si>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</si>
  <si>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</si>
  <si>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</si>
  <si>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</si>
  <si>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</si>
  <si>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</si>
  <si>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</si>
  <si>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</si>
  <si>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</si>
  <si>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</si>
  <si>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</si>
  <si>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</si>
  <si>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</si>
  <si>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</si>
  <si>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</si>
  <si>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</si>
  <si>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</si>
  <si>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</si>
  <si>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</si>
  <si>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</si>
  <si>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</si>
  <si>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</si>
  <si>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</si>
  <si>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</si>
  <si>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</si>
  <si>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</si>
  <si>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</si>
  <si>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</si>
  <si>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</si>
  <si>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</si>
  <si>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</si>
  <si>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</si>
  <si>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</si>
  <si>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</si>
  <si>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</si>
  <si>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</si>
  <si>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</si>
  <si>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</si>
  <si>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</si>
  <si>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</si>
  <si>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</si>
  <si>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</si>
  <si>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</si>
  <si>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</si>
  <si>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</si>
  <si>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</si>
  <si>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</si>
  <si>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</si>
  <si>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</si>
  <si>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</si>
  <si>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</si>
  <si>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</si>
  <si>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</si>
  <si>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</si>
  <si>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</si>
  <si>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</si>
  <si>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</si>
  <si>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</si>
  <si>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</si>
  <si>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</si>
  <si>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</si>
  <si>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</si>
  <si>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</si>
  <si>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</si>
  <si>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</si>
  <si>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</si>
  <si>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</si>
  <si>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</si>
  <si>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</si>
  <si>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</si>
  <si>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</si>
  <si>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</si>
  <si>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</si>
  <si>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</si>
  <si>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</si>
  <si>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</si>
  <si>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</si>
  <si>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</si>
  <si>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</si>
  <si>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</si>
  <si>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</si>
  <si>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</si>
  <si>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</si>
  <si>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</si>
  <si>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</si>
  <si>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</si>
  <si>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</si>
  <si>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</si>
  <si>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</si>
  <si>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</si>
  <si>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</si>
  <si>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</si>
  <si>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</si>
  <si>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</si>
  <si>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</si>
  <si>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</si>
  <si>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</si>
  <si>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</si>
  <si>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</si>
  <si>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</si>
  <si>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</si>
  <si>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</si>
  <si>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</si>
  <si>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</si>
  <si>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</si>
  <si>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</si>
  <si>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</si>
  <si>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</si>
  <si>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</si>
  <si>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</si>
  <si>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</si>
  <si>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</si>
  <si>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</si>
  <si>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</si>
  <si>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</si>
  <si>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</si>
  <si>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</si>
  <si>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</si>
  <si>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</si>
  <si>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</si>
  <si>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</si>
  <si>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</si>
  <si>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</si>
  <si>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</si>
  <si>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</si>
  <si>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</si>
  <si>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</si>
  <si>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</si>
  <si>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</si>
  <si>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</si>
  <si>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</si>
  <si>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</si>
  <si>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</si>
  <si>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</si>
  <si>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</si>
  <si>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</si>
  <si>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</si>
  <si>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</si>
  <si>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</si>
  <si>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</si>
  <si>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</si>
  <si>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</si>
  <si>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</si>
  <si>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</si>
  <si>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</si>
  <si>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</si>
  <si>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</si>
  <si>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</si>
  <si>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</si>
  <si>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</si>
  <si>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</si>
  <si>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</si>
  <si>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</si>
  <si>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</si>
  <si>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</si>
  <si>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</si>
  <si>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</si>
  <si>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</si>
  <si>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</si>
  <si>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</si>
  <si>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</si>
  <si>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</si>
  <si>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</si>
  <si>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</si>
  <si>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</si>
  <si>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</si>
  <si>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</si>
  <si>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</si>
  <si>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</si>
  <si>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</si>
  <si>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</si>
  <si>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</si>
  <si>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</si>
  <si>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</si>
  <si>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</si>
  <si>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</si>
  <si>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</si>
  <si>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</si>
  <si>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</si>
  <si>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</si>
  <si>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</si>
  <si>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</si>
  <si>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</si>
  <si>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</si>
  <si>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</si>
  <si>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</si>
  <si>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</si>
  <si>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</si>
  <si>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</si>
  <si>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</si>
  <si>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</si>
  <si>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</si>
  <si>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</si>
  <si>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</si>
  <si>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</si>
  <si>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</si>
  <si>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</si>
  <si>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</si>
  <si>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</si>
  <si>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</si>
  <si>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</si>
  <si>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</si>
  <si>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</si>
  <si>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</si>
  <si>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</si>
  <si>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</si>
  <si>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</si>
  <si>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</si>
  <si>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</si>
  <si>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</si>
  <si>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</si>
  <si>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</si>
  <si>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</si>
  <si>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</si>
  <si>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</si>
  <si>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</si>
  <si>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</si>
  <si>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</si>
  <si>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</si>
  <si>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</si>
  <si>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</si>
  <si>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</si>
  <si>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</si>
  <si>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</si>
  <si>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</si>
  <si>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</si>
  <si>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</si>
  <si>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</si>
  <si>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</si>
  <si>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</si>
  <si>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</si>
  <si>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</si>
  <si>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</si>
  <si>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</si>
  <si>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</si>
  <si>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</si>
  <si>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</si>
  <si>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</si>
  <si>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</si>
  <si>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</si>
  <si>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</si>
  <si>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</si>
  <si>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</si>
  <si>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</si>
  <si>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</si>
  <si>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</si>
  <si>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</si>
  <si>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</si>
  <si>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</si>
  <si>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</si>
  <si>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</si>
  <si>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</si>
  <si>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</si>
  <si>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</si>
  <si>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</si>
  <si>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</si>
  <si>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</si>
  <si>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</si>
  <si>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</si>
  <si>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</si>
  <si>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</si>
  <si>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</si>
  <si>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</si>
  <si>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</si>
  <si>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</si>
  <si>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</si>
  <si>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</si>
  <si>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</si>
  <si>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</si>
  <si>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</si>
  <si>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</si>
  <si>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</si>
  <si>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</si>
  <si>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</si>
  <si>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</si>
  <si>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</si>
  <si>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</si>
  <si>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</si>
  <si>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</si>
  <si>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</si>
  <si>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</si>
  <si>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</si>
  <si>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</si>
  <si>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</si>
  <si>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</si>
  <si>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</si>
  <si>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</si>
  <si>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</si>
  <si>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</si>
  <si>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</si>
  <si>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</si>
  <si>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</si>
  <si>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</si>
  <si>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</si>
  <si>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</si>
  <si>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</si>
  <si>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</si>
  <si>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</si>
  <si>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</si>
  <si>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</si>
  <si>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</si>
  <si>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</si>
  <si>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</si>
  <si>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</si>
  <si>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</si>
  <si>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</si>
  <si>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</si>
  <si>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</si>
  <si>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</si>
  <si>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</si>
  <si>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</si>
  <si>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</si>
  <si>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</si>
  <si>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</si>
  <si>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</si>
  <si>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</si>
  <si>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</si>
  <si>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</si>
  <si>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</si>
  <si>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</si>
  <si>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</si>
  <si>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</si>
  <si>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</si>
  <si>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</si>
  <si>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</si>
  <si>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</si>
  <si>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</si>
  <si>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</si>
  <si>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</si>
  <si>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</si>
  <si>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</si>
  <si>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</si>
  <si>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</si>
  <si>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</si>
  <si>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</si>
  <si>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</si>
  <si>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</si>
  <si>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</si>
  <si>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</si>
  <si>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</si>
  <si>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</si>
  <si>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</si>
  <si>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</si>
  <si>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</si>
  <si>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</si>
  <si>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</si>
  <si>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</si>
  <si>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</si>
  <si>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</si>
  <si>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</si>
  <si>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</si>
  <si>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</si>
  <si>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</si>
  <si>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</si>
  <si>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</si>
  <si>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</si>
  <si>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</si>
  <si>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</si>
  <si>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</si>
  <si>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</si>
  <si>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</si>
  <si>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</si>
  <si>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</si>
  <si>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</si>
  <si>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</si>
  <si>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</si>
  <si>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</si>
  <si>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</si>
  <si>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</si>
  <si>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</si>
  <si>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</si>
  <si>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</si>
  <si>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</si>
  <si>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</si>
  <si>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</si>
  <si>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</si>
  <si>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</si>
  <si>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</si>
  <si>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</si>
  <si>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</si>
  <si>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</si>
  <si>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</si>
  <si>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</si>
  <si>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</si>
  <si>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</si>
  <si>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</si>
  <si>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</si>
  <si>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</si>
  <si>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</si>
  <si>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</si>
  <si>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</si>
  <si>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</si>
  <si>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</si>
  <si>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</si>
  <si>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</si>
  <si>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</si>
  <si>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</si>
  <si>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</si>
  <si>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</si>
  <si>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</si>
  <si>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</si>
  <si>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</si>
  <si>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</si>
  <si>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</si>
  <si>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</si>
  <si>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</si>
  <si>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</si>
  <si>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</si>
  <si>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</si>
  <si>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</si>
  <si>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</si>
  <si>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</si>
  <si>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</si>
  <si>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</si>
  <si>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</si>
  <si>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</si>
  <si>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</si>
  <si>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</si>
  <si>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</si>
  <si>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</si>
  <si>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</si>
  <si>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</si>
  <si>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</si>
  <si>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</si>
  <si>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</si>
  <si>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</si>
  <si>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</si>
  <si>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</si>
  <si>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</si>
  <si>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</si>
  <si>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</si>
  <si>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</si>
  <si>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</si>
  <si>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</si>
  <si>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</si>
  <si>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</si>
  <si>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</si>
  <si>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</si>
  <si>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</si>
  <si>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</si>
  <si>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</si>
  <si>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</si>
  <si>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</si>
  <si>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</si>
  <si>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</si>
  <si>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</si>
  <si>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</si>
  <si>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</si>
  <si>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</si>
  <si>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</si>
  <si>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</si>
  <si>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</si>
  <si>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</si>
  <si>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</si>
  <si>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</si>
  <si>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</si>
  <si>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</si>
  <si>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</si>
  <si>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</si>
  <si>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</si>
  <si>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</si>
  <si>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</si>
  <si>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</si>
  <si>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</si>
  <si>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</si>
  <si>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</si>
  <si>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</si>
  <si>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</si>
  <si>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</si>
  <si>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</si>
  <si>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</si>
  <si>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</si>
  <si>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</si>
  <si>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</si>
  <si>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</si>
  <si>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</si>
  <si>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</si>
  <si>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</si>
  <si>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</si>
  <si>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</si>
  <si>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</si>
  <si>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</si>
  <si>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</si>
  <si>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</si>
  <si>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</si>
  <si>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</si>
  <si>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</si>
  <si>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</si>
  <si>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</si>
  <si>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</si>
  <si>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</si>
  <si>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</si>
  <si>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</si>
  <si>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</si>
  <si>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</si>
  <si>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</si>
  <si>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</si>
  <si>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</si>
  <si>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</si>
  <si>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</si>
  <si>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</si>
  <si>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</si>
  <si>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</si>
  <si>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</si>
  <si>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</si>
  <si>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</si>
  <si>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</si>
  <si>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</si>
  <si>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</si>
  <si>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</si>
  <si>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</si>
  <si>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</si>
  <si>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</si>
  <si>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</si>
  <si>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</si>
  <si>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</si>
  <si>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</si>
  <si>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</si>
  <si>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</si>
  <si>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</si>
  <si>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</si>
  <si>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</si>
  <si>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</si>
  <si>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</si>
  <si>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</si>
  <si>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</si>
  <si>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</si>
  <si>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</si>
  <si>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</si>
  <si>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</si>
  <si>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</si>
  <si>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</si>
  <si>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</si>
  <si>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</si>
  <si>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</si>
  <si>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</si>
  <si>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</si>
  <si>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</si>
  <si>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</si>
  <si>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</si>
  <si>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</si>
  <si>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</si>
  <si>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</si>
  <si>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</si>
  <si>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</si>
  <si>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</si>
  <si>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</si>
  <si>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</si>
  <si>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</si>
  <si>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</si>
  <si>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</si>
  <si>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</si>
  <si>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</si>
  <si>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</si>
  <si>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</si>
  <si>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</si>
  <si>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</si>
  <si>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</si>
  <si>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</si>
  <si>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</si>
  <si>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</si>
  <si>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</si>
  <si>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</si>
  <si>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</si>
  <si>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</si>
  <si>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</si>
  <si>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</si>
  <si>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</si>
  <si>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</si>
  <si>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</si>
  <si>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</si>
  <si>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</si>
  <si>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</si>
  <si>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</si>
  <si>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</si>
  <si>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</si>
  <si>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</si>
  <si>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</si>
  <si>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</si>
  <si>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</si>
  <si>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</si>
  <si>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</si>
  <si>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</si>
  <si>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</si>
  <si>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</si>
  <si>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</si>
  <si>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</si>
  <si>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</si>
  <si>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</si>
  <si>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</si>
  <si>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</si>
  <si>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</si>
  <si>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</si>
  <si>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</si>
  <si>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</si>
  <si>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</si>
  <si>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</si>
  <si>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</si>
  <si>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</si>
  <si>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</si>
  <si>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</si>
  <si>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</si>
  <si>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</si>
  <si>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</si>
  <si>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</si>
  <si>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</si>
  <si>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</si>
  <si>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</si>
  <si>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</si>
  <si>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</si>
  <si>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</si>
  <si>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</si>
  <si>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</si>
  <si>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</si>
  <si>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</si>
  <si>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</si>
  <si>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</si>
  <si>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</si>
  <si>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</si>
  <si>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</si>
  <si>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</si>
  <si>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</si>
  <si>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</si>
  <si>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</si>
  <si>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</si>
  <si>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</si>
  <si>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</si>
  <si>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</si>
  <si>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</si>
  <si>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</si>
  <si>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</si>
  <si>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</si>
  <si>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</si>
  <si>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</si>
  <si>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</si>
  <si>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</si>
  <si>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</si>
  <si>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</si>
  <si>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</si>
  <si>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</si>
  <si>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</si>
  <si>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</si>
  <si>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</si>
  <si>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</si>
  <si>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</si>
  <si>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</si>
  <si>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</si>
  <si>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</si>
  <si>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</si>
  <si>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</si>
  <si>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</si>
  <si>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</si>
  <si>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</si>
  <si>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</si>
  <si>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</si>
  <si>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</si>
  <si>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</si>
  <si>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</si>
  <si>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</si>
  <si>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</si>
  <si>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</si>
  <si>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</si>
  <si>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</si>
  <si>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</si>
  <si>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</si>
  <si>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</si>
  <si>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</si>
  <si>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</si>
  <si>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</si>
  <si>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</si>
  <si>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</si>
  <si>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</si>
  <si>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</si>
  <si>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</si>
  <si>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</si>
  <si>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</si>
  <si>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</si>
  <si>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</si>
  <si>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</si>
  <si>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</si>
  <si>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</si>
  <si>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</si>
  <si>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</si>
  <si>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</si>
  <si>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</si>
  <si>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</si>
  <si>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</si>
  <si>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</si>
  <si>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</si>
  <si>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</si>
  <si>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</si>
  <si>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</si>
  <si>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</si>
  <si>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</si>
  <si>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</si>
  <si>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</si>
  <si>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</si>
  <si>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</si>
  <si>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</si>
  <si>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</si>
  <si>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</si>
  <si>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</si>
  <si>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</si>
  <si>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</si>
  <si>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</si>
  <si>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</si>
  <si>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</si>
  <si>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</si>
  <si>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</si>
  <si>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</si>
  <si>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</si>
  <si>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</si>
  <si>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</si>
  <si>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</si>
  <si>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</si>
  <si>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</si>
  <si>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</si>
  <si>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</si>
  <si>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</si>
  <si>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</si>
  <si>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</si>
  <si>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</si>
  <si>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</si>
  <si>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</si>
  <si>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</si>
  <si>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</si>
  <si>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</si>
  <si>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</si>
  <si>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</si>
  <si>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</si>
  <si>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</si>
  <si>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</si>
  <si>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</si>
  <si>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</si>
  <si>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</si>
  <si>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</si>
  <si>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</si>
  <si>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</si>
  <si>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</si>
  <si>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</si>
  <si>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</si>
  <si>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</si>
  <si>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</si>
  <si>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</si>
  <si>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</si>
  <si>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</si>
  <si>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</si>
  <si>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</si>
  <si>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</si>
  <si>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</si>
  <si>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</si>
  <si>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</si>
  <si>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</si>
  <si>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</si>
  <si>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</si>
  <si>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</si>
  <si>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</si>
  <si>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</si>
  <si>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</si>
  <si>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</si>
  <si>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</si>
  <si>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</si>
  <si>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</si>
  <si>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</si>
  <si>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</si>
  <si>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</si>
  <si>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</si>
  <si>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</si>
  <si>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</si>
  <si>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</si>
  <si>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</si>
  <si>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</si>
  <si>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</si>
  <si>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</si>
  <si>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</si>
  <si>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</si>
  <si>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</si>
  <si>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</si>
  <si>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</si>
  <si>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</si>
  <si>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</si>
  <si>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</si>
  <si>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</si>
  <si>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</si>
  <si>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</si>
  <si>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</si>
  <si>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</si>
  <si>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</si>
  <si>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</si>
  <si>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</si>
  <si>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</si>
  <si>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</si>
  <si>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</si>
  <si>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</si>
  <si>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</si>
  <si>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</si>
  <si>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</si>
  <si>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</si>
  <si>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</si>
  <si>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</si>
  <si>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</si>
  <si>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</si>
  <si>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</si>
  <si>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</si>
  <si>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</si>
  <si>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</si>
  <si>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</si>
  <si>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</si>
  <si>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</si>
  <si>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</si>
  <si>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</si>
  <si>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</si>
  <si>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</si>
  <si>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</si>
  <si>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</si>
  <si>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</si>
  <si>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</si>
  <si>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</si>
  <si>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</si>
  <si>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</si>
  <si>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</si>
  <si>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</si>
  <si>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</si>
  <si>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</si>
  <si>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</si>
  <si>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</si>
  <si>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</si>
  <si>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</si>
  <si>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</si>
  <si>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</si>
  <si>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</si>
  <si>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</si>
  <si>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</si>
  <si>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</si>
  <si>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</si>
  <si>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</si>
  <si>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</si>
  <si>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</si>
  <si>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</si>
  <si>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</si>
  <si>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</si>
  <si>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</si>
  <si>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</si>
  <si>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</si>
  <si>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</si>
  <si>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</si>
  <si>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</si>
  <si>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</si>
  <si>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</si>
  <si>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</si>
  <si>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</si>
  <si>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</si>
  <si>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</si>
  <si>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</si>
  <si>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</si>
  <si>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</si>
  <si>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</si>
  <si>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</si>
  <si>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</si>
  <si>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</si>
  <si>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</si>
  <si>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</si>
  <si>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</si>
  <si>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</si>
  <si>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</si>
  <si>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</si>
  <si>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</si>
  <si>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</si>
  <si>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</si>
  <si>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</si>
  <si>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</si>
  <si>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</si>
  <si>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</si>
  <si>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</si>
  <si>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</si>
  <si>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</si>
  <si>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</si>
  <si>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</si>
  <si>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</si>
  <si>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</si>
  <si>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</si>
  <si>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</si>
  <si>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</si>
  <si>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</si>
  <si>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</si>
  <si>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</si>
  <si>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</si>
  <si>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</si>
  <si>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</si>
  <si>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</si>
  <si>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</si>
  <si>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</si>
  <si>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</si>
  <si>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</si>
  <si>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</si>
  <si>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</si>
  <si>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</si>
  <si>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</si>
  <si>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</si>
  <si>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</si>
  <si>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</si>
  <si>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</si>
  <si>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</si>
  <si>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</si>
  <si>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</si>
  <si>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</si>
  <si>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</si>
  <si>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</si>
  <si>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</si>
  <si>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</si>
  <si>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</si>
  <si>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</si>
  <si>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</si>
  <si>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</si>
  <si>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</si>
  <si>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</si>
  <si>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</si>
  <si>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</si>
  <si>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</si>
  <si>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</si>
  <si>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</si>
  <si>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</si>
  <si>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</si>
  <si>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</si>
  <si>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</si>
  <si>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</si>
  <si>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</si>
  <si>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</si>
  <si>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</si>
  <si>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</si>
  <si>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</si>
  <si>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</si>
  <si>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</si>
  <si>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</si>
  <si>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</si>
  <si>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</si>
  <si>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</si>
  <si>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</si>
  <si>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</si>
  <si>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</si>
  <si>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</si>
  <si>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</si>
  <si>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</si>
  <si>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</si>
  <si>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</si>
  <si>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</si>
  <si>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</si>
  <si>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</si>
  <si>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</si>
  <si>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</si>
  <si>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</si>
  <si>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</si>
  <si>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</si>
  <si>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</si>
  <si>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</si>
  <si>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</si>
  <si>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</si>
  <si>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</si>
  <si>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</si>
  <si>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</si>
  <si>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</si>
  <si>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</si>
  <si>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</si>
  <si>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</si>
  <si>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</si>
  <si>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</si>
  <si>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</si>
  <si>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</si>
  <si>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</si>
  <si>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</si>
  <si>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</si>
  <si>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</si>
  <si>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</si>
  <si>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</si>
  <si>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</si>
  <si>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</si>
  <si>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</si>
  <si>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</si>
  <si>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</si>
  <si>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</si>
  <si>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</si>
  <si>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</si>
  <si>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</si>
  <si>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</si>
  <si>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</si>
  <si>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</si>
  <si>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</si>
  <si>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</si>
  <si>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</si>
  <si>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</si>
  <si>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</si>
  <si>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</si>
  <si>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</si>
  <si>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</si>
  <si>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</si>
  <si>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</si>
  <si>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</si>
  <si>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</si>
  <si>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</si>
  <si>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</si>
  <si>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</si>
  <si>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</si>
  <si>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</si>
  <si>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</si>
  <si>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</si>
  <si>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</si>
  <si>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</si>
  <si>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</si>
  <si>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</si>
  <si>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</si>
  <si>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</si>
  <si>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</si>
  <si>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</si>
  <si>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</si>
  <si>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</si>
  <si>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</si>
  <si>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</si>
  <si>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</si>
  <si>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</si>
  <si>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</si>
  <si>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</si>
  <si>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</si>
  <si>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</si>
  <si>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</si>
  <si>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</si>
  <si>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</si>
  <si>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</si>
  <si>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</si>
  <si>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</si>
  <si>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</si>
  <si>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</si>
  <si>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</si>
  <si>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</si>
  <si>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</si>
  <si>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</si>
  <si>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</si>
  <si>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</si>
  <si>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</si>
  <si>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</si>
  <si>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</si>
  <si>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</si>
  <si>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</si>
  <si>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</si>
  <si>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</si>
  <si>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</si>
  <si>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</si>
  <si>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</si>
  <si>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</si>
  <si>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</si>
  <si>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</si>
  <si>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</si>
  <si>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</si>
  <si>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</si>
  <si>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</si>
  <si>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</si>
  <si>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</si>
  <si>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</si>
  <si>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</si>
  <si>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</si>
  <si>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</si>
  <si>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</si>
  <si>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</si>
  <si>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</si>
  <si>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</si>
  <si>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</si>
  <si>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</si>
  <si>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</si>
  <si>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</si>
  <si>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</si>
  <si>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</si>
  <si>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</si>
  <si>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</si>
  <si>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</si>
  <si>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</si>
  <si>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</si>
  <si>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</si>
  <si>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</si>
  <si>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</si>
  <si>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</si>
  <si>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</si>
  <si>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</si>
  <si>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</si>
  <si>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</si>
  <si>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</si>
  <si>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</si>
  <si>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</si>
  <si>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</si>
  <si>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</si>
  <si>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</si>
  <si>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</si>
  <si>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</si>
  <si>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</si>
  <si>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</si>
  <si>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</si>
  <si>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</si>
  <si>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</si>
  <si>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</si>
  <si>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</si>
  <si>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</si>
  <si>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</si>
  <si>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</si>
  <si>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</si>
  <si>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</si>
  <si>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</si>
  <si>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</si>
  <si>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</si>
  <si>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</si>
  <si>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</si>
  <si>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</si>
  <si>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</si>
  <si>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</si>
  <si>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</si>
  <si>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</si>
  <si>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</si>
  <si>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</si>
  <si>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</si>
  <si>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</si>
  <si>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</si>
  <si>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</si>
  <si>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</si>
  <si>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</si>
  <si>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</si>
  <si>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</si>
  <si>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</si>
  <si>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</si>
  <si>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</si>
  <si>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</si>
  <si>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</si>
  <si>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</si>
  <si>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</si>
  <si>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</si>
  <si>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</si>
  <si>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</si>
  <si>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</si>
  <si>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</si>
  <si>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</si>
  <si>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</si>
  <si>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</si>
  <si>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</si>
  <si>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</si>
  <si>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</si>
  <si>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</si>
  <si>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</si>
  <si>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</si>
  <si>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</si>
  <si>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</si>
  <si>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</si>
  <si>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</si>
  <si>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</si>
  <si>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</si>
  <si>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</si>
  <si>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</si>
  <si>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</si>
  <si>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</si>
  <si>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</si>
  <si>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</si>
  <si>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</si>
  <si>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</si>
  <si>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</si>
  <si>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</si>
  <si>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</si>
  <si>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</si>
  <si>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</si>
  <si>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</si>
  <si>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</si>
  <si>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</si>
  <si>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</si>
  <si>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</si>
  <si>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</si>
  <si>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</si>
  <si>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</si>
  <si>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</si>
  <si>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</si>
  <si>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</si>
  <si>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</si>
  <si>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</si>
  <si>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</si>
  <si>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</si>
  <si>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</si>
  <si>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</si>
  <si>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</si>
  <si>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</si>
  <si>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</si>
  <si>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</si>
  <si>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</si>
  <si>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</si>
  <si>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</si>
  <si>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</si>
  <si>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</si>
  <si>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</si>
  <si>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</si>
  <si>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</si>
  <si>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</si>
  <si>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</si>
  <si>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</si>
  <si>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</si>
  <si>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</si>
  <si>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</si>
  <si>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</si>
  <si>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</si>
  <si>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</si>
  <si>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</si>
  <si>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</si>
  <si>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</si>
  <si>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</si>
  <si>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</si>
  <si>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</si>
  <si>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</si>
  <si>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</si>
  <si>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</si>
  <si>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</si>
  <si>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</si>
  <si>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</si>
  <si>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</si>
  <si>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</si>
  <si>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</si>
  <si>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</si>
  <si>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</si>
  <si>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</si>
  <si>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</si>
  <si>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</si>
  <si>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</si>
  <si>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</si>
  <si>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</si>
  <si>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</si>
  <si>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</si>
  <si>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</si>
  <si>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</si>
  <si>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</si>
  <si>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</si>
  <si>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</si>
  <si>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</si>
  <si>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</si>
  <si>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</si>
  <si>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</si>
  <si>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</si>
  <si>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</si>
  <si>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</si>
  <si>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</si>
  <si>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</si>
  <si>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</si>
  <si>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</si>
  <si>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</si>
  <si>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</si>
  <si>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</si>
  <si>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</si>
  <si>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</si>
  <si>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</si>
  <si>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</si>
  <si>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</si>
  <si>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</si>
  <si>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</si>
  <si>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</si>
  <si>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</si>
  <si>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</si>
  <si>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</si>
  <si>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</si>
  <si>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</si>
  <si>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</si>
  <si>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</si>
  <si>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</si>
  <si>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</si>
  <si>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</si>
  <si>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</si>
  <si>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</si>
  <si>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</si>
  <si>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</si>
  <si>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</si>
  <si>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</si>
  <si>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</si>
  <si>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</si>
  <si>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</si>
  <si>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</si>
  <si>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</si>
  <si>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</si>
  <si>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</si>
  <si>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</si>
  <si>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</si>
  <si>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</si>
  <si>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</si>
  <si>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</si>
  <si>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</si>
  <si>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</si>
  <si>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</si>
  <si>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</si>
  <si>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</si>
  <si>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</si>
  <si>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</si>
  <si>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</si>
  <si>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</si>
  <si>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</si>
  <si>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</si>
  <si>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</si>
  <si>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</si>
  <si>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</si>
  <si>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</si>
  <si>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</si>
  <si>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</si>
  <si>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</si>
  <si>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</si>
  <si>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</si>
  <si>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</si>
  <si>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</si>
  <si>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</si>
  <si>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</si>
  <si>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</si>
  <si>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</si>
  <si>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</si>
  <si>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</si>
  <si>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</si>
  <si>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</si>
  <si>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</si>
  <si>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</si>
  <si>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</si>
  <si>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</si>
  <si>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</si>
  <si>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</si>
  <si>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</si>
  <si>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</si>
  <si>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</si>
  <si>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</si>
  <si>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</si>
  <si>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</si>
  <si>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</si>
  <si>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</si>
  <si>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</si>
  <si>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</si>
  <si>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</si>
  <si>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</si>
  <si>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</si>
  <si>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</si>
  <si>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</si>
  <si>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</si>
  <si>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</si>
  <si>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</si>
  <si>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</si>
  <si>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</si>
  <si>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</si>
  <si>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</si>
  <si>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</si>
  <si>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</si>
  <si>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</si>
  <si>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</si>
  <si>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</si>
  <si>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</si>
  <si>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</si>
  <si>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</si>
  <si>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</si>
  <si>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</si>
  <si>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</si>
  <si>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</si>
  <si>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</si>
  <si>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</si>
  <si>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</si>
  <si>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</si>
  <si>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</si>
  <si>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</si>
  <si>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</si>
  <si>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</si>
  <si>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</si>
  <si>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</si>
  <si>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</si>
  <si>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</si>
  <si>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</si>
  <si>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</si>
  <si>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</si>
  <si>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</si>
  <si>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</si>
  <si>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</si>
  <si>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</si>
  <si>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</si>
  <si>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</si>
  <si>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</si>
  <si>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</si>
  <si>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</si>
  <si>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</si>
  <si>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</si>
  <si>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</si>
  <si>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</si>
  <si>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</si>
  <si>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</si>
  <si>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</si>
  <si>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</si>
  <si>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</si>
  <si>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</si>
  <si>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</si>
  <si>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</si>
  <si>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</si>
  <si>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</si>
  <si>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</si>
  <si>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</si>
  <si>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</si>
  <si>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</si>
  <si>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</si>
  <si>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</si>
  <si>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</si>
  <si>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</si>
  <si>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</si>
  <si>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</si>
  <si>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</si>
  <si>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</si>
  <si>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</si>
  <si>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</si>
  <si>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</si>
  <si>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</si>
  <si>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</si>
  <si>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</si>
  <si>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</si>
  <si>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</si>
  <si>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</si>
  <si>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</si>
  <si>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</si>
  <si>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</si>
  <si>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</si>
  <si>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</si>
  <si>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</si>
  <si>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</si>
  <si>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</si>
  <si>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</si>
  <si>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</si>
  <si>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</si>
  <si>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</si>
  <si>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</si>
  <si>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</si>
  <si>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</si>
  <si>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</si>
  <si>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</si>
  <si>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</si>
  <si>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</si>
  <si>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</si>
  <si>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</si>
  <si>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</si>
  <si>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</si>
  <si>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</si>
  <si>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</si>
  <si>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</si>
  <si>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</si>
  <si>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</si>
  <si>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</si>
  <si>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</si>
  <si>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</si>
  <si>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</si>
  <si>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</si>
  <si>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</si>
  <si>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</si>
  <si>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</si>
  <si>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</si>
  <si>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</si>
  <si>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</si>
  <si>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</si>
  <si>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</si>
  <si>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</si>
  <si>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</si>
  <si>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</si>
  <si>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</si>
  <si>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</si>
  <si>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</si>
  <si>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</si>
  <si>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</si>
  <si>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</si>
  <si>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</si>
  <si>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</si>
  <si>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</si>
  <si>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</si>
  <si>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</si>
  <si>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</si>
  <si>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</si>
  <si>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</si>
  <si>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</si>
  <si>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</si>
  <si>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</si>
  <si>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</si>
  <si>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</si>
  <si>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</si>
  <si>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</si>
  <si>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</si>
  <si>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</si>
  <si>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</si>
  <si>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</si>
  <si>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</si>
  <si>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</si>
  <si>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</si>
  <si>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</si>
  <si>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</si>
  <si>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</si>
  <si>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</si>
  <si>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</si>
  <si>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</si>
  <si>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</si>
  <si>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</si>
  <si>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</si>
  <si>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</si>
  <si>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</si>
  <si>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</si>
  <si>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</si>
  <si>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</si>
  <si>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</si>
  <si>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</si>
  <si>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</si>
  <si>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</si>
  <si>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</si>
  <si>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</si>
  <si>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</si>
  <si>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</si>
  <si>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</si>
  <si>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</si>
  <si>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</si>
  <si>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</si>
  <si>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</si>
  <si>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</si>
  <si>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</si>
  <si>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</si>
  <si>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</si>
  <si>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</si>
  <si>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</si>
  <si>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</si>
  <si>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</si>
  <si>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</si>
  <si>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</si>
  <si>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</si>
  <si>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</si>
  <si>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</si>
  <si>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</si>
  <si>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</si>
  <si>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</si>
  <si>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</si>
  <si>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</si>
  <si>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</si>
  <si>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</si>
  <si>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</si>
  <si>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</si>
  <si>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</si>
  <si>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</si>
  <si>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</si>
  <si>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</si>
  <si>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</si>
  <si>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</si>
  <si>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</si>
  <si>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</si>
  <si>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</si>
  <si>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</si>
  <si>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</si>
  <si>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</si>
  <si>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</si>
  <si>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</si>
  <si>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</si>
  <si>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</si>
  <si>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</si>
  <si>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</si>
  <si>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</si>
  <si>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</si>
  <si>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</si>
  <si>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</si>
  <si>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</si>
  <si>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</si>
  <si>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</si>
  <si>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</si>
  <si>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</si>
  <si>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</si>
  <si>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</si>
  <si>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</si>
  <si>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</si>
  <si>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</si>
  <si>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</si>
  <si>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</si>
  <si>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</si>
  <si>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</si>
  <si>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</si>
  <si>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</si>
  <si>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</si>
  <si>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</si>
  <si>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</si>
  <si>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</si>
  <si>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</si>
  <si>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</si>
  <si>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</si>
  <si>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</si>
  <si>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</si>
  <si>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</si>
  <si>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</si>
  <si>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</si>
  <si>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</si>
  <si>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</si>
  <si>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</si>
  <si>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</si>
  <si>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</si>
  <si>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</si>
  <si>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</si>
  <si>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</si>
  <si>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</si>
  <si>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</si>
  <si>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</si>
  <si>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</si>
  <si>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</si>
  <si>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</si>
  <si>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</si>
  <si>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</si>
  <si>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</si>
  <si>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</si>
  <si>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</si>
  <si>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</si>
  <si>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</si>
  <si>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</si>
  <si>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</si>
  <si>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</si>
  <si>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</si>
  <si>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</si>
  <si>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</si>
  <si>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</si>
  <si>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</si>
  <si>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</si>
  <si>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</si>
  <si>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</si>
  <si>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</si>
  <si>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</si>
  <si>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</si>
  <si>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</si>
  <si>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</si>
  <si>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</si>
  <si>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</si>
  <si>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</si>
  <si>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</si>
  <si>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</si>
  <si>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</si>
  <si>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</si>
  <si>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</si>
  <si>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</si>
  <si>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</si>
  <si>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</si>
  <si>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</si>
  <si>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</si>
  <si>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</si>
  <si>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</si>
  <si>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</si>
  <si>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</si>
  <si>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</si>
  <si>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</si>
  <si>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</si>
  <si>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</si>
  <si>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</si>
  <si>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</si>
  <si>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</si>
  <si>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</si>
  <si>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</si>
  <si>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</si>
  <si>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</si>
  <si>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</si>
  <si>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</si>
  <si>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</si>
  <si>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</si>
  <si>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</si>
  <si>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</si>
  <si>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</si>
  <si>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</si>
  <si>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</si>
  <si>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</si>
  <si>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</si>
  <si>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</si>
  <si>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</si>
  <si>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</si>
  <si>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</si>
  <si>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</si>
  <si>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</si>
  <si>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</si>
  <si>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</si>
  <si>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</si>
  <si>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</si>
  <si>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</si>
  <si>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</si>
  <si>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</si>
  <si>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</si>
  <si>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</si>
  <si>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</si>
  <si>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</si>
  <si>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</si>
  <si>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</si>
  <si>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</si>
  <si>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</si>
  <si>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</si>
  <si>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</si>
  <si>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</si>
  <si>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</si>
  <si>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</si>
  <si>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</si>
  <si>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</si>
  <si>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</si>
  <si>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</si>
  <si>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</si>
  <si>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</si>
  <si>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</si>
  <si>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</si>
  <si>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</si>
  <si>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</si>
  <si>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</si>
  <si>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</si>
  <si>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</si>
  <si>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</si>
  <si>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</si>
  <si>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</si>
  <si>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</si>
  <si>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</si>
  <si>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</si>
  <si>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</si>
  <si>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</si>
  <si>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</si>
  <si>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</si>
  <si>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</si>
  <si>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</si>
  <si>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</si>
  <si>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</si>
  <si>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</si>
  <si>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</si>
  <si>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</si>
  <si>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</si>
  <si>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</si>
  <si>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</si>
  <si>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</si>
  <si>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</si>
  <si>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</si>
  <si>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</si>
  <si>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</si>
  <si>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</si>
  <si>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</si>
  <si>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</si>
  <si>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</si>
  <si>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</si>
  <si>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</si>
  <si>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</si>
  <si>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</si>
  <si>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</si>
  <si>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</si>
  <si>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</si>
  <si>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</si>
  <si>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</si>
  <si>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</si>
  <si>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</si>
  <si>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</si>
  <si>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</si>
  <si>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</si>
  <si>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</si>
  <si>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</si>
  <si>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</si>
  <si>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</si>
  <si>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</si>
  <si>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</si>
  <si>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</si>
  <si>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</si>
  <si>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</si>
  <si>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</si>
  <si>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</si>
  <si>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</si>
  <si>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</si>
  <si>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</si>
  <si>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</si>
  <si>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</si>
  <si>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</si>
  <si>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</si>
  <si>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</si>
  <si>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</si>
  <si>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</si>
  <si>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</si>
  <si>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</si>
  <si>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</si>
  <si>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</si>
  <si>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</si>
  <si>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</si>
  <si>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</si>
  <si>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</si>
  <si>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</si>
  <si>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</si>
  <si>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</si>
  <si>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</si>
  <si>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</si>
  <si>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</si>
  <si>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</si>
  <si>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</si>
  <si>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</si>
  <si>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</si>
  <si>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</si>
  <si>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</si>
  <si>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</si>
  <si>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</si>
  <si>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</si>
  <si>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</si>
  <si>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</si>
  <si>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</si>
  <si>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</si>
  <si>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</si>
  <si>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</si>
  <si>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</si>
  <si>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</si>
  <si>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</si>
  <si>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</si>
  <si>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</si>
  <si>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</si>
  <si>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</si>
  <si>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</si>
  <si>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</si>
  <si>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</si>
  <si>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</si>
  <si>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</si>
  <si>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</si>
  <si>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</si>
  <si>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</si>
  <si>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</si>
  <si>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</si>
  <si>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</si>
  <si>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</si>
  <si>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</si>
  <si>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</si>
  <si>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</si>
  <si>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</si>
  <si>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</si>
  <si>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</si>
  <si>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</si>
  <si>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</si>
  <si>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</si>
  <si>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</si>
  <si>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</si>
  <si>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</si>
  <si>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</si>
  <si>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</si>
  <si>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</si>
  <si>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</si>
  <si>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</si>
  <si>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</si>
  <si>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</si>
  <si>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</si>
  <si>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</si>
  <si>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</si>
  <si>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</si>
  <si>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</si>
  <si>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</si>
  <si>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</si>
  <si>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</si>
  <si>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</si>
  <si>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</si>
  <si>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</si>
  <si>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</si>
  <si>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</si>
  <si>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</si>
  <si>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</si>
  <si>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</si>
  <si>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</si>
  <si>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</si>
  <si>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</si>
  <si>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</si>
  <si>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</si>
  <si>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</si>
  <si>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</si>
  <si>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</si>
  <si>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</si>
  <si>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</si>
  <si>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</si>
  <si>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</si>
  <si>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</si>
  <si>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</si>
  <si>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</si>
  <si>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</si>
  <si>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</si>
  <si>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</si>
  <si>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</si>
  <si>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</si>
  <si>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</si>
  <si>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</si>
  <si>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</si>
  <si>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</si>
  <si>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</si>
  <si>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</si>
  <si>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</si>
  <si>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</si>
  <si>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</si>
  <si>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</si>
  <si>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</si>
  <si>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</si>
  <si>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</si>
  <si>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</si>
  <si>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</si>
  <si>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</si>
  <si>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</si>
  <si>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</si>
  <si>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</si>
  <si>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</si>
  <si>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</si>
  <si>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</si>
  <si>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</si>
  <si>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</si>
  <si>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</si>
  <si>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</si>
  <si>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</si>
  <si>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</si>
  <si>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</si>
  <si>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</si>
  <si>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</si>
  <si>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</si>
  <si>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</si>
  <si>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</si>
  <si>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</si>
  <si>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</si>
  <si>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</si>
  <si>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</si>
  <si>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</si>
  <si>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</si>
  <si>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</si>
  <si>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</si>
  <si>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</si>
  <si>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</si>
  <si>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</si>
  <si>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</si>
  <si>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</si>
  <si>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</si>
  <si>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</si>
  <si>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</si>
  <si>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</si>
  <si>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</si>
  <si>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</si>
  <si>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</si>
  <si>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</si>
  <si>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</si>
  <si>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</si>
  <si>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</si>
  <si>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</si>
  <si>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</si>
  <si>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</si>
  <si>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</si>
  <si>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</si>
  <si>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</si>
  <si>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</si>
  <si>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</si>
  <si>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</si>
  <si>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</si>
  <si>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</si>
  <si>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</si>
  <si>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</si>
  <si>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</si>
  <si>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</si>
  <si>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</si>
  <si>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</si>
  <si>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</si>
  <si>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</si>
  <si>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</si>
  <si>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</si>
  <si>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</si>
  <si>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</si>
  <si>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</si>
  <si>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</si>
  <si>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</si>
  <si>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</si>
  <si>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</si>
  <si>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</si>
  <si>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</si>
  <si>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</si>
  <si>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</si>
  <si>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</si>
  <si>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</si>
  <si>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</si>
  <si>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</si>
  <si>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</si>
  <si>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</si>
  <si>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</si>
  <si>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</si>
  <si>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</si>
  <si>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</si>
  <si>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</si>
  <si>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</si>
  <si>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</si>
  <si>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</si>
  <si>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</si>
  <si>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</si>
  <si>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</si>
  <si>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</si>
  <si>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</si>
  <si>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</si>
  <si>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</si>
  <si>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</si>
  <si>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</si>
  <si>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</si>
  <si>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</si>
  <si>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</si>
  <si>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</si>
  <si>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</si>
  <si>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</si>
  <si>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</si>
  <si>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</si>
  <si>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</si>
  <si>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</si>
  <si>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</si>
  <si>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</si>
  <si>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</si>
  <si>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</si>
  <si>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</si>
  <si>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</si>
  <si>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</si>
  <si>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</si>
  <si>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</si>
  <si>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</si>
  <si>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</si>
  <si>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</si>
  <si>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</si>
  <si>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</si>
  <si>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</si>
  <si>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</si>
  <si>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</si>
  <si>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</si>
  <si>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</si>
  <si>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</si>
  <si>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</si>
  <si>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</si>
  <si>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</si>
  <si>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</si>
  <si>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</si>
  <si>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</si>
  <si>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</si>
  <si>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</si>
  <si>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</si>
  <si>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</si>
  <si>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</si>
  <si>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</si>
  <si>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</si>
  <si>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</si>
  <si>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</si>
  <si>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</si>
  <si>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</si>
  <si>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</si>
  <si>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</si>
  <si>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</si>
  <si>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</si>
  <si>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</si>
  <si>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</si>
  <si>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</si>
  <si>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</si>
  <si>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</si>
  <si>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</si>
  <si>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</si>
  <si>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</si>
  <si>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</si>
  <si>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</si>
  <si>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</si>
  <si>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</si>
  <si>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</si>
  <si>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</si>
  <si>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</si>
  <si>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</si>
  <si>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</si>
  <si>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</si>
  <si>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</si>
  <si>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</si>
  <si>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</si>
  <si>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</si>
  <si>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</si>
  <si>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</si>
  <si>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</si>
  <si>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</si>
  <si>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</si>
  <si>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</si>
  <si>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</si>
  <si>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</si>
  <si>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</si>
  <si>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</si>
  <si>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</si>
  <si>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</si>
  <si>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</si>
  <si>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</si>
  <si>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</si>
  <si>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</si>
  <si>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</si>
  <si>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</si>
  <si>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</si>
  <si>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</si>
  <si>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</si>
  <si>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</si>
  <si>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</si>
  <si>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</si>
  <si>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</si>
  <si>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</si>
  <si>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</si>
  <si>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</si>
  <si>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</si>
  <si>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</si>
  <si>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</si>
  <si>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</si>
  <si>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</si>
  <si>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</si>
  <si>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</si>
  <si>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</si>
  <si>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</si>
  <si>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</si>
  <si>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</si>
  <si>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</si>
  <si>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</si>
  <si>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</si>
  <si>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</si>
  <si>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</si>
  <si>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</si>
  <si>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</si>
  <si>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</si>
  <si>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</si>
  <si>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</si>
  <si>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</si>
  <si>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</si>
  <si>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</si>
  <si>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</si>
  <si>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</si>
  <si>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</si>
  <si>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</si>
  <si>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</si>
  <si>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</si>
  <si>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</si>
  <si>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</si>
  <si>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</si>
  <si>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</si>
  <si>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</si>
  <si>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</si>
  <si>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</si>
  <si>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</si>
  <si>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</si>
  <si>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</si>
  <si>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</si>
  <si>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</si>
  <si>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</si>
  <si>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</si>
  <si>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</si>
  <si>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</si>
  <si>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</si>
  <si>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</si>
  <si>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</si>
  <si>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</si>
  <si>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</si>
  <si>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</si>
  <si>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</si>
  <si>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</si>
  <si>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</si>
  <si>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</si>
  <si>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</si>
  <si>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</si>
  <si>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</si>
  <si>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</si>
  <si>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</si>
  <si>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</si>
  <si>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</si>
  <si>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</si>
  <si>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</si>
  <si>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</si>
  <si>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</si>
  <si>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</si>
  <si>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</si>
  <si>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</si>
  <si>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</si>
  <si>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</si>
  <si>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</si>
  <si>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</si>
  <si>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</si>
  <si>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</si>
  <si>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</si>
  <si>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</si>
  <si>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</si>
  <si>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</si>
  <si>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</si>
  <si>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</si>
  <si>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</si>
  <si>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</si>
  <si>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</si>
  <si>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</si>
  <si>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</si>
  <si>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</si>
  <si>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</si>
  <si>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</si>
  <si>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</si>
  <si>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</si>
  <si>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</si>
  <si>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</si>
  <si>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</si>
  <si>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</si>
  <si>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</si>
  <si>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</si>
  <si>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</si>
  <si>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</si>
  <si>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</si>
  <si>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</si>
  <si>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</si>
  <si>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</si>
  <si>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</si>
  <si>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</si>
  <si>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</si>
  <si>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</si>
  <si>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</si>
  <si>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</si>
  <si>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</si>
  <si>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</si>
  <si>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</si>
  <si>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</si>
  <si>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</si>
  <si>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</si>
  <si>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</si>
  <si>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</si>
  <si>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</si>
  <si>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</si>
  <si>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</si>
  <si>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</si>
  <si>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</si>
  <si>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</si>
  <si>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</si>
  <si>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</si>
  <si>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</si>
  <si>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</si>
  <si>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</si>
  <si>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</si>
  <si>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</si>
  <si>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</si>
  <si>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</si>
  <si>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</si>
  <si>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</si>
  <si>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</si>
  <si>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</si>
  <si>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</si>
  <si>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</si>
  <si>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</si>
  <si>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</si>
  <si>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</si>
  <si>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</si>
  <si>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</si>
  <si>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</si>
  <si>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</si>
  <si>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</si>
  <si>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</si>
  <si>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</si>
  <si>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</si>
  <si>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</si>
  <si>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</si>
  <si>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</si>
  <si>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</si>
  <si>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</si>
  <si>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</si>
  <si>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</si>
  <si>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</si>
  <si>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</si>
  <si>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</si>
  <si>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</si>
  <si>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</si>
  <si>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</si>
  <si>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</si>
  <si>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</si>
  <si>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</si>
  <si>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</si>
  <si>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</si>
  <si>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</si>
  <si>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</si>
  <si>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</si>
  <si>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</si>
  <si>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</si>
  <si>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</si>
  <si>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any residual, but this is unnecessary juggling with unknown risk</t>
  </si>
  <si>
    <t>tBill upfront</t>
  </si>
  <si>
    <t>tBill #20Feb</t>
  </si>
  <si>
    <t>boyBday#HongHu</t>
  </si>
  <si>
    <t>~~ 2submit</t>
  </si>
  <si>
    <t>scheduled -&gt;</t>
  </si>
  <si>
    <t>LG2 &gt;&gt;&gt;&gt;</t>
  </si>
  <si>
    <t>70k@3.7,,,, 80k@3.6</t>
  </si>
  <si>
    <t>SRS via#153</t>
  </si>
  <si>
    <t>3.7+/-</t>
  </si>
  <si>
    <t>^^ or Wed. CitiRBBT payoff: avoid weekend uncertainty</t>
  </si>
  <si>
    <t>public holiday</t>
  </si>
  <si>
    <t>wife#153</t>
  </si>
  <si>
    <t>temp loan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</si>
  <si>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</si>
  <si>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</si>
  <si>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</si>
  <si>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</si>
  <si>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</si>
  <si>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OCH #SCB</t>
  </si>
  <si>
    <t>McD #20Aug</t>
  </si>
  <si>
    <t>after 10p #payroll-day juggling</t>
  </si>
  <si>
    <t>taobao 13/8</t>
  </si>
  <si>
    <t>Watson 14/8</t>
  </si>
  <si>
    <t>Sushi #MB</t>
  </si>
  <si>
    <t>CGC counsell</t>
  </si>
  <si>
    <t>SCB ccard#posted</t>
  </si>
  <si>
    <t>CGC#SCB</t>
  </si>
  <si>
    <t>52.8 !yet</t>
  </si>
  <si>
    <t>mid 24aug</t>
  </si>
  <si>
    <t>SCB ccard&lt;BOC</t>
  </si>
  <si>
    <t>SgPow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</si>
</sst>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82" fontId="0" fillId="0" borderId="0" xfId="0" applyNumberFormat="1" applyBorder="1"/>
    <xf numFmtId="15" fontId="0" fillId="0" borderId="0" xfId="0" applyNumberFormat="1" applyBorder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3.2"/>
  <cols>
    <col min="2" max="2" width="7" bestFit="1" customWidth="1"/>
    <col min="3" max="3" width="9.33203125" style="900" bestFit="1" customWidth="1"/>
    <col min="4" max="4" width="18" bestFit="1" customWidth="1"/>
    <col min="5" max="5" width="11.44140625" bestFit="1" customWidth="1"/>
    <col min="6" max="7" width="7" bestFit="1" customWidth="1"/>
  </cols>
  <sheetData>
    <row r="2" spans="2:7" s="873" customFormat="1">
      <c r="B2" s="873" t="s">
        <v>3063</v>
      </c>
      <c r="C2" s="900" t="s">
        <v>3013</v>
      </c>
      <c r="E2" s="873" t="s">
        <v>3014</v>
      </c>
      <c r="F2" s="873" t="s">
        <v>3010</v>
      </c>
      <c r="G2" s="873" t="s">
        <v>3013</v>
      </c>
    </row>
    <row r="3" spans="2:7">
      <c r="B3" s="898" t="s">
        <v>2412</v>
      </c>
      <c r="C3" s="898" t="s">
        <v>3049</v>
      </c>
      <c r="D3" s="898"/>
      <c r="E3" s="898" t="s">
        <v>3004</v>
      </c>
      <c r="F3" s="898" t="s">
        <v>423</v>
      </c>
      <c r="G3" s="898" t="s">
        <v>3002</v>
      </c>
    </row>
    <row r="4" spans="2:7" s="873" customFormat="1">
      <c r="B4" s="873" t="s">
        <v>3012</v>
      </c>
      <c r="C4" s="900" t="s">
        <v>3050</v>
      </c>
      <c r="D4" s="873" t="s">
        <v>3019</v>
      </c>
      <c r="E4" s="873" t="s">
        <v>3011</v>
      </c>
      <c r="F4" s="214" t="s">
        <v>3045</v>
      </c>
      <c r="G4" s="873" t="s">
        <v>3006</v>
      </c>
    </row>
    <row r="5" spans="2:7">
      <c r="B5" s="874"/>
      <c r="D5" t="s">
        <v>3003</v>
      </c>
      <c r="E5" s="580" t="s">
        <v>3015</v>
      </c>
      <c r="F5" s="874"/>
      <c r="G5" s="874"/>
    </row>
    <row r="6" spans="2:7">
      <c r="B6" s="873"/>
      <c r="D6" t="s">
        <v>3009</v>
      </c>
      <c r="E6" s="873"/>
      <c r="F6" s="873"/>
      <c r="G6" s="214" t="s">
        <v>3005</v>
      </c>
    </row>
    <row r="7" spans="2:7" s="874" customFormat="1">
      <c r="B7" s="214" t="s">
        <v>3007</v>
      </c>
      <c r="C7" s="214" t="s">
        <v>3007</v>
      </c>
      <c r="D7" s="874" t="s">
        <v>3016</v>
      </c>
    </row>
    <row r="8" spans="2:7">
      <c r="B8" t="s">
        <v>3007</v>
      </c>
      <c r="C8" s="900" t="s">
        <v>3007</v>
      </c>
      <c r="D8" t="s">
        <v>3017</v>
      </c>
      <c r="E8" s="873"/>
      <c r="F8" s="873"/>
    </row>
    <row r="9" spans="2:7">
      <c r="B9" s="873"/>
      <c r="D9" t="s">
        <v>3008</v>
      </c>
      <c r="E9" t="s">
        <v>3007</v>
      </c>
      <c r="F9" s="873" t="s">
        <v>3018</v>
      </c>
      <c r="G9" t="s">
        <v>3018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37"/>
  <sheetViews>
    <sheetView tabSelected="1" topLeftCell="H1" zoomScaleNormal="100" workbookViewId="0">
      <selection activeCell="O34" sqref="O34"/>
    </sheetView>
  </sheetViews>
  <sheetFormatPr defaultRowHeight="13.2"/>
  <cols>
    <col min="1" max="1" width="0.5546875" customWidth="1"/>
    <col min="2" max="2" width="9.6640625" bestFit="1" customWidth="1"/>
    <col min="3" max="3" width="6" bestFit="1" customWidth="1"/>
    <col min="4" max="4" width="7.5546875" bestFit="1" customWidth="1"/>
    <col min="5" max="5" width="1.6640625" customWidth="1"/>
    <col min="6" max="6" width="14.33203125" style="767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3.33203125" style="767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4.109375" style="767" bestFit="1" customWidth="1"/>
    <col min="15" max="15" width="4" style="767" bestFit="1" customWidth="1"/>
    <col min="16" max="16" width="8.5546875" style="767" bestFit="1" customWidth="1"/>
    <col min="18" max="18" width="14.109375" style="903" bestFit="1" customWidth="1"/>
    <col min="19" max="19" width="4" bestFit="1" customWidth="1"/>
    <col min="20" max="20" width="8.5546875" bestFit="1" customWidth="1"/>
  </cols>
  <sheetData>
    <row r="1" spans="2:20" s="767" customFormat="1" ht="5.4" customHeight="1">
      <c r="R1" s="903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18"/>
      <c r="S2" s="918"/>
      <c r="T2" s="918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0">
        <v>740</v>
      </c>
      <c r="P4" s="831">
        <f t="shared" si="3"/>
        <v>1.0136986301369864</v>
      </c>
      <c r="R4" s="940" t="s">
        <v>3053</v>
      </c>
      <c r="S4" s="940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0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0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15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15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06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15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15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15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15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1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1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18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1">
        <v>730</v>
      </c>
      <c r="L21" s="831">
        <f t="shared" si="2"/>
        <v>1</v>
      </c>
      <c r="N21" s="832">
        <v>45157</v>
      </c>
      <c r="O21" s="919">
        <v>735</v>
      </c>
      <c r="P21" s="831">
        <f t="shared" si="5"/>
        <v>1.0068493150684932</v>
      </c>
      <c r="R21" s="832">
        <v>45153</v>
      </c>
      <c r="S21" s="918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1">
        <v>730</v>
      </c>
      <c r="L22" s="831">
        <f t="shared" si="2"/>
        <v>1</v>
      </c>
      <c r="N22" s="832">
        <v>45158</v>
      </c>
      <c r="O22" s="919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O23" s="767">
        <v>735</v>
      </c>
      <c r="P23" s="831">
        <f t="shared" si="5"/>
        <v>1.0068493150684932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O24" s="767">
        <v>735</v>
      </c>
      <c r="P24" s="831">
        <f t="shared" si="5"/>
        <v>1.0068493150684932</v>
      </c>
      <c r="R24" s="832">
        <v>45150</v>
      </c>
      <c r="S24">
        <v>200</v>
      </c>
      <c r="T24" s="831">
        <f t="shared" si="6"/>
        <v>18.630136986301373</v>
      </c>
    </row>
    <row r="25" spans="2:20" s="928" customFormat="1">
      <c r="B25" s="1036">
        <v>45069</v>
      </c>
      <c r="C25" s="928">
        <v>545</v>
      </c>
      <c r="D25" s="1035">
        <f t="shared" si="7"/>
        <v>0.74657534246575341</v>
      </c>
      <c r="F25" s="906">
        <v>45100</v>
      </c>
      <c r="G25" s="928">
        <v>585</v>
      </c>
      <c r="H25" s="1035">
        <f t="shared" si="8"/>
        <v>0.80136986301369861</v>
      </c>
      <c r="J25" s="906">
        <v>45130</v>
      </c>
      <c r="K25" s="928">
        <v>735</v>
      </c>
      <c r="L25" s="1035">
        <f t="shared" si="9"/>
        <v>1.0068493150684932</v>
      </c>
      <c r="N25" s="906">
        <v>45161</v>
      </c>
      <c r="O25" s="928">
        <v>738</v>
      </c>
      <c r="P25" s="1035">
        <f t="shared" si="5"/>
        <v>1.010958904109589</v>
      </c>
      <c r="R25" s="906">
        <v>45149</v>
      </c>
      <c r="S25" s="928">
        <v>200</v>
      </c>
      <c r="T25" s="1035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2">
        <v>735</v>
      </c>
      <c r="L26" s="831">
        <f t="shared" si="9"/>
        <v>1.0068493150684932</v>
      </c>
      <c r="N26" s="832">
        <v>45162</v>
      </c>
      <c r="P26" s="831">
        <f t="shared" si="5"/>
        <v>0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3">
        <v>740</v>
      </c>
      <c r="L27" s="831">
        <f t="shared" si="9"/>
        <v>1.0136986301369864</v>
      </c>
      <c r="N27" s="832">
        <v>45163</v>
      </c>
      <c r="P27" s="831">
        <f t="shared" si="5"/>
        <v>0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0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0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0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3068</v>
      </c>
      <c r="T32" s="767"/>
    </row>
    <row r="33" spans="2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18" t="s">
        <v>3068</v>
      </c>
      <c r="T33" s="767"/>
    </row>
    <row r="34" spans="2:20">
      <c r="R34" s="832">
        <v>45140</v>
      </c>
      <c r="S34" s="918" t="s">
        <v>3068</v>
      </c>
      <c r="T34" s="767"/>
    </row>
    <row r="35" spans="2:20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31.034246575342461</v>
      </c>
      <c r="R35" s="832">
        <v>45139</v>
      </c>
      <c r="S35" s="918" t="s">
        <v>3068</v>
      </c>
      <c r="T35" s="767"/>
    </row>
    <row r="36" spans="2:20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2014.3561643835612</v>
      </c>
      <c r="R36" s="903" t="s">
        <v>2924</v>
      </c>
      <c r="T36" s="831">
        <f>SUM(T5:T35)</f>
        <v>217.41369863013708</v>
      </c>
    </row>
    <row r="37" spans="2:20" s="918" customFormat="1">
      <c r="D37" s="407"/>
      <c r="H37" s="407"/>
      <c r="L37" s="407"/>
      <c r="P37" s="40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1015" t="s">
        <v>1875</v>
      </c>
      <c r="C2" s="1015"/>
      <c r="D2" s="1015"/>
      <c r="E2" s="1017" t="s">
        <v>2497</v>
      </c>
      <c r="F2" s="1017" t="s">
        <v>2519</v>
      </c>
      <c r="G2" s="689"/>
      <c r="H2" s="1003"/>
      <c r="I2" s="1016" t="s">
        <v>2624</v>
      </c>
      <c r="J2" s="1016"/>
      <c r="K2" s="1005" t="s">
        <v>2621</v>
      </c>
      <c r="L2" s="1005" t="s">
        <v>2543</v>
      </c>
      <c r="M2" s="1017" t="s">
        <v>2502</v>
      </c>
      <c r="N2" s="99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18"/>
      <c r="F3" s="1018"/>
      <c r="G3" s="693"/>
      <c r="H3" s="1004"/>
      <c r="I3" s="694" t="s">
        <v>2586</v>
      </c>
      <c r="J3" s="695" t="s">
        <v>2211</v>
      </c>
      <c r="K3" s="1006"/>
      <c r="L3" s="1006"/>
      <c r="M3" s="1018"/>
      <c r="N3" s="99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0" t="s">
        <v>2500</v>
      </c>
      <c r="D10" s="1010"/>
      <c r="E10" s="1010"/>
      <c r="F10" s="1010"/>
      <c r="G10" s="1010"/>
      <c r="H10" s="1010"/>
      <c r="I10" s="1010"/>
      <c r="J10" s="1010"/>
      <c r="K10" s="1010"/>
      <c r="L10" s="1010"/>
      <c r="M10" s="1010"/>
      <c r="N10" s="1010"/>
      <c r="O10" s="1010"/>
      <c r="P10" s="1010"/>
    </row>
    <row r="11" spans="2:16" ht="12.75" customHeight="1">
      <c r="B11" s="564"/>
      <c r="C11" s="556" t="s">
        <v>2515</v>
      </c>
      <c r="D11" s="554"/>
      <c r="E11" s="998" t="s">
        <v>2497</v>
      </c>
      <c r="F11" s="998" t="s">
        <v>2519</v>
      </c>
      <c r="G11" s="558"/>
      <c r="H11" s="1001" t="s">
        <v>2508</v>
      </c>
      <c r="I11" s="1007" t="s">
        <v>2742</v>
      </c>
      <c r="J11" s="1011" t="s">
        <v>2622</v>
      </c>
      <c r="K11" s="1011"/>
      <c r="L11" s="1012"/>
      <c r="M11" s="998" t="s">
        <v>2743</v>
      </c>
      <c r="N11" s="1000" t="s">
        <v>2509</v>
      </c>
    </row>
    <row r="12" spans="2:16">
      <c r="B12" s="564"/>
      <c r="C12" s="550" t="s">
        <v>1873</v>
      </c>
      <c r="D12" s="551" t="s">
        <v>2412</v>
      </c>
      <c r="E12" s="999"/>
      <c r="F12" s="999"/>
      <c r="G12" s="560"/>
      <c r="H12" s="1002"/>
      <c r="I12" s="1008"/>
      <c r="J12" s="697" t="s">
        <v>2517</v>
      </c>
      <c r="K12" s="561" t="s">
        <v>1874</v>
      </c>
      <c r="L12" s="1013"/>
      <c r="M12" s="999"/>
      <c r="N12" s="1000"/>
    </row>
    <row r="13" spans="2:16" s="622" customFormat="1">
      <c r="B13" s="1014">
        <v>8</v>
      </c>
      <c r="C13" s="101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9" t="s">
        <v>2501</v>
      </c>
      <c r="D19" s="1009"/>
      <c r="E19" s="1009"/>
      <c r="F19" s="1009"/>
      <c r="G19" s="1009"/>
      <c r="H19" s="1009"/>
      <c r="I19" s="1009"/>
      <c r="J19" s="1009"/>
      <c r="K19" s="1009"/>
      <c r="L19" s="1009"/>
      <c r="M19" s="1009"/>
      <c r="N19" s="1009"/>
      <c r="O19" s="1009"/>
      <c r="P19" s="1009"/>
    </row>
    <row r="20" spans="2:18" s="729" customFormat="1">
      <c r="B20" s="741"/>
      <c r="G20" s="99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6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6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9">
        <f>SUMPRODUCT(D4:D33,E4:E33)/365</f>
        <v>25.715295438356168</v>
      </c>
      <c r="E34" s="1019"/>
      <c r="F34" s="773"/>
    </row>
    <row r="35" spans="2:11">
      <c r="B35" s="772" t="s">
        <v>2809</v>
      </c>
      <c r="D35" s="1019" t="s">
        <v>2797</v>
      </c>
      <c r="E35" s="101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J44" sqref="J4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5.8867187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2787</v>
      </c>
      <c r="C2" s="734"/>
      <c r="D2" s="821" t="s">
        <v>2994</v>
      </c>
    </row>
    <row r="3" spans="2:10" ht="14.4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4">
      <c r="B4" s="242">
        <f t="shared" si="0"/>
        <v>100000</v>
      </c>
      <c r="C4" s="736">
        <v>45137</v>
      </c>
      <c r="D4" s="869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4">
      <c r="B5" s="242">
        <f t="shared" si="0"/>
        <v>100000</v>
      </c>
      <c r="C5" s="736">
        <v>45136</v>
      </c>
      <c r="D5" s="869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4">
      <c r="B6" s="242">
        <f t="shared" si="0"/>
        <v>100000</v>
      </c>
      <c r="C6" s="736">
        <v>45135</v>
      </c>
      <c r="D6" s="869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100000</v>
      </c>
      <c r="C7" s="736">
        <v>45134</v>
      </c>
      <c r="D7" s="869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100000</v>
      </c>
      <c r="C8" s="736">
        <v>45133</v>
      </c>
      <c r="D8" s="869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4">
      <c r="B9" s="242">
        <f t="shared" si="0"/>
        <v>100000</v>
      </c>
      <c r="C9" s="736">
        <v>45132</v>
      </c>
      <c r="D9" s="869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45131</v>
      </c>
      <c r="D10" s="869">
        <v>102041.74</v>
      </c>
      <c r="E10" s="737">
        <f t="shared" si="1"/>
        <v>4.0000000000000001E-3</v>
      </c>
      <c r="F10" s="737"/>
    </row>
    <row r="11" spans="2:10" ht="14.4">
      <c r="B11" s="242">
        <f t="shared" si="0"/>
        <v>100000</v>
      </c>
      <c r="C11" s="736">
        <v>45130</v>
      </c>
      <c r="D11" s="869">
        <v>100112.72</v>
      </c>
      <c r="E11" s="737">
        <f>VLOOKUP(D11,$H$5:$I$8,2)</f>
        <v>4.0000000000000001E-3</v>
      </c>
      <c r="F11" s="737"/>
    </row>
    <row r="12" spans="2:10" ht="14.4">
      <c r="B12" s="242">
        <f t="shared" si="0"/>
        <v>100000</v>
      </c>
      <c r="C12" s="736">
        <v>45129</v>
      </c>
      <c r="D12" s="869">
        <v>100112.72</v>
      </c>
      <c r="E12" s="737">
        <f t="shared" si="1"/>
        <v>4.0000000000000001E-3</v>
      </c>
      <c r="F12" s="737"/>
    </row>
    <row r="13" spans="2:10" ht="14.4">
      <c r="B13" s="242">
        <f t="shared" si="0"/>
        <v>100000</v>
      </c>
      <c r="C13" s="736">
        <v>45128</v>
      </c>
      <c r="D13" s="869">
        <v>100113.79</v>
      </c>
      <c r="E13" s="737">
        <f t="shared" si="1"/>
        <v>4.0000000000000001E-3</v>
      </c>
      <c r="F13" s="737"/>
    </row>
    <row r="14" spans="2:10" ht="14.4">
      <c r="B14" s="242">
        <f t="shared" si="0"/>
        <v>100000</v>
      </c>
      <c r="C14" s="736">
        <v>45127</v>
      </c>
      <c r="D14" s="869">
        <v>100112.79</v>
      </c>
      <c r="E14" s="737">
        <f t="shared" si="1"/>
        <v>4.0000000000000001E-3</v>
      </c>
      <c r="F14" s="737"/>
    </row>
    <row r="15" spans="2:10" ht="14.4">
      <c r="B15" s="242">
        <f t="shared" si="0"/>
        <v>100000</v>
      </c>
      <c r="C15" s="736">
        <v>45126</v>
      </c>
      <c r="D15" s="869">
        <v>100039.78</v>
      </c>
      <c r="E15" s="737">
        <f t="shared" si="1"/>
        <v>4.0000000000000001E-3</v>
      </c>
      <c r="F15" s="737"/>
    </row>
    <row r="16" spans="2:10" ht="14.4">
      <c r="B16" s="242">
        <f t="shared" si="0"/>
        <v>100000</v>
      </c>
      <c r="C16" s="736">
        <v>45125</v>
      </c>
      <c r="D16" s="869">
        <v>100039.77</v>
      </c>
      <c r="E16" s="737">
        <f t="shared" si="1"/>
        <v>4.0000000000000001E-3</v>
      </c>
      <c r="F16" s="737"/>
    </row>
    <row r="17" spans="2:11" ht="14.4">
      <c r="B17" s="242">
        <f t="shared" si="0"/>
        <v>100000</v>
      </c>
      <c r="C17" s="736">
        <v>45124</v>
      </c>
      <c r="D17" s="869">
        <v>100040.78</v>
      </c>
      <c r="E17" s="737">
        <f t="shared" si="1"/>
        <v>4.0000000000000001E-3</v>
      </c>
      <c r="F17" s="737"/>
    </row>
    <row r="18" spans="2:11" ht="14.4">
      <c r="B18" s="242">
        <f t="shared" si="0"/>
        <v>100000</v>
      </c>
      <c r="C18" s="736">
        <v>45123</v>
      </c>
      <c r="D18" s="869">
        <v>100041.74</v>
      </c>
      <c r="E18" s="737">
        <f t="shared" si="1"/>
        <v>4.0000000000000001E-3</v>
      </c>
      <c r="F18" s="737"/>
    </row>
    <row r="19" spans="2:11" ht="14.4">
      <c r="B19" s="242">
        <f t="shared" si="0"/>
        <v>100000</v>
      </c>
      <c r="C19" s="736">
        <v>45122</v>
      </c>
      <c r="D19" s="869">
        <v>100041.74</v>
      </c>
      <c r="E19" s="737">
        <f>VLOOKUP(D19,$H$5:$I$8,2)</f>
        <v>4.0000000000000001E-3</v>
      </c>
      <c r="F19" s="737"/>
    </row>
    <row r="20" spans="2:11" ht="14.4">
      <c r="B20" s="242">
        <f t="shared" si="0"/>
        <v>100000</v>
      </c>
      <c r="C20" s="736">
        <v>45121</v>
      </c>
      <c r="D20" s="869">
        <v>100443.85</v>
      </c>
      <c r="E20" s="737">
        <f t="shared" si="1"/>
        <v>4.0000000000000001E-3</v>
      </c>
      <c r="F20" s="737"/>
    </row>
    <row r="21" spans="2:11" ht="14.4">
      <c r="B21" s="242">
        <f t="shared" si="0"/>
        <v>100000</v>
      </c>
      <c r="C21" s="736">
        <v>45120</v>
      </c>
      <c r="D21" s="869">
        <v>100450.49</v>
      </c>
      <c r="E21" s="737">
        <f t="shared" si="1"/>
        <v>4.0000000000000001E-3</v>
      </c>
      <c r="F21" s="737"/>
    </row>
    <row r="22" spans="2:11" ht="14.4">
      <c r="B22" s="242">
        <f t="shared" si="0"/>
        <v>100000</v>
      </c>
      <c r="C22" s="736">
        <v>45119</v>
      </c>
      <c r="D22" s="869">
        <v>103519.36</v>
      </c>
      <c r="E22" s="737">
        <f t="shared" si="1"/>
        <v>4.0000000000000001E-3</v>
      </c>
      <c r="F22" s="737"/>
    </row>
    <row r="23" spans="2:11" ht="14.4">
      <c r="B23" s="242">
        <f t="shared" si="0"/>
        <v>100000</v>
      </c>
      <c r="C23" s="736">
        <v>45118</v>
      </c>
      <c r="D23" s="869">
        <v>102515.33</v>
      </c>
      <c r="E23" s="737">
        <f t="shared" si="1"/>
        <v>4.0000000000000001E-3</v>
      </c>
      <c r="F23" s="737"/>
    </row>
    <row r="24" spans="2:11" ht="14.4">
      <c r="B24" s="242">
        <f t="shared" si="0"/>
        <v>100000</v>
      </c>
      <c r="C24" s="736">
        <v>45117</v>
      </c>
      <c r="D24" s="869">
        <v>100515.32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736">
        <v>45116</v>
      </c>
      <c r="D25" s="869">
        <v>100397.35</v>
      </c>
      <c r="E25" s="737">
        <f t="shared" si="1"/>
        <v>4.0000000000000001E-3</v>
      </c>
      <c r="F25" s="737"/>
    </row>
    <row r="26" spans="2:11" ht="14.4">
      <c r="B26" s="242">
        <f t="shared" si="0"/>
        <v>100000</v>
      </c>
      <c r="C26" s="736">
        <v>45115</v>
      </c>
      <c r="D26" s="869">
        <v>100397.35</v>
      </c>
      <c r="E26" s="737">
        <f t="shared" si="1"/>
        <v>4.0000000000000001E-3</v>
      </c>
      <c r="F26" s="737"/>
    </row>
    <row r="27" spans="2:11" ht="14.4">
      <c r="B27" s="242">
        <f t="shared" si="0"/>
        <v>100000</v>
      </c>
      <c r="C27" s="736">
        <v>45114</v>
      </c>
      <c r="D27" s="869">
        <v>100397.26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736">
        <v>45113</v>
      </c>
      <c r="D28" s="869">
        <v>100452.02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736">
        <v>45112</v>
      </c>
      <c r="D29" s="869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4">
      <c r="B30" s="242">
        <f t="shared" si="0"/>
        <v>3099.39</v>
      </c>
      <c r="C30" s="736">
        <v>45111</v>
      </c>
      <c r="D30" s="869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4">
      <c r="B31" s="242">
        <f t="shared" si="0"/>
        <v>100000</v>
      </c>
      <c r="C31" s="736">
        <v>45110</v>
      </c>
      <c r="D31" s="869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4">
      <c r="B32" s="242">
        <f t="shared" si="0"/>
        <v>100000</v>
      </c>
      <c r="C32" s="736">
        <v>45109</v>
      </c>
      <c r="D32" s="869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3189.42</v>
      </c>
      <c r="C33" s="736">
        <v>45108</v>
      </c>
      <c r="D33" s="869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19">
        <f>SUMPRODUCT(D3:D33,E3:E33)/365</f>
        <v>31.958798726027403</v>
      </c>
      <c r="E35" s="1019"/>
      <c r="F35" s="740"/>
    </row>
    <row r="36" spans="2:11">
      <c r="B36" s="734" t="s">
        <v>2809</v>
      </c>
      <c r="D36" s="1019" t="s">
        <v>2797</v>
      </c>
      <c r="E36" s="101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2948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2947</v>
      </c>
    </row>
    <row r="23" spans="2:9" ht="13.8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2952</v>
      </c>
    </row>
    <row r="24" spans="2:9" s="837" customFormat="1" ht="13.8">
      <c r="B24" s="227"/>
      <c r="C24" s="63"/>
      <c r="D24" s="63"/>
      <c r="E24" s="63"/>
      <c r="F24" s="706"/>
      <c r="G24" s="63"/>
      <c r="H24" s="63"/>
      <c r="I24" s="63"/>
    </row>
    <row r="25" spans="2:9" s="837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1020" t="s">
        <v>1897</v>
      </c>
      <c r="D3" s="102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1021" t="s">
        <v>2079</v>
      </c>
      <c r="C2" s="1021"/>
      <c r="D2" s="1022" t="s">
        <v>1875</v>
      </c>
      <c r="E2" s="1022"/>
      <c r="F2" s="471"/>
      <c r="G2" s="471"/>
      <c r="H2" s="378"/>
      <c r="I2" s="1025" t="s">
        <v>2256</v>
      </c>
      <c r="J2" s="1026"/>
      <c r="K2" s="1026"/>
      <c r="L2" s="1026"/>
      <c r="M2" s="1026"/>
      <c r="N2" s="1026"/>
      <c r="O2" s="1027"/>
      <c r="P2" s="438"/>
      <c r="Q2" s="102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3" t="s">
        <v>2282</v>
      </c>
      <c r="G3" s="1034"/>
      <c r="H3" s="378"/>
      <c r="I3" s="433"/>
      <c r="J3" s="472"/>
      <c r="K3" s="1030" t="s">
        <v>2422</v>
      </c>
      <c r="L3" s="1031"/>
      <c r="M3" s="1032"/>
      <c r="N3" s="476"/>
      <c r="O3" s="430"/>
      <c r="P3" s="470"/>
      <c r="Q3" s="1029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40" t="s">
        <v>124</v>
      </c>
      <c r="C1" s="940"/>
      <c r="D1" s="944" t="s">
        <v>292</v>
      </c>
      <c r="E1" s="944"/>
      <c r="F1" s="944" t="s">
        <v>341</v>
      </c>
      <c r="G1" s="944"/>
      <c r="H1" s="941" t="s">
        <v>127</v>
      </c>
      <c r="I1" s="941"/>
      <c r="J1" s="942" t="s">
        <v>292</v>
      </c>
      <c r="K1" s="942"/>
      <c r="L1" s="943" t="s">
        <v>520</v>
      </c>
      <c r="M1" s="943"/>
      <c r="N1" s="941" t="s">
        <v>146</v>
      </c>
      <c r="O1" s="941"/>
      <c r="P1" s="942" t="s">
        <v>293</v>
      </c>
      <c r="Q1" s="942"/>
      <c r="R1" s="943" t="s">
        <v>522</v>
      </c>
      <c r="S1" s="943"/>
      <c r="T1" s="929" t="s">
        <v>193</v>
      </c>
      <c r="U1" s="929"/>
      <c r="V1" s="942" t="s">
        <v>292</v>
      </c>
      <c r="W1" s="942"/>
      <c r="X1" s="931" t="s">
        <v>524</v>
      </c>
      <c r="Y1" s="931"/>
      <c r="Z1" s="929" t="s">
        <v>241</v>
      </c>
      <c r="AA1" s="929"/>
      <c r="AB1" s="930" t="s">
        <v>292</v>
      </c>
      <c r="AC1" s="930"/>
      <c r="AD1" s="939" t="s">
        <v>524</v>
      </c>
      <c r="AE1" s="939"/>
      <c r="AF1" s="929" t="s">
        <v>367</v>
      </c>
      <c r="AG1" s="929"/>
      <c r="AH1" s="930" t="s">
        <v>292</v>
      </c>
      <c r="AI1" s="930"/>
      <c r="AJ1" s="931" t="s">
        <v>530</v>
      </c>
      <c r="AK1" s="931"/>
      <c r="AL1" s="929" t="s">
        <v>389</v>
      </c>
      <c r="AM1" s="929"/>
      <c r="AN1" s="937" t="s">
        <v>292</v>
      </c>
      <c r="AO1" s="937"/>
      <c r="AP1" s="935" t="s">
        <v>531</v>
      </c>
      <c r="AQ1" s="935"/>
      <c r="AR1" s="929" t="s">
        <v>416</v>
      </c>
      <c r="AS1" s="929"/>
      <c r="AV1" s="935" t="s">
        <v>285</v>
      </c>
      <c r="AW1" s="935"/>
      <c r="AX1" s="938" t="s">
        <v>998</v>
      </c>
      <c r="AY1" s="938"/>
      <c r="AZ1" s="938"/>
      <c r="BA1" s="208"/>
      <c r="BB1" s="933">
        <v>42942</v>
      </c>
      <c r="BC1" s="934"/>
      <c r="BD1" s="93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2" t="s">
        <v>261</v>
      </c>
      <c r="U4" s="932"/>
      <c r="X4" s="119" t="s">
        <v>233</v>
      </c>
      <c r="Y4" s="123">
        <f>Y3-Y6</f>
        <v>4.9669099999591708</v>
      </c>
      <c r="Z4" s="932" t="s">
        <v>262</v>
      </c>
      <c r="AA4" s="932"/>
      <c r="AD4" s="154" t="s">
        <v>233</v>
      </c>
      <c r="AE4" s="154">
        <f>AE3-AE5</f>
        <v>-52.526899999851594</v>
      </c>
      <c r="AF4" s="932" t="s">
        <v>262</v>
      </c>
      <c r="AG4" s="932"/>
      <c r="AH4" s="143"/>
      <c r="AI4" s="143"/>
      <c r="AJ4" s="154" t="s">
        <v>233</v>
      </c>
      <c r="AK4" s="154">
        <f>AK3-AK5</f>
        <v>94.988909999992757</v>
      </c>
      <c r="AL4" s="932" t="s">
        <v>262</v>
      </c>
      <c r="AM4" s="932"/>
      <c r="AP4" s="170" t="s">
        <v>233</v>
      </c>
      <c r="AQ4" s="174">
        <f>AQ3-AQ5</f>
        <v>33.841989999942598</v>
      </c>
      <c r="AR4" s="932" t="s">
        <v>262</v>
      </c>
      <c r="AS4" s="932"/>
      <c r="AX4" s="932" t="s">
        <v>564</v>
      </c>
      <c r="AY4" s="932"/>
      <c r="BB4" s="932" t="s">
        <v>567</v>
      </c>
      <c r="BC4" s="93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2"/>
      <c r="U5" s="932"/>
      <c r="V5" s="3" t="s">
        <v>258</v>
      </c>
      <c r="W5">
        <v>2050</v>
      </c>
      <c r="X5" s="82"/>
      <c r="Z5" s="932"/>
      <c r="AA5" s="93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2"/>
      <c r="AG5" s="932"/>
      <c r="AH5" s="143"/>
      <c r="AI5" s="143"/>
      <c r="AJ5" s="154" t="s">
        <v>352</v>
      </c>
      <c r="AK5" s="162">
        <f>SUM(AK11:AK59)</f>
        <v>30858.011000000002</v>
      </c>
      <c r="AL5" s="932"/>
      <c r="AM5" s="93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2"/>
      <c r="AS5" s="932"/>
      <c r="AX5" s="932"/>
      <c r="AY5" s="932"/>
      <c r="BB5" s="932"/>
      <c r="BC5" s="932"/>
      <c r="BD5" s="936" t="s">
        <v>999</v>
      </c>
      <c r="BE5" s="936"/>
      <c r="BF5" s="936"/>
      <c r="BG5" s="936"/>
      <c r="BH5" s="936"/>
      <c r="BI5" s="936"/>
      <c r="BJ5" s="936"/>
      <c r="BK5" s="936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5" t="s">
        <v>264</v>
      </c>
      <c r="W23" s="94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7"/>
      <c r="W24" s="94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9" t="s">
        <v>2664</v>
      </c>
      <c r="H3" s="950"/>
      <c r="I3" s="590"/>
      <c r="J3" s="949" t="s">
        <v>2665</v>
      </c>
      <c r="K3" s="950"/>
      <c r="L3" s="299"/>
      <c r="M3" s="949">
        <v>43739</v>
      </c>
      <c r="N3" s="950"/>
      <c r="O3" s="949">
        <v>42401</v>
      </c>
      <c r="P3" s="95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5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5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4">
        <f>G40/F42+H40</f>
        <v>1932511.2781954887</v>
      </c>
      <c r="H43" s="95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3">
        <f>H40*F42+G40</f>
        <v>2570240</v>
      </c>
      <c r="H44" s="953"/>
      <c r="I44" s="2"/>
      <c r="J44" s="953">
        <f>K40*1.37+J40</f>
        <v>1877697.6600000001</v>
      </c>
      <c r="K44" s="953"/>
      <c r="L44" s="2"/>
      <c r="M44" s="953">
        <f>N40*1.37+M40</f>
        <v>1789659</v>
      </c>
      <c r="N44" s="953"/>
      <c r="O44" s="953">
        <f>P40*1.36+O40</f>
        <v>1320187.2</v>
      </c>
      <c r="P44" s="95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2" t="s">
        <v>1186</v>
      </c>
      <c r="C47" s="952"/>
      <c r="D47" s="952"/>
      <c r="E47" s="952"/>
      <c r="F47" s="952"/>
      <c r="G47" s="952"/>
      <c r="H47" s="952"/>
      <c r="I47" s="952"/>
      <c r="J47" s="952"/>
      <c r="K47" s="952"/>
      <c r="L47" s="952"/>
      <c r="M47" s="952"/>
      <c r="N47" s="952"/>
    </row>
    <row r="48" spans="2:16">
      <c r="B48" s="952" t="s">
        <v>2560</v>
      </c>
      <c r="C48" s="952"/>
      <c r="D48" s="952"/>
      <c r="E48" s="952"/>
      <c r="F48" s="952"/>
      <c r="G48" s="952"/>
      <c r="H48" s="952"/>
      <c r="I48" s="952"/>
      <c r="J48" s="952"/>
      <c r="K48" s="952"/>
      <c r="L48" s="952"/>
      <c r="M48" s="952"/>
      <c r="N48" s="952"/>
    </row>
    <row r="49" spans="2:14">
      <c r="B49" s="952" t="s">
        <v>2559</v>
      </c>
      <c r="C49" s="952"/>
      <c r="D49" s="952"/>
      <c r="E49" s="952"/>
      <c r="F49" s="952"/>
      <c r="G49" s="952"/>
      <c r="H49" s="952"/>
      <c r="I49" s="952"/>
      <c r="J49" s="952"/>
      <c r="K49" s="952"/>
      <c r="L49" s="952"/>
      <c r="M49" s="952"/>
      <c r="N49" s="952"/>
    </row>
    <row r="50" spans="2:14">
      <c r="B50" s="951" t="s">
        <v>2558</v>
      </c>
      <c r="C50" s="951"/>
      <c r="D50" s="951"/>
      <c r="E50" s="951"/>
      <c r="F50" s="951"/>
      <c r="G50" s="951"/>
      <c r="H50" s="951"/>
      <c r="I50" s="951"/>
      <c r="J50" s="951"/>
      <c r="K50" s="951"/>
      <c r="L50" s="951"/>
      <c r="M50" s="951"/>
      <c r="N50" s="951"/>
    </row>
    <row r="51" spans="2:14">
      <c r="B51" s="951"/>
      <c r="C51" s="951"/>
      <c r="D51" s="951"/>
      <c r="E51" s="951"/>
      <c r="F51" s="951"/>
      <c r="G51" s="951"/>
      <c r="H51" s="951"/>
      <c r="I51" s="951"/>
      <c r="J51" s="951"/>
      <c r="K51" s="951"/>
      <c r="L51" s="951"/>
      <c r="M51" s="951"/>
      <c r="N51" s="951"/>
    </row>
    <row r="52" spans="2:14">
      <c r="B52" s="951"/>
      <c r="C52" s="951"/>
      <c r="D52" s="951"/>
      <c r="E52" s="951"/>
      <c r="F52" s="951"/>
      <c r="G52" s="951"/>
      <c r="H52" s="951"/>
      <c r="I52" s="951"/>
      <c r="J52" s="951"/>
      <c r="K52" s="951"/>
      <c r="L52" s="951"/>
      <c r="M52" s="951"/>
      <c r="N52" s="95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1" t="s">
        <v>2652</v>
      </c>
      <c r="F38" s="96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60" t="s">
        <v>989</v>
      </c>
      <c r="C41" s="960"/>
      <c r="D41" s="960"/>
      <c r="E41" s="960"/>
      <c r="F41" s="960"/>
      <c r="G41" s="960"/>
      <c r="H41" s="96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40" t="s">
        <v>909</v>
      </c>
      <c r="C1" s="940"/>
      <c r="D1" s="939" t="s">
        <v>515</v>
      </c>
      <c r="E1" s="939"/>
      <c r="F1" s="940" t="s">
        <v>513</v>
      </c>
      <c r="G1" s="940"/>
      <c r="H1" s="963" t="s">
        <v>549</v>
      </c>
      <c r="I1" s="963"/>
      <c r="J1" s="939" t="s">
        <v>515</v>
      </c>
      <c r="K1" s="939"/>
      <c r="L1" s="940" t="s">
        <v>908</v>
      </c>
      <c r="M1" s="940"/>
      <c r="N1" s="963" t="s">
        <v>549</v>
      </c>
      <c r="O1" s="963"/>
      <c r="P1" s="939" t="s">
        <v>515</v>
      </c>
      <c r="Q1" s="939"/>
      <c r="R1" s="940" t="s">
        <v>552</v>
      </c>
      <c r="S1" s="940"/>
      <c r="T1" s="963" t="s">
        <v>549</v>
      </c>
      <c r="U1" s="963"/>
      <c r="V1" s="939" t="s">
        <v>515</v>
      </c>
      <c r="W1" s="939"/>
      <c r="X1" s="940" t="s">
        <v>907</v>
      </c>
      <c r="Y1" s="940"/>
      <c r="Z1" s="963" t="s">
        <v>549</v>
      </c>
      <c r="AA1" s="963"/>
      <c r="AB1" s="939" t="s">
        <v>515</v>
      </c>
      <c r="AC1" s="939"/>
      <c r="AD1" s="940" t="s">
        <v>591</v>
      </c>
      <c r="AE1" s="940"/>
      <c r="AF1" s="963" t="s">
        <v>549</v>
      </c>
      <c r="AG1" s="963"/>
      <c r="AH1" s="939" t="s">
        <v>515</v>
      </c>
      <c r="AI1" s="939"/>
      <c r="AJ1" s="940" t="s">
        <v>906</v>
      </c>
      <c r="AK1" s="940"/>
      <c r="AL1" s="963" t="s">
        <v>626</v>
      </c>
      <c r="AM1" s="963"/>
      <c r="AN1" s="939" t="s">
        <v>627</v>
      </c>
      <c r="AO1" s="939"/>
      <c r="AP1" s="940" t="s">
        <v>621</v>
      </c>
      <c r="AQ1" s="940"/>
      <c r="AR1" s="963" t="s">
        <v>549</v>
      </c>
      <c r="AS1" s="963"/>
      <c r="AT1" s="939" t="s">
        <v>515</v>
      </c>
      <c r="AU1" s="939"/>
      <c r="AV1" s="940" t="s">
        <v>905</v>
      </c>
      <c r="AW1" s="940"/>
      <c r="AX1" s="963" t="s">
        <v>549</v>
      </c>
      <c r="AY1" s="963"/>
      <c r="AZ1" s="939" t="s">
        <v>515</v>
      </c>
      <c r="BA1" s="939"/>
      <c r="BB1" s="940" t="s">
        <v>653</v>
      </c>
      <c r="BC1" s="940"/>
      <c r="BD1" s="963" t="s">
        <v>549</v>
      </c>
      <c r="BE1" s="963"/>
      <c r="BF1" s="939" t="s">
        <v>515</v>
      </c>
      <c r="BG1" s="939"/>
      <c r="BH1" s="940" t="s">
        <v>904</v>
      </c>
      <c r="BI1" s="940"/>
      <c r="BJ1" s="963" t="s">
        <v>549</v>
      </c>
      <c r="BK1" s="963"/>
      <c r="BL1" s="939" t="s">
        <v>515</v>
      </c>
      <c r="BM1" s="939"/>
      <c r="BN1" s="940" t="s">
        <v>921</v>
      </c>
      <c r="BO1" s="940"/>
      <c r="BP1" s="963" t="s">
        <v>549</v>
      </c>
      <c r="BQ1" s="963"/>
      <c r="BR1" s="939" t="s">
        <v>515</v>
      </c>
      <c r="BS1" s="939"/>
      <c r="BT1" s="940" t="s">
        <v>903</v>
      </c>
      <c r="BU1" s="940"/>
      <c r="BV1" s="963" t="s">
        <v>704</v>
      </c>
      <c r="BW1" s="963"/>
      <c r="BX1" s="939" t="s">
        <v>705</v>
      </c>
      <c r="BY1" s="939"/>
      <c r="BZ1" s="940" t="s">
        <v>703</v>
      </c>
      <c r="CA1" s="940"/>
      <c r="CB1" s="963" t="s">
        <v>730</v>
      </c>
      <c r="CC1" s="963"/>
      <c r="CD1" s="939" t="s">
        <v>731</v>
      </c>
      <c r="CE1" s="939"/>
      <c r="CF1" s="940" t="s">
        <v>902</v>
      </c>
      <c r="CG1" s="940"/>
      <c r="CH1" s="963" t="s">
        <v>730</v>
      </c>
      <c r="CI1" s="963"/>
      <c r="CJ1" s="939" t="s">
        <v>731</v>
      </c>
      <c r="CK1" s="939"/>
      <c r="CL1" s="940" t="s">
        <v>748</v>
      </c>
      <c r="CM1" s="940"/>
      <c r="CN1" s="963" t="s">
        <v>730</v>
      </c>
      <c r="CO1" s="963"/>
      <c r="CP1" s="939" t="s">
        <v>731</v>
      </c>
      <c r="CQ1" s="939"/>
      <c r="CR1" s="940" t="s">
        <v>901</v>
      </c>
      <c r="CS1" s="940"/>
      <c r="CT1" s="963" t="s">
        <v>730</v>
      </c>
      <c r="CU1" s="963"/>
      <c r="CV1" s="967" t="s">
        <v>731</v>
      </c>
      <c r="CW1" s="967"/>
      <c r="CX1" s="940" t="s">
        <v>769</v>
      </c>
      <c r="CY1" s="940"/>
      <c r="CZ1" s="963" t="s">
        <v>730</v>
      </c>
      <c r="DA1" s="963"/>
      <c r="DB1" s="967" t="s">
        <v>731</v>
      </c>
      <c r="DC1" s="967"/>
      <c r="DD1" s="940" t="s">
        <v>900</v>
      </c>
      <c r="DE1" s="940"/>
      <c r="DF1" s="963" t="s">
        <v>816</v>
      </c>
      <c r="DG1" s="963"/>
      <c r="DH1" s="967" t="s">
        <v>817</v>
      </c>
      <c r="DI1" s="967"/>
      <c r="DJ1" s="940" t="s">
        <v>809</v>
      </c>
      <c r="DK1" s="940"/>
      <c r="DL1" s="963" t="s">
        <v>816</v>
      </c>
      <c r="DM1" s="963"/>
      <c r="DN1" s="967" t="s">
        <v>731</v>
      </c>
      <c r="DO1" s="967"/>
      <c r="DP1" s="940" t="s">
        <v>899</v>
      </c>
      <c r="DQ1" s="940"/>
      <c r="DR1" s="963" t="s">
        <v>816</v>
      </c>
      <c r="DS1" s="963"/>
      <c r="DT1" s="967" t="s">
        <v>731</v>
      </c>
      <c r="DU1" s="967"/>
      <c r="DV1" s="940" t="s">
        <v>898</v>
      </c>
      <c r="DW1" s="940"/>
      <c r="DX1" s="963" t="s">
        <v>816</v>
      </c>
      <c r="DY1" s="963"/>
      <c r="DZ1" s="967" t="s">
        <v>731</v>
      </c>
      <c r="EA1" s="967"/>
      <c r="EB1" s="940" t="s">
        <v>897</v>
      </c>
      <c r="EC1" s="940"/>
      <c r="ED1" s="963" t="s">
        <v>816</v>
      </c>
      <c r="EE1" s="963"/>
      <c r="EF1" s="967" t="s">
        <v>731</v>
      </c>
      <c r="EG1" s="967"/>
      <c r="EH1" s="940" t="s">
        <v>883</v>
      </c>
      <c r="EI1" s="940"/>
      <c r="EJ1" s="963" t="s">
        <v>816</v>
      </c>
      <c r="EK1" s="963"/>
      <c r="EL1" s="967" t="s">
        <v>936</v>
      </c>
      <c r="EM1" s="967"/>
      <c r="EN1" s="940" t="s">
        <v>922</v>
      </c>
      <c r="EO1" s="940"/>
      <c r="EP1" s="963" t="s">
        <v>816</v>
      </c>
      <c r="EQ1" s="963"/>
      <c r="ER1" s="967" t="s">
        <v>950</v>
      </c>
      <c r="ES1" s="967"/>
      <c r="ET1" s="940" t="s">
        <v>937</v>
      </c>
      <c r="EU1" s="940"/>
      <c r="EV1" s="963" t="s">
        <v>816</v>
      </c>
      <c r="EW1" s="963"/>
      <c r="EX1" s="967" t="s">
        <v>530</v>
      </c>
      <c r="EY1" s="967"/>
      <c r="EZ1" s="940" t="s">
        <v>952</v>
      </c>
      <c r="FA1" s="94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6" t="s">
        <v>779</v>
      </c>
      <c r="CU7" s="94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6" t="s">
        <v>778</v>
      </c>
      <c r="DA8" s="94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6" t="s">
        <v>778</v>
      </c>
      <c r="DG8" s="94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6" t="s">
        <v>778</v>
      </c>
      <c r="DM8" s="94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6" t="s">
        <v>778</v>
      </c>
      <c r="DS8" s="940"/>
      <c r="DT8" s="142" t="s">
        <v>783</v>
      </c>
      <c r="DU8" s="142">
        <f>SUM(DU13:DU17)</f>
        <v>32</v>
      </c>
      <c r="DV8" s="63"/>
      <c r="DW8" s="63"/>
      <c r="DX8" s="966" t="s">
        <v>778</v>
      </c>
      <c r="DY8" s="94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6" t="s">
        <v>928</v>
      </c>
      <c r="EK8" s="94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6" t="s">
        <v>928</v>
      </c>
      <c r="EQ9" s="94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6" t="s">
        <v>928</v>
      </c>
      <c r="EW9" s="94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6" t="s">
        <v>928</v>
      </c>
      <c r="EE11" s="94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6" t="s">
        <v>778</v>
      </c>
      <c r="CU12" s="94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9" t="s">
        <v>782</v>
      </c>
      <c r="CU19" s="92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2" t="s">
        <v>858</v>
      </c>
      <c r="FA21" s="952"/>
      <c r="FC21" s="238">
        <f>FC20-FC22</f>
        <v>113457.16899999997</v>
      </c>
      <c r="FD21" s="230"/>
      <c r="FE21" s="968" t="s">
        <v>1546</v>
      </c>
      <c r="FF21" s="968"/>
      <c r="FG21" s="96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2" t="s">
        <v>871</v>
      </c>
      <c r="FA22" s="95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2" t="s">
        <v>1000</v>
      </c>
      <c r="FA23" s="95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2" t="s">
        <v>1076</v>
      </c>
      <c r="FA24" s="95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KC1" zoomScaleNormal="100" workbookViewId="0">
      <selection activeCell="KI30" sqref="KI30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bestFit="1" customWidth="1"/>
    <col min="288" max="288" width="17.6640625" style="845" customWidth="1"/>
    <col min="289" max="289" width="8.109375" style="865" bestFit="1" customWidth="1"/>
    <col min="290" max="290" width="15.88671875" style="850" bestFit="1" customWidth="1"/>
    <col min="291" max="291" width="9.109375" style="850" bestFit="1" customWidth="1"/>
    <col min="292" max="292" width="16.88671875" style="850" customWidth="1"/>
    <col min="293" max="293" width="11.88671875" style="850" bestFit="1" customWidth="1"/>
    <col min="294" max="294" width="17.6640625" style="850" customWidth="1"/>
    <col min="295" max="295" width="8.109375" style="850" bestFit="1" customWidth="1"/>
    <col min="296" max="296" width="6.88671875" style="850" bestFit="1" customWidth="1"/>
    <col min="297" max="297" width="8.44140625" style="850" customWidth="1"/>
  </cols>
  <sheetData>
    <row r="1" spans="1:297" s="142" customFormat="1">
      <c r="A1" s="975" t="s">
        <v>1209</v>
      </c>
      <c r="B1" s="975"/>
      <c r="C1" s="937" t="s">
        <v>292</v>
      </c>
      <c r="D1" s="937"/>
      <c r="E1" s="935" t="s">
        <v>1010</v>
      </c>
      <c r="F1" s="935"/>
      <c r="G1" s="975" t="s">
        <v>1210</v>
      </c>
      <c r="H1" s="975"/>
      <c r="I1" s="937" t="s">
        <v>292</v>
      </c>
      <c r="J1" s="937"/>
      <c r="K1" s="935" t="s">
        <v>1011</v>
      </c>
      <c r="L1" s="935"/>
      <c r="M1" s="975" t="s">
        <v>1211</v>
      </c>
      <c r="N1" s="975"/>
      <c r="O1" s="937" t="s">
        <v>292</v>
      </c>
      <c r="P1" s="937"/>
      <c r="Q1" s="935" t="s">
        <v>1057</v>
      </c>
      <c r="R1" s="935"/>
      <c r="S1" s="975" t="s">
        <v>1212</v>
      </c>
      <c r="T1" s="975"/>
      <c r="U1" s="937" t="s">
        <v>292</v>
      </c>
      <c r="V1" s="937"/>
      <c r="W1" s="935" t="s">
        <v>627</v>
      </c>
      <c r="X1" s="935"/>
      <c r="Y1" s="975" t="s">
        <v>1213</v>
      </c>
      <c r="Z1" s="975"/>
      <c r="AA1" s="937" t="s">
        <v>292</v>
      </c>
      <c r="AB1" s="937"/>
      <c r="AC1" s="935" t="s">
        <v>1084</v>
      </c>
      <c r="AD1" s="935"/>
      <c r="AE1" s="975" t="s">
        <v>1214</v>
      </c>
      <c r="AF1" s="975"/>
      <c r="AG1" s="937" t="s">
        <v>292</v>
      </c>
      <c r="AH1" s="937"/>
      <c r="AI1" s="935" t="s">
        <v>1134</v>
      </c>
      <c r="AJ1" s="935"/>
      <c r="AK1" s="975" t="s">
        <v>1217</v>
      </c>
      <c r="AL1" s="975"/>
      <c r="AM1" s="937" t="s">
        <v>1132</v>
      </c>
      <c r="AN1" s="937"/>
      <c r="AO1" s="935" t="s">
        <v>1133</v>
      </c>
      <c r="AP1" s="935"/>
      <c r="AQ1" s="975" t="s">
        <v>1218</v>
      </c>
      <c r="AR1" s="975"/>
      <c r="AS1" s="937" t="s">
        <v>1132</v>
      </c>
      <c r="AT1" s="937"/>
      <c r="AU1" s="935" t="s">
        <v>1178</v>
      </c>
      <c r="AV1" s="935"/>
      <c r="AW1" s="975" t="s">
        <v>1215</v>
      </c>
      <c r="AX1" s="975"/>
      <c r="AY1" s="935" t="s">
        <v>1241</v>
      </c>
      <c r="AZ1" s="935"/>
      <c r="BA1" s="975" t="s">
        <v>1215</v>
      </c>
      <c r="BB1" s="975"/>
      <c r="BC1" s="937" t="s">
        <v>816</v>
      </c>
      <c r="BD1" s="937"/>
      <c r="BE1" s="935" t="s">
        <v>1208</v>
      </c>
      <c r="BF1" s="935"/>
      <c r="BG1" s="975" t="s">
        <v>1216</v>
      </c>
      <c r="BH1" s="975"/>
      <c r="BI1" s="937" t="s">
        <v>816</v>
      </c>
      <c r="BJ1" s="937"/>
      <c r="BK1" s="935" t="s">
        <v>1208</v>
      </c>
      <c r="BL1" s="935"/>
      <c r="BM1" s="975" t="s">
        <v>1226</v>
      </c>
      <c r="BN1" s="975"/>
      <c r="BO1" s="937" t="s">
        <v>816</v>
      </c>
      <c r="BP1" s="937"/>
      <c r="BQ1" s="935" t="s">
        <v>1244</v>
      </c>
      <c r="BR1" s="935"/>
      <c r="BS1" s="975" t="s">
        <v>1243</v>
      </c>
      <c r="BT1" s="975"/>
      <c r="BU1" s="937" t="s">
        <v>816</v>
      </c>
      <c r="BV1" s="937"/>
      <c r="BW1" s="935" t="s">
        <v>1248</v>
      </c>
      <c r="BX1" s="935"/>
      <c r="BY1" s="975" t="s">
        <v>1270</v>
      </c>
      <c r="BZ1" s="975"/>
      <c r="CA1" s="937" t="s">
        <v>816</v>
      </c>
      <c r="CB1" s="937"/>
      <c r="CC1" s="935" t="s">
        <v>1244</v>
      </c>
      <c r="CD1" s="935"/>
      <c r="CE1" s="975" t="s">
        <v>1291</v>
      </c>
      <c r="CF1" s="975"/>
      <c r="CG1" s="937" t="s">
        <v>816</v>
      </c>
      <c r="CH1" s="937"/>
      <c r="CI1" s="935" t="s">
        <v>1248</v>
      </c>
      <c r="CJ1" s="935"/>
      <c r="CK1" s="975" t="s">
        <v>1307</v>
      </c>
      <c r="CL1" s="975"/>
      <c r="CM1" s="937" t="s">
        <v>816</v>
      </c>
      <c r="CN1" s="937"/>
      <c r="CO1" s="935" t="s">
        <v>1244</v>
      </c>
      <c r="CP1" s="935"/>
      <c r="CQ1" s="975" t="s">
        <v>1335</v>
      </c>
      <c r="CR1" s="975"/>
      <c r="CS1" s="971" t="s">
        <v>816</v>
      </c>
      <c r="CT1" s="971"/>
      <c r="CU1" s="935" t="s">
        <v>1391</v>
      </c>
      <c r="CV1" s="935"/>
      <c r="CW1" s="975" t="s">
        <v>1374</v>
      </c>
      <c r="CX1" s="975"/>
      <c r="CY1" s="971" t="s">
        <v>816</v>
      </c>
      <c r="CZ1" s="971"/>
      <c r="DA1" s="935" t="s">
        <v>1597</v>
      </c>
      <c r="DB1" s="935"/>
      <c r="DC1" s="975" t="s">
        <v>1394</v>
      </c>
      <c r="DD1" s="975"/>
      <c r="DE1" s="971" t="s">
        <v>816</v>
      </c>
      <c r="DF1" s="971"/>
      <c r="DG1" s="935" t="s">
        <v>1491</v>
      </c>
      <c r="DH1" s="935"/>
      <c r="DI1" s="975" t="s">
        <v>1594</v>
      </c>
      <c r="DJ1" s="975"/>
      <c r="DK1" s="971" t="s">
        <v>816</v>
      </c>
      <c r="DL1" s="971"/>
      <c r="DM1" s="935" t="s">
        <v>1391</v>
      </c>
      <c r="DN1" s="935"/>
      <c r="DO1" s="975" t="s">
        <v>1595</v>
      </c>
      <c r="DP1" s="975"/>
      <c r="DQ1" s="971" t="s">
        <v>816</v>
      </c>
      <c r="DR1" s="971"/>
      <c r="DS1" s="935" t="s">
        <v>1590</v>
      </c>
      <c r="DT1" s="935"/>
      <c r="DU1" s="975" t="s">
        <v>1596</v>
      </c>
      <c r="DV1" s="975"/>
      <c r="DW1" s="971" t="s">
        <v>816</v>
      </c>
      <c r="DX1" s="971"/>
      <c r="DY1" s="935" t="s">
        <v>1616</v>
      </c>
      <c r="DZ1" s="935"/>
      <c r="EA1" s="970" t="s">
        <v>1611</v>
      </c>
      <c r="EB1" s="970"/>
      <c r="EC1" s="971" t="s">
        <v>816</v>
      </c>
      <c r="ED1" s="971"/>
      <c r="EE1" s="935" t="s">
        <v>1590</v>
      </c>
      <c r="EF1" s="935"/>
      <c r="EG1" s="361"/>
      <c r="EH1" s="970" t="s">
        <v>1641</v>
      </c>
      <c r="EI1" s="970"/>
      <c r="EJ1" s="971" t="s">
        <v>816</v>
      </c>
      <c r="EK1" s="971"/>
      <c r="EL1" s="935" t="s">
        <v>1675</v>
      </c>
      <c r="EM1" s="935"/>
      <c r="EN1" s="970" t="s">
        <v>1666</v>
      </c>
      <c r="EO1" s="970"/>
      <c r="EP1" s="971" t="s">
        <v>816</v>
      </c>
      <c r="EQ1" s="971"/>
      <c r="ER1" s="935" t="s">
        <v>1715</v>
      </c>
      <c r="ES1" s="935"/>
      <c r="ET1" s="970" t="s">
        <v>1708</v>
      </c>
      <c r="EU1" s="970"/>
      <c r="EV1" s="971" t="s">
        <v>816</v>
      </c>
      <c r="EW1" s="971"/>
      <c r="EX1" s="935" t="s">
        <v>1616</v>
      </c>
      <c r="EY1" s="935"/>
      <c r="EZ1" s="970" t="s">
        <v>1743</v>
      </c>
      <c r="FA1" s="970"/>
      <c r="FB1" s="971" t="s">
        <v>816</v>
      </c>
      <c r="FC1" s="971"/>
      <c r="FD1" s="935" t="s">
        <v>1597</v>
      </c>
      <c r="FE1" s="935"/>
      <c r="FF1" s="970" t="s">
        <v>1782</v>
      </c>
      <c r="FG1" s="970"/>
      <c r="FH1" s="971" t="s">
        <v>816</v>
      </c>
      <c r="FI1" s="971"/>
      <c r="FJ1" s="935" t="s">
        <v>1391</v>
      </c>
      <c r="FK1" s="935"/>
      <c r="FL1" s="970" t="s">
        <v>1817</v>
      </c>
      <c r="FM1" s="970"/>
      <c r="FN1" s="971" t="s">
        <v>816</v>
      </c>
      <c r="FO1" s="971"/>
      <c r="FP1" s="935" t="s">
        <v>1864</v>
      </c>
      <c r="FQ1" s="935"/>
      <c r="FR1" s="970" t="s">
        <v>1853</v>
      </c>
      <c r="FS1" s="970"/>
      <c r="FT1" s="971" t="s">
        <v>816</v>
      </c>
      <c r="FU1" s="971"/>
      <c r="FV1" s="935" t="s">
        <v>1864</v>
      </c>
      <c r="FW1" s="935"/>
      <c r="FX1" s="970" t="s">
        <v>1996</v>
      </c>
      <c r="FY1" s="970"/>
      <c r="FZ1" s="971" t="s">
        <v>816</v>
      </c>
      <c r="GA1" s="971"/>
      <c r="GB1" s="935" t="s">
        <v>1616</v>
      </c>
      <c r="GC1" s="935"/>
      <c r="GD1" s="970" t="s">
        <v>1997</v>
      </c>
      <c r="GE1" s="970"/>
      <c r="GF1" s="971" t="s">
        <v>816</v>
      </c>
      <c r="GG1" s="971"/>
      <c r="GH1" s="935" t="s">
        <v>1590</v>
      </c>
      <c r="GI1" s="935"/>
      <c r="GJ1" s="970" t="s">
        <v>2006</v>
      </c>
      <c r="GK1" s="970"/>
      <c r="GL1" s="971" t="s">
        <v>816</v>
      </c>
      <c r="GM1" s="971"/>
      <c r="GN1" s="935" t="s">
        <v>1590</v>
      </c>
      <c r="GO1" s="935"/>
      <c r="GP1" s="970" t="s">
        <v>2048</v>
      </c>
      <c r="GQ1" s="970"/>
      <c r="GR1" s="971" t="s">
        <v>816</v>
      </c>
      <c r="GS1" s="971"/>
      <c r="GT1" s="935" t="s">
        <v>1675</v>
      </c>
      <c r="GU1" s="935"/>
      <c r="GV1" s="970" t="s">
        <v>2082</v>
      </c>
      <c r="GW1" s="970"/>
      <c r="GX1" s="971" t="s">
        <v>816</v>
      </c>
      <c r="GY1" s="971"/>
      <c r="GZ1" s="935" t="s">
        <v>2121</v>
      </c>
      <c r="HA1" s="935"/>
      <c r="HB1" s="970" t="s">
        <v>2141</v>
      </c>
      <c r="HC1" s="970"/>
      <c r="HD1" s="971" t="s">
        <v>816</v>
      </c>
      <c r="HE1" s="971"/>
      <c r="HF1" s="935" t="s">
        <v>1715</v>
      </c>
      <c r="HG1" s="935"/>
      <c r="HH1" s="970" t="s">
        <v>2154</v>
      </c>
      <c r="HI1" s="970"/>
      <c r="HJ1" s="971" t="s">
        <v>816</v>
      </c>
      <c r="HK1" s="971"/>
      <c r="HL1" s="935" t="s">
        <v>1391</v>
      </c>
      <c r="HM1" s="935"/>
      <c r="HN1" s="970" t="s">
        <v>2200</v>
      </c>
      <c r="HO1" s="970"/>
      <c r="HP1" s="971" t="s">
        <v>816</v>
      </c>
      <c r="HQ1" s="971"/>
      <c r="HR1" s="935" t="s">
        <v>1391</v>
      </c>
      <c r="HS1" s="935"/>
      <c r="HT1" s="970" t="s">
        <v>2242</v>
      </c>
      <c r="HU1" s="970"/>
      <c r="HV1" s="971" t="s">
        <v>816</v>
      </c>
      <c r="HW1" s="971"/>
      <c r="HX1" s="935" t="s">
        <v>1616</v>
      </c>
      <c r="HY1" s="935"/>
      <c r="HZ1" s="970" t="s">
        <v>2298</v>
      </c>
      <c r="IA1" s="970"/>
      <c r="IB1" s="971" t="s">
        <v>816</v>
      </c>
      <c r="IC1" s="971"/>
      <c r="ID1" s="935" t="s">
        <v>1715</v>
      </c>
      <c r="IE1" s="935"/>
      <c r="IF1" s="970" t="s">
        <v>2365</v>
      </c>
      <c r="IG1" s="970"/>
      <c r="IH1" s="971" t="s">
        <v>816</v>
      </c>
      <c r="II1" s="971"/>
      <c r="IJ1" s="935" t="s">
        <v>1590</v>
      </c>
      <c r="IK1" s="935"/>
      <c r="IL1" s="970" t="s">
        <v>2440</v>
      </c>
      <c r="IM1" s="970"/>
      <c r="IN1" s="971" t="s">
        <v>816</v>
      </c>
      <c r="IO1" s="971"/>
      <c r="IP1" s="935" t="s">
        <v>1616</v>
      </c>
      <c r="IQ1" s="935"/>
      <c r="IR1" s="970" t="s">
        <v>2655</v>
      </c>
      <c r="IS1" s="970"/>
      <c r="IT1" s="971" t="s">
        <v>816</v>
      </c>
      <c r="IU1" s="971"/>
      <c r="IV1" s="935" t="s">
        <v>1748</v>
      </c>
      <c r="IW1" s="935"/>
      <c r="IX1" s="970" t="s">
        <v>2654</v>
      </c>
      <c r="IY1" s="970"/>
      <c r="IZ1" s="971" t="s">
        <v>816</v>
      </c>
      <c r="JA1" s="971"/>
      <c r="JB1" s="935" t="s">
        <v>1864</v>
      </c>
      <c r="JC1" s="935"/>
      <c r="JD1" s="970" t="s">
        <v>2701</v>
      </c>
      <c r="JE1" s="970"/>
      <c r="JF1" s="971" t="s">
        <v>816</v>
      </c>
      <c r="JG1" s="971"/>
      <c r="JH1" s="935" t="s">
        <v>1748</v>
      </c>
      <c r="JI1" s="935"/>
      <c r="JJ1" s="970" t="s">
        <v>2763</v>
      </c>
      <c r="JK1" s="970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9" t="s">
        <v>2987</v>
      </c>
      <c r="KC1" s="866"/>
      <c r="KD1" s="852" t="s">
        <v>816</v>
      </c>
      <c r="KE1" s="852"/>
      <c r="KF1" s="849" t="s">
        <v>1748</v>
      </c>
      <c r="KG1" s="849"/>
      <c r="KH1" s="851" t="s">
        <v>2988</v>
      </c>
      <c r="KI1" s="851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8" t="s">
        <v>1911</v>
      </c>
      <c r="KC2" s="363">
        <f>SUM(KC3:KC28)</f>
        <v>314154.64</v>
      </c>
      <c r="KD2" s="850" t="s">
        <v>295</v>
      </c>
      <c r="KE2" s="492">
        <f>SUM(KE4:KE25)</f>
        <v>71551.294999999984</v>
      </c>
      <c r="KF2" s="334" t="s">
        <v>296</v>
      </c>
      <c r="KG2" s="273">
        <f>KE2+KC2-KI2</f>
        <v>68754.454999999958</v>
      </c>
      <c r="KH2" s="850" t="s">
        <v>1911</v>
      </c>
      <c r="KI2" s="363">
        <f>SUM(KI3:KI36)</f>
        <v>316951.48000000004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2" t="s">
        <v>3024</v>
      </c>
      <c r="KC3" s="268">
        <v>-71000</v>
      </c>
      <c r="KE3" s="492"/>
      <c r="KF3" s="850" t="s">
        <v>2395</v>
      </c>
      <c r="KG3" s="273">
        <f>KG2-KE31-KE30</f>
        <v>1879.0949999999575</v>
      </c>
      <c r="KH3" s="882" t="s">
        <v>3025</v>
      </c>
      <c r="KI3" s="268">
        <f>-140000</f>
        <v>-140000</v>
      </c>
    </row>
    <row r="4" spans="1:297" ht="12.75" customHeight="1" thickBot="1">
      <c r="A4" s="932" t="s">
        <v>991</v>
      </c>
      <c r="B4" s="932"/>
      <c r="E4" s="170" t="s">
        <v>233</v>
      </c>
      <c r="F4" s="174">
        <f>F3-F5</f>
        <v>17</v>
      </c>
      <c r="G4" s="932" t="s">
        <v>991</v>
      </c>
      <c r="H4" s="93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2993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2" t="s">
        <v>3025</v>
      </c>
      <c r="KC4" s="268">
        <f>-140000</f>
        <v>-140000</v>
      </c>
      <c r="KD4" s="850" t="s">
        <v>633</v>
      </c>
      <c r="KE4" s="541"/>
      <c r="KF4" s="850" t="s">
        <v>1203</v>
      </c>
      <c r="KG4" s="286">
        <f>KG2-KG5</f>
        <v>0.27499999995052349</v>
      </c>
      <c r="KH4" s="882" t="s">
        <v>2789</v>
      </c>
      <c r="KI4" s="268">
        <f>-135000-70600</f>
        <v>-205600</v>
      </c>
      <c r="KJ4" s="607"/>
    </row>
    <row r="5" spans="1:297">
      <c r="A5" s="932"/>
      <c r="B5" s="932"/>
      <c r="E5" s="170" t="s">
        <v>352</v>
      </c>
      <c r="F5" s="174">
        <f>SUM(F15:F58)</f>
        <v>12750</v>
      </c>
      <c r="G5" s="932"/>
      <c r="H5" s="93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2972</v>
      </c>
      <c r="JY5" s="541">
        <v>-30</v>
      </c>
      <c r="JZ5" s="796" t="s">
        <v>352</v>
      </c>
      <c r="KA5" s="273">
        <f>SUM(KA6:KA73)</f>
        <v>20398.781431282358</v>
      </c>
      <c r="KB5" s="882" t="s">
        <v>3026</v>
      </c>
      <c r="KC5" s="268">
        <f>-135000</f>
        <v>-135000</v>
      </c>
      <c r="KD5" s="850" t="s">
        <v>2983</v>
      </c>
      <c r="KE5" s="541"/>
      <c r="KF5" s="850" t="s">
        <v>352</v>
      </c>
      <c r="KG5" s="273">
        <f>SUM(KG6:KG54)</f>
        <v>68754.180000000008</v>
      </c>
      <c r="KH5" s="855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9" t="s">
        <v>2951</v>
      </c>
      <c r="JQ6" s="442"/>
      <c r="JR6" s="757" t="s">
        <v>2658</v>
      </c>
      <c r="JS6" s="541" t="s">
        <v>2832</v>
      </c>
      <c r="JT6" s="815" t="s">
        <v>2936</v>
      </c>
      <c r="JU6" s="840">
        <v>2000</v>
      </c>
      <c r="JV6" s="763" t="s">
        <v>2671</v>
      </c>
      <c r="JW6" s="268">
        <v>-4000</v>
      </c>
      <c r="JX6" s="845" t="s">
        <v>2601</v>
      </c>
      <c r="JY6" s="492">
        <v>-1800</v>
      </c>
      <c r="JZ6" s="815" t="s">
        <v>2926</v>
      </c>
      <c r="KA6" s="61">
        <v>1000.08</v>
      </c>
      <c r="KB6" s="862" t="s">
        <v>2672</v>
      </c>
      <c r="KC6" s="442">
        <v>-82000</v>
      </c>
      <c r="KD6" s="850" t="s">
        <v>3033</v>
      </c>
      <c r="KE6" s="541">
        <v>-107.13</v>
      </c>
      <c r="KF6" s="815" t="s">
        <v>1002</v>
      </c>
      <c r="KG6" s="580"/>
      <c r="KH6" s="854" t="s">
        <v>2671</v>
      </c>
      <c r="KI6" s="268">
        <v>-4000</v>
      </c>
      <c r="KJ6" s="607"/>
    </row>
    <row r="7" spans="1:297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7"/>
      <c r="JY7" s="492"/>
      <c r="JZ7" s="815" t="s">
        <v>1002</v>
      </c>
      <c r="KA7" s="580">
        <f>1900.07</f>
        <v>1900.07</v>
      </c>
      <c r="KB7" s="863" t="s">
        <v>2671</v>
      </c>
      <c r="KC7" s="268">
        <v>-4000</v>
      </c>
      <c r="KD7" s="850" t="s">
        <v>2601</v>
      </c>
      <c r="KE7" s="492"/>
      <c r="KF7" s="389" t="s">
        <v>1863</v>
      </c>
      <c r="KG7" s="61"/>
      <c r="KH7" s="909" t="s">
        <v>3056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2965</v>
      </c>
      <c r="JY8" s="541">
        <v>60</v>
      </c>
      <c r="JZ8" s="815" t="s">
        <v>1002</v>
      </c>
      <c r="KA8" s="858">
        <v>1900.08</v>
      </c>
      <c r="KB8" s="858" t="s">
        <v>2805</v>
      </c>
      <c r="KC8" s="268">
        <v>640008</v>
      </c>
      <c r="KE8" s="492"/>
      <c r="KF8" s="346" t="s">
        <v>1863</v>
      </c>
      <c r="KH8" s="850" t="s">
        <v>2805</v>
      </c>
      <c r="KI8" s="268">
        <v>738036</v>
      </c>
      <c r="KJ8" s="606">
        <v>45162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2989</v>
      </c>
      <c r="KA9" s="61">
        <f>27+270.45+2700</f>
        <v>2997.45</v>
      </c>
      <c r="KB9" s="320" t="s">
        <v>2464</v>
      </c>
      <c r="KC9" s="403">
        <v>0</v>
      </c>
      <c r="KD9" s="850" t="s">
        <v>3052</v>
      </c>
      <c r="KE9" s="541">
        <f>-KC3</f>
        <v>71000</v>
      </c>
      <c r="KF9" s="346" t="s">
        <v>1863</v>
      </c>
      <c r="KG9" s="61"/>
      <c r="KH9" s="879" t="s">
        <v>3023</v>
      </c>
      <c r="KI9" s="442">
        <v>6</v>
      </c>
      <c r="KJ9" s="606">
        <v>45162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2967</v>
      </c>
      <c r="JY10" s="514"/>
      <c r="JZ10" s="389" t="s">
        <v>3029</v>
      </c>
      <c r="KA10" s="61">
        <v>5.99</v>
      </c>
      <c r="KB10" s="205" t="s">
        <v>2959</v>
      </c>
      <c r="KC10" s="359">
        <v>-166</v>
      </c>
      <c r="KD10" s="850" t="s">
        <v>3051</v>
      </c>
      <c r="KE10" s="494"/>
      <c r="KF10" s="346" t="s">
        <v>3074</v>
      </c>
      <c r="KG10" s="850">
        <v>10.25</v>
      </c>
      <c r="KH10" s="927" t="s">
        <v>3002</v>
      </c>
      <c r="KI10" s="442">
        <v>8</v>
      </c>
      <c r="KJ10" s="606">
        <v>45162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2954</v>
      </c>
      <c r="JY11" s="725">
        <f>55.87+0.96</f>
        <v>56.83</v>
      </c>
      <c r="JZ11" s="346" t="s">
        <v>2945</v>
      </c>
      <c r="KA11" s="796">
        <v>29.9</v>
      </c>
      <c r="KB11" s="862" t="s">
        <v>1630</v>
      </c>
      <c r="KC11" s="442">
        <v>-217</v>
      </c>
      <c r="KD11" s="900"/>
      <c r="KE11" s="494"/>
      <c r="KF11" s="245" t="s">
        <v>2992</v>
      </c>
      <c r="KG11" s="492">
        <v>64875.360000000001</v>
      </c>
      <c r="KH11" s="854" t="s">
        <v>2921</v>
      </c>
      <c r="KI11" s="268">
        <v>709</v>
      </c>
      <c r="KJ11" s="606" t="s">
        <v>3083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0" t="s">
        <v>2790</v>
      </c>
      <c r="KC12" s="268">
        <v>2600</v>
      </c>
      <c r="KD12" s="850" t="s">
        <v>2967</v>
      </c>
      <c r="KE12" s="514"/>
      <c r="KF12" s="245" t="s">
        <v>2991</v>
      </c>
      <c r="KG12" s="492"/>
      <c r="KH12" s="254" t="s">
        <v>2928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2932</v>
      </c>
      <c r="JY13" s="726">
        <v>7.95</v>
      </c>
      <c r="JZ13" s="346" t="s">
        <v>2918</v>
      </c>
      <c r="KA13" s="61">
        <v>2062.8000000000002</v>
      </c>
      <c r="KB13" s="863" t="s">
        <v>2791</v>
      </c>
      <c r="KC13" s="268">
        <v>765</v>
      </c>
      <c r="KD13" s="877" t="s">
        <v>3020</v>
      </c>
      <c r="KE13" s="493">
        <f>1.5%*519</f>
        <v>7.7850000000000001</v>
      </c>
      <c r="KF13" s="245" t="s">
        <v>3062</v>
      </c>
      <c r="KG13" s="492">
        <v>2000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0" t="s">
        <v>2185</v>
      </c>
      <c r="HK14" s="94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2946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2949</v>
      </c>
      <c r="JY14" s="726"/>
      <c r="JZ14" s="346" t="s">
        <v>2682</v>
      </c>
      <c r="KA14" s="796">
        <f>259.2+410.4</f>
        <v>669.59999999999991</v>
      </c>
      <c r="KB14" s="863" t="s">
        <v>2792</v>
      </c>
      <c r="KC14" s="517">
        <v>1438</v>
      </c>
      <c r="KD14" s="850" t="s">
        <v>2982</v>
      </c>
      <c r="KE14" s="725">
        <v>46</v>
      </c>
      <c r="KF14" s="345" t="s">
        <v>2550</v>
      </c>
      <c r="KG14" s="61">
        <v>74.64</v>
      </c>
      <c r="KH14" s="205" t="s">
        <v>3080</v>
      </c>
      <c r="KI14" s="403">
        <v>-61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3" t="s">
        <v>1504</v>
      </c>
      <c r="DP15" s="98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3" t="s">
        <v>2921</v>
      </c>
      <c r="KC15" s="268">
        <v>100491</v>
      </c>
      <c r="KD15" s="850" t="s">
        <v>1799</v>
      </c>
      <c r="KE15" s="725">
        <v>13.54</v>
      </c>
      <c r="KF15" s="345" t="s">
        <v>3085</v>
      </c>
      <c r="KG15" s="61"/>
      <c r="KH15" s="205" t="s">
        <v>2959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7" t="s">
        <v>2966</v>
      </c>
      <c r="JY16" s="726"/>
      <c r="JZ16" s="346" t="s">
        <v>2933</v>
      </c>
      <c r="KA16" s="835">
        <f>6.8+7.8</f>
        <v>14.6</v>
      </c>
      <c r="KB16" s="254" t="s">
        <v>2928</v>
      </c>
      <c r="KC16" s="605"/>
      <c r="KD16" s="9" t="s">
        <v>2932</v>
      </c>
      <c r="KE16" s="726"/>
      <c r="KF16" s="345" t="s">
        <v>2618</v>
      </c>
      <c r="KG16" s="534"/>
      <c r="KH16" s="855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3" t="s">
        <v>2795</v>
      </c>
      <c r="KC17" s="268">
        <v>0</v>
      </c>
      <c r="KD17" s="969" t="s">
        <v>2984</v>
      </c>
      <c r="KE17" s="969"/>
      <c r="KF17" s="345" t="s">
        <v>1195</v>
      </c>
      <c r="KG17" s="61">
        <v>10</v>
      </c>
      <c r="KH17" s="853" t="s">
        <v>2790</v>
      </c>
      <c r="KI17" s="268">
        <v>600</v>
      </c>
      <c r="KJ17" s="606">
        <v>45160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2973</v>
      </c>
      <c r="KA18" s="61">
        <v>5.01</v>
      </c>
      <c r="KB18" s="863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4" t="s">
        <v>2791</v>
      </c>
      <c r="KI18" s="268">
        <v>834</v>
      </c>
      <c r="KJ18" s="606">
        <v>45160</v>
      </c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3" t="s">
        <v>1474</v>
      </c>
      <c r="DJ19" s="98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2968</v>
      </c>
      <c r="JY19" s="726">
        <v>24.55</v>
      </c>
      <c r="JZ19" s="346" t="s">
        <v>2974</v>
      </c>
      <c r="KA19" s="796">
        <v>10.87</v>
      </c>
      <c r="KB19" s="862" t="s">
        <v>2679</v>
      </c>
      <c r="KC19" s="2">
        <v>220</v>
      </c>
      <c r="KD19" s="850" t="s">
        <v>2966</v>
      </c>
      <c r="KE19" s="726"/>
      <c r="KF19" s="345" t="s">
        <v>3031</v>
      </c>
      <c r="KG19" s="61">
        <v>180</v>
      </c>
      <c r="KH19" s="854" t="s">
        <v>2792</v>
      </c>
      <c r="KI19" s="517">
        <v>455</v>
      </c>
      <c r="KJ19" s="606">
        <v>45160</v>
      </c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2957</v>
      </c>
      <c r="JY20" s="726">
        <v>27.05</v>
      </c>
      <c r="JZ20" s="245" t="s">
        <v>2851</v>
      </c>
      <c r="KA20" s="492">
        <v>1347.2</v>
      </c>
      <c r="KB20" s="862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4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2969</v>
      </c>
      <c r="JY21" s="726">
        <v>13.23</v>
      </c>
      <c r="JZ21" s="245" t="s">
        <v>2986</v>
      </c>
      <c r="KA21" s="492">
        <v>1322.98</v>
      </c>
      <c r="KB21" s="864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14.89+17.36+13.36+15.59+10</f>
        <v>71.2</v>
      </c>
      <c r="KH21" s="854" t="s">
        <v>2683</v>
      </c>
      <c r="KI21" s="268">
        <v>15</v>
      </c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6" t="s">
        <v>507</v>
      </c>
      <c r="N22" s="976"/>
      <c r="Q22" s="166" t="s">
        <v>365</v>
      </c>
      <c r="S22" s="976" t="s">
        <v>507</v>
      </c>
      <c r="T22" s="97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9" t="s">
        <v>2170</v>
      </c>
      <c r="IU22" s="92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2995</v>
      </c>
      <c r="JY22" s="726">
        <v>31.96</v>
      </c>
      <c r="JZ22" s="245" t="s">
        <v>2975</v>
      </c>
      <c r="KA22" s="492">
        <v>1730.87</v>
      </c>
      <c r="KB22" s="861" t="s">
        <v>2469</v>
      </c>
      <c r="KC22" s="61"/>
      <c r="KD22" s="9" t="s">
        <v>2971</v>
      </c>
      <c r="KE22" s="726">
        <v>31.03</v>
      </c>
      <c r="KF22" s="337" t="s">
        <v>1863</v>
      </c>
      <c r="KG22" s="61"/>
      <c r="KH22" s="855" t="s">
        <v>2679</v>
      </c>
      <c r="KI22" s="2">
        <v>100</v>
      </c>
      <c r="KJ22" s="606">
        <v>45160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4" t="s">
        <v>990</v>
      </c>
      <c r="N23" s="974"/>
      <c r="Q23" s="166" t="s">
        <v>369</v>
      </c>
      <c r="S23" s="974" t="s">
        <v>990</v>
      </c>
      <c r="T23" s="974"/>
      <c r="W23" s="244" t="s">
        <v>1019</v>
      </c>
      <c r="X23" s="142">
        <v>0</v>
      </c>
      <c r="Y23" s="976" t="s">
        <v>507</v>
      </c>
      <c r="Z23" s="97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9" t="s">
        <v>2170</v>
      </c>
      <c r="HK23" s="92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9" t="s">
        <v>2170</v>
      </c>
      <c r="HW23" s="92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2958</v>
      </c>
      <c r="KA23" s="492">
        <v>1713.69</v>
      </c>
      <c r="KB23" s="861" t="s">
        <v>2477</v>
      </c>
      <c r="KC23" s="61"/>
      <c r="KD23" s="9" t="s">
        <v>2970</v>
      </c>
      <c r="KE23" s="726"/>
      <c r="KF23" s="337" t="s">
        <v>1863</v>
      </c>
      <c r="KG23" s="61"/>
      <c r="KH23" s="855" t="s">
        <v>2678</v>
      </c>
      <c r="KI23" s="2"/>
      <c r="KJ23" s="606"/>
    </row>
    <row r="24" spans="1:297">
      <c r="A24" s="976" t="s">
        <v>507</v>
      </c>
      <c r="B24" s="976"/>
      <c r="E24" s="164" t="s">
        <v>237</v>
      </c>
      <c r="F24" s="166"/>
      <c r="G24" s="976" t="s">
        <v>507</v>
      </c>
      <c r="H24" s="976"/>
      <c r="K24" s="244" t="s">
        <v>1019</v>
      </c>
      <c r="L24" s="142">
        <v>0</v>
      </c>
      <c r="M24" s="952"/>
      <c r="N24" s="952"/>
      <c r="Q24" s="166" t="s">
        <v>1056</v>
      </c>
      <c r="S24" s="952"/>
      <c r="T24" s="952"/>
      <c r="W24" s="244" t="s">
        <v>1027</v>
      </c>
      <c r="X24" s="205">
        <v>0</v>
      </c>
      <c r="Y24" s="974" t="s">
        <v>990</v>
      </c>
      <c r="Z24" s="974"/>
      <c r="AC24"/>
      <c r="AE24" s="976" t="s">
        <v>507</v>
      </c>
      <c r="AF24" s="976"/>
      <c r="AI24"/>
      <c r="AK24" s="976" t="s">
        <v>507</v>
      </c>
      <c r="AL24" s="97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2" t="s">
        <v>1536</v>
      </c>
      <c r="EF24" s="97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1" t="s">
        <v>2950</v>
      </c>
      <c r="KC24" s="61">
        <v>1.64</v>
      </c>
      <c r="KD24" s="868" t="s">
        <v>3037</v>
      </c>
      <c r="KE24" s="510">
        <f>63.91+71.9+199.73+2.07</f>
        <v>337.60999999999996</v>
      </c>
      <c r="KF24" s="337" t="s">
        <v>3057</v>
      </c>
      <c r="KG24" s="850">
        <v>135.69999999999999</v>
      </c>
      <c r="KH24" s="857" t="s">
        <v>2451</v>
      </c>
      <c r="KI24" s="2">
        <v>2000</v>
      </c>
      <c r="KJ24" s="108"/>
    </row>
    <row r="25" spans="1:297">
      <c r="A25" s="974" t="s">
        <v>990</v>
      </c>
      <c r="B25" s="974"/>
      <c r="E25" s="164" t="s">
        <v>139</v>
      </c>
      <c r="F25" s="166"/>
      <c r="G25" s="974" t="s">
        <v>990</v>
      </c>
      <c r="H25" s="974"/>
      <c r="K25" s="244" t="s">
        <v>1027</v>
      </c>
      <c r="L25" s="205">
        <v>0</v>
      </c>
      <c r="M25" s="952"/>
      <c r="N25" s="952"/>
      <c r="Q25" s="244" t="s">
        <v>1029</v>
      </c>
      <c r="R25" s="142">
        <v>0</v>
      </c>
      <c r="S25" s="952"/>
      <c r="T25" s="952"/>
      <c r="W25" s="244" t="s">
        <v>1050</v>
      </c>
      <c r="X25" s="142">
        <v>910.17</v>
      </c>
      <c r="Y25" s="952"/>
      <c r="Z25" s="952"/>
      <c r="AC25" s="248" t="s">
        <v>1083</v>
      </c>
      <c r="AD25" s="142">
        <v>90</v>
      </c>
      <c r="AE25" s="974" t="s">
        <v>990</v>
      </c>
      <c r="AF25" s="974"/>
      <c r="AI25" s="245" t="s">
        <v>1101</v>
      </c>
      <c r="AJ25" s="142">
        <v>30</v>
      </c>
      <c r="AK25" s="974" t="s">
        <v>990</v>
      </c>
      <c r="AL25" s="97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4"/>
      <c r="BH25" s="974"/>
      <c r="BK25" s="266" t="s">
        <v>1222</v>
      </c>
      <c r="BL25" s="205">
        <v>48.54</v>
      </c>
      <c r="BM25" s="974"/>
      <c r="BN25" s="974"/>
      <c r="BQ25" s="266" t="s">
        <v>1051</v>
      </c>
      <c r="BR25" s="205">
        <v>50.15</v>
      </c>
      <c r="BS25" s="974" t="s">
        <v>1245</v>
      </c>
      <c r="BT25" s="974"/>
      <c r="BW25" s="266" t="s">
        <v>1051</v>
      </c>
      <c r="BX25" s="205">
        <v>48.54</v>
      </c>
      <c r="BY25" s="974"/>
      <c r="BZ25" s="974"/>
      <c r="CC25" s="266" t="s">
        <v>1051</v>
      </c>
      <c r="CD25" s="205">
        <v>142.91</v>
      </c>
      <c r="CE25" s="974"/>
      <c r="CF25" s="974"/>
      <c r="CI25" s="266" t="s">
        <v>1312</v>
      </c>
      <c r="CJ25" s="205">
        <v>35.049999999999997</v>
      </c>
      <c r="CK25" s="952"/>
      <c r="CL25" s="952"/>
      <c r="CO25" s="266" t="s">
        <v>1286</v>
      </c>
      <c r="CP25" s="205">
        <v>153.41</v>
      </c>
      <c r="CQ25" s="952" t="s">
        <v>1327</v>
      </c>
      <c r="CR25" s="95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9" t="s">
        <v>2170</v>
      </c>
      <c r="IC25" s="92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3"/>
      <c r="JY25" s="833"/>
      <c r="JZ25" s="345" t="s">
        <v>2955</v>
      </c>
      <c r="KA25" s="61">
        <v>219</v>
      </c>
      <c r="KB25" s="861"/>
      <c r="KC25" s="61"/>
      <c r="KD25" s="908" t="s">
        <v>3055</v>
      </c>
      <c r="KE25" s="510">
        <f>7000*(1-98.14%)</f>
        <v>130.19999999999965</v>
      </c>
      <c r="KF25" s="337" t="s">
        <v>3030</v>
      </c>
      <c r="KG25" s="533">
        <v>10</v>
      </c>
      <c r="KH25" s="856" t="s">
        <v>2469</v>
      </c>
      <c r="KI25" s="61"/>
    </row>
    <row r="26" spans="1:297">
      <c r="A26" s="952"/>
      <c r="B26" s="952"/>
      <c r="E26" s="198" t="s">
        <v>362</v>
      </c>
      <c r="F26" s="170"/>
      <c r="G26" s="952"/>
      <c r="H26" s="952"/>
      <c r="K26" s="244" t="s">
        <v>1018</v>
      </c>
      <c r="L26" s="142">
        <f>910+40</f>
        <v>950</v>
      </c>
      <c r="M26" s="952"/>
      <c r="N26" s="952"/>
      <c r="Q26" s="244" t="s">
        <v>1026</v>
      </c>
      <c r="R26" s="142">
        <v>0</v>
      </c>
      <c r="S26" s="952"/>
      <c r="T26" s="952"/>
      <c r="W26" s="143" t="s">
        <v>1085</v>
      </c>
      <c r="X26" s="142">
        <v>110.58</v>
      </c>
      <c r="Y26" s="952"/>
      <c r="Z26" s="952"/>
      <c r="AE26" s="952"/>
      <c r="AF26" s="952"/>
      <c r="AK26" s="952"/>
      <c r="AL26" s="95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2"/>
      <c r="AX26" s="952"/>
      <c r="AY26" s="143"/>
      <c r="AZ26" s="205"/>
      <c r="BA26" s="952"/>
      <c r="BB26" s="952"/>
      <c r="BE26" s="143" t="s">
        <v>1195</v>
      </c>
      <c r="BF26" s="205">
        <f>6.5*2</f>
        <v>13</v>
      </c>
      <c r="BG26" s="952"/>
      <c r="BH26" s="952"/>
      <c r="BK26" s="266" t="s">
        <v>1195</v>
      </c>
      <c r="BL26" s="205">
        <f>6.5*2</f>
        <v>13</v>
      </c>
      <c r="BM26" s="952"/>
      <c r="BN26" s="952"/>
      <c r="BQ26" s="266" t="s">
        <v>1195</v>
      </c>
      <c r="BR26" s="205">
        <v>13</v>
      </c>
      <c r="BS26" s="952"/>
      <c r="BT26" s="952"/>
      <c r="BW26" s="266" t="s">
        <v>1195</v>
      </c>
      <c r="BX26" s="205">
        <v>13</v>
      </c>
      <c r="BY26" s="952"/>
      <c r="BZ26" s="952"/>
      <c r="CC26" s="266" t="s">
        <v>1195</v>
      </c>
      <c r="CD26" s="205">
        <v>13</v>
      </c>
      <c r="CE26" s="952"/>
      <c r="CF26" s="95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9" t="s">
        <v>1536</v>
      </c>
      <c r="DZ26" s="99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2" t="s">
        <v>1536</v>
      </c>
      <c r="ES26" s="972"/>
      <c r="ET26" s="1" t="s">
        <v>1703</v>
      </c>
      <c r="EU26" s="272">
        <v>20000</v>
      </c>
      <c r="EW26" s="97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3"/>
      <c r="JY26" s="833"/>
      <c r="JZ26" s="345" t="s">
        <v>2897</v>
      </c>
      <c r="KA26" s="61">
        <v>30</v>
      </c>
      <c r="KB26" s="861" t="s">
        <v>2420</v>
      </c>
      <c r="KC26" s="61"/>
      <c r="KF26" s="337" t="s">
        <v>3034</v>
      </c>
      <c r="KG26" s="533">
        <v>38</v>
      </c>
      <c r="KH26" s="856" t="s">
        <v>2950</v>
      </c>
      <c r="KI26" s="61">
        <v>1.64</v>
      </c>
    </row>
    <row r="27" spans="1:297">
      <c r="A27" s="952"/>
      <c r="B27" s="952"/>
      <c r="F27" s="194"/>
      <c r="G27" s="952"/>
      <c r="H27" s="952"/>
      <c r="K27"/>
      <c r="M27" s="979" t="s">
        <v>506</v>
      </c>
      <c r="N27" s="979"/>
      <c r="Q27" s="244" t="s">
        <v>1019</v>
      </c>
      <c r="R27" s="142">
        <v>0</v>
      </c>
      <c r="S27" s="979" t="s">
        <v>506</v>
      </c>
      <c r="T27" s="979"/>
      <c r="W27" s="143" t="s">
        <v>1051</v>
      </c>
      <c r="X27" s="142">
        <v>60.75</v>
      </c>
      <c r="Y27" s="952"/>
      <c r="Z27" s="952"/>
      <c r="AC27" s="219" t="s">
        <v>1092</v>
      </c>
      <c r="AD27" s="219"/>
      <c r="AE27" s="979" t="s">
        <v>506</v>
      </c>
      <c r="AF27" s="97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2" t="s">
        <v>1536</v>
      </c>
      <c r="EY27" s="97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9" t="s">
        <v>2170</v>
      </c>
      <c r="HQ27" s="92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3"/>
      <c r="JY27" s="833"/>
      <c r="JZ27" s="345" t="s">
        <v>2990</v>
      </c>
      <c r="KA27" s="534">
        <f>131.87*2</f>
        <v>263.74</v>
      </c>
      <c r="KB27" s="861"/>
      <c r="KC27" s="867"/>
      <c r="KF27" s="337" t="s">
        <v>3040</v>
      </c>
      <c r="KG27" s="533">
        <v>25.9</v>
      </c>
    </row>
    <row r="28" spans="1:297">
      <c r="A28" s="952"/>
      <c r="B28" s="952"/>
      <c r="E28" s="193" t="s">
        <v>360</v>
      </c>
      <c r="F28" s="194"/>
      <c r="G28" s="952"/>
      <c r="H28" s="952"/>
      <c r="K28" s="143" t="s">
        <v>1017</v>
      </c>
      <c r="L28" s="142">
        <f>60</f>
        <v>60</v>
      </c>
      <c r="M28" s="979" t="s">
        <v>992</v>
      </c>
      <c r="N28" s="979"/>
      <c r="Q28" s="244" t="s">
        <v>1073</v>
      </c>
      <c r="R28" s="205">
        <v>200</v>
      </c>
      <c r="S28" s="979" t="s">
        <v>992</v>
      </c>
      <c r="T28" s="979"/>
      <c r="W28" s="143" t="s">
        <v>1016</v>
      </c>
      <c r="X28" s="142">
        <v>61.35</v>
      </c>
      <c r="Y28" s="979" t="s">
        <v>506</v>
      </c>
      <c r="Z28" s="979"/>
      <c r="AC28" s="219" t="s">
        <v>1088</v>
      </c>
      <c r="AD28" s="219">
        <f>53+207+63</f>
        <v>323</v>
      </c>
      <c r="AE28" s="979" t="s">
        <v>992</v>
      </c>
      <c r="AF28" s="97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2" t="s">
        <v>1747</v>
      </c>
      <c r="FE28" s="97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9" t="s">
        <v>2170</v>
      </c>
      <c r="JA28" s="929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3"/>
      <c r="JY28" s="833"/>
      <c r="JZ28" s="345" t="s">
        <v>2976</v>
      </c>
      <c r="KA28" s="61">
        <f>(15+6.5)*2</f>
        <v>43</v>
      </c>
      <c r="KB28" s="861"/>
      <c r="KF28" s="337" t="s">
        <v>3072</v>
      </c>
      <c r="KG28" s="533">
        <v>63.1</v>
      </c>
      <c r="KH28" s="856" t="s">
        <v>3058</v>
      </c>
      <c r="KI28" s="61"/>
    </row>
    <row r="29" spans="1:297">
      <c r="A29" s="979" t="s">
        <v>506</v>
      </c>
      <c r="B29" s="979"/>
      <c r="E29" s="193" t="s">
        <v>282</v>
      </c>
      <c r="F29" s="194"/>
      <c r="G29" s="979" t="s">
        <v>506</v>
      </c>
      <c r="H29" s="979"/>
      <c r="K29" s="143" t="s">
        <v>1016</v>
      </c>
      <c r="L29" s="142">
        <v>0</v>
      </c>
      <c r="M29" s="978" t="s">
        <v>93</v>
      </c>
      <c r="N29" s="978"/>
      <c r="Q29" s="244" t="s">
        <v>1050</v>
      </c>
      <c r="R29" s="142">
        <v>0</v>
      </c>
      <c r="S29" s="978" t="s">
        <v>93</v>
      </c>
      <c r="T29" s="978"/>
      <c r="W29" s="143" t="s">
        <v>1015</v>
      </c>
      <c r="X29" s="142">
        <v>64</v>
      </c>
      <c r="Y29" s="979" t="s">
        <v>992</v>
      </c>
      <c r="Z29" s="979"/>
      <c r="AC29" s="219" t="s">
        <v>1089</v>
      </c>
      <c r="AD29" s="219">
        <f>63+46</f>
        <v>109</v>
      </c>
      <c r="AE29" s="978" t="s">
        <v>93</v>
      </c>
      <c r="AF29" s="97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2" t="s">
        <v>1536</v>
      </c>
      <c r="EM29" s="97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4"/>
      <c r="JY29" s="834"/>
      <c r="JZ29" s="345" t="s">
        <v>2802</v>
      </c>
      <c r="KA29" s="61">
        <f>9+14.32+(9+9)</f>
        <v>41.32</v>
      </c>
      <c r="KB29" s="858" t="s">
        <v>506</v>
      </c>
      <c r="KD29" s="848" t="s">
        <v>2779</v>
      </c>
      <c r="KE29" s="848"/>
      <c r="KF29" s="337" t="s">
        <v>3078</v>
      </c>
      <c r="KG29" s="533">
        <v>45.74</v>
      </c>
      <c r="KH29" s="923" t="s">
        <v>3079</v>
      </c>
      <c r="KI29" s="61" t="s">
        <v>657</v>
      </c>
    </row>
    <row r="30" spans="1:297">
      <c r="A30" s="979" t="s">
        <v>992</v>
      </c>
      <c r="B30" s="979"/>
      <c r="E30" s="193" t="s">
        <v>372</v>
      </c>
      <c r="F30" s="194"/>
      <c r="G30" s="979" t="s">
        <v>992</v>
      </c>
      <c r="H30" s="979"/>
      <c r="K30" s="143" t="s">
        <v>1015</v>
      </c>
      <c r="L30" s="142">
        <v>64</v>
      </c>
      <c r="M30" s="952" t="s">
        <v>385</v>
      </c>
      <c r="N30" s="952"/>
      <c r="Q30"/>
      <c r="S30" s="952" t="s">
        <v>385</v>
      </c>
      <c r="T30" s="952"/>
      <c r="W30" s="143" t="s">
        <v>1014</v>
      </c>
      <c r="X30" s="142">
        <v>100.01</v>
      </c>
      <c r="Y30" s="978" t="s">
        <v>93</v>
      </c>
      <c r="Z30" s="978"/>
      <c r="AC30" s="142" t="s">
        <v>1087</v>
      </c>
      <c r="AD30" s="142">
        <v>65</v>
      </c>
      <c r="AE30" s="952" t="s">
        <v>385</v>
      </c>
      <c r="AF30" s="95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2" t="s">
        <v>1747</v>
      </c>
      <c r="FK30" s="97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4"/>
      <c r="JY30" s="834"/>
      <c r="JZ30" s="345" t="s">
        <v>2775</v>
      </c>
      <c r="KA30" s="61">
        <v>64</v>
      </c>
      <c r="KB30" s="858" t="s">
        <v>93</v>
      </c>
      <c r="KD30" s="815" t="s">
        <v>1958</v>
      </c>
      <c r="KE30" s="273">
        <f>SUM(KG6:KG6)</f>
        <v>0</v>
      </c>
      <c r="KF30" s="337" t="s">
        <v>1863</v>
      </c>
      <c r="KG30" s="533"/>
      <c r="KH30" s="920"/>
      <c r="KI30" s="856"/>
    </row>
    <row r="31" spans="1:297" ht="12.75" customHeight="1">
      <c r="A31" s="978" t="s">
        <v>93</v>
      </c>
      <c r="B31" s="978"/>
      <c r="E31" s="193" t="s">
        <v>1007</v>
      </c>
      <c r="F31" s="170"/>
      <c r="G31" s="978" t="s">
        <v>93</v>
      </c>
      <c r="H31" s="978"/>
      <c r="K31" s="143" t="s">
        <v>1014</v>
      </c>
      <c r="L31" s="142">
        <v>50.01</v>
      </c>
      <c r="M31" s="977" t="s">
        <v>1001</v>
      </c>
      <c r="N31" s="977"/>
      <c r="Q31" s="143" t="s">
        <v>1052</v>
      </c>
      <c r="R31" s="142">
        <v>26</v>
      </c>
      <c r="S31" s="977" t="s">
        <v>1001</v>
      </c>
      <c r="T31" s="977"/>
      <c r="W31"/>
      <c r="Y31" s="952" t="s">
        <v>385</v>
      </c>
      <c r="Z31" s="952"/>
      <c r="AC31" s="142" t="s">
        <v>1090</v>
      </c>
      <c r="AD31" s="142">
        <v>10</v>
      </c>
      <c r="AE31" s="977" t="s">
        <v>1001</v>
      </c>
      <c r="AF31" s="97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3044</v>
      </c>
      <c r="JS31" s="899">
        <f>SUM(JU24:JU27)</f>
        <v>169.60000000000002</v>
      </c>
      <c r="JT31" s="386" t="s">
        <v>1411</v>
      </c>
      <c r="JU31" s="408">
        <f>JQ20+JS34-JW19</f>
        <v>70</v>
      </c>
      <c r="JX31" s="834"/>
      <c r="JY31" s="834"/>
      <c r="JZ31" s="345" t="s">
        <v>2207</v>
      </c>
      <c r="KA31" s="203">
        <v>30.9</v>
      </c>
      <c r="KB31" s="858" t="s">
        <v>1034</v>
      </c>
      <c r="KD31" s="388" t="s">
        <v>2854</v>
      </c>
      <c r="KE31" s="273">
        <f>SUM(KG11:KG13)</f>
        <v>66875.360000000001</v>
      </c>
      <c r="KF31" s="850" t="s">
        <v>2711</v>
      </c>
      <c r="KG31" s="78"/>
      <c r="KH31" s="856" t="s">
        <v>2420</v>
      </c>
    </row>
    <row r="32" spans="1:297">
      <c r="A32" s="952" t="s">
        <v>385</v>
      </c>
      <c r="B32" s="952"/>
      <c r="E32" s="170"/>
      <c r="F32" s="170"/>
      <c r="G32" s="952" t="s">
        <v>385</v>
      </c>
      <c r="H32" s="952"/>
      <c r="K32"/>
      <c r="M32" s="974" t="s">
        <v>243</v>
      </c>
      <c r="N32" s="974"/>
      <c r="Q32" s="143" t="s">
        <v>1051</v>
      </c>
      <c r="R32" s="142">
        <v>55</v>
      </c>
      <c r="S32" s="974" t="s">
        <v>243</v>
      </c>
      <c r="T32" s="974"/>
      <c r="W32" s="243" t="s">
        <v>1072</v>
      </c>
      <c r="X32" s="243">
        <v>0</v>
      </c>
      <c r="Y32" s="977" t="s">
        <v>1001</v>
      </c>
      <c r="Z32" s="977"/>
      <c r="AE32" s="974" t="s">
        <v>243</v>
      </c>
      <c r="AF32" s="97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2" t="s">
        <v>1438</v>
      </c>
      <c r="DP32" s="98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9" t="s">
        <v>2170</v>
      </c>
      <c r="IO32" s="92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8"/>
      <c r="KD32" s="350" t="s">
        <v>1392</v>
      </c>
      <c r="KE32" s="2">
        <f>KG7</f>
        <v>0</v>
      </c>
      <c r="KF32" s="850" t="s">
        <v>2956</v>
      </c>
      <c r="KG32" s="78"/>
      <c r="KH32" s="892" t="s">
        <v>3041</v>
      </c>
      <c r="KI32" s="61">
        <v>54</v>
      </c>
    </row>
    <row r="33" spans="1:297">
      <c r="A33" s="977" t="s">
        <v>1001</v>
      </c>
      <c r="B33" s="977"/>
      <c r="C33" s="3"/>
      <c r="D33" s="3"/>
      <c r="E33" s="246"/>
      <c r="F33" s="246"/>
      <c r="G33" s="977" t="s">
        <v>1001</v>
      </c>
      <c r="H33" s="977"/>
      <c r="K33" s="243" t="s">
        <v>1021</v>
      </c>
      <c r="L33" s="243"/>
      <c r="M33" s="980" t="s">
        <v>1034</v>
      </c>
      <c r="N33" s="980"/>
      <c r="Q33" s="143" t="s">
        <v>1016</v>
      </c>
      <c r="R33" s="142">
        <v>77.239999999999995</v>
      </c>
      <c r="S33" s="980" t="s">
        <v>1034</v>
      </c>
      <c r="T33" s="980"/>
      <c r="Y33" s="974" t="s">
        <v>243</v>
      </c>
      <c r="Z33" s="974"/>
      <c r="AC33" s="197" t="s">
        <v>1012</v>
      </c>
      <c r="AD33" s="142">
        <v>350</v>
      </c>
      <c r="AE33" s="980" t="s">
        <v>1034</v>
      </c>
      <c r="AF33" s="98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5" t="s">
        <v>1411</v>
      </c>
      <c r="DB33" s="98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8"/>
      <c r="KD33" s="346" t="s">
        <v>2165</v>
      </c>
      <c r="KE33" s="2">
        <f>SUM(KG8:KG10)</f>
        <v>10.25</v>
      </c>
      <c r="KF33" s="9" t="s">
        <v>2196</v>
      </c>
      <c r="KG33" s="534">
        <f>225+117</f>
        <v>342</v>
      </c>
      <c r="KH33" s="925" t="s">
        <v>3081</v>
      </c>
      <c r="KI33" s="283" t="s">
        <v>3082</v>
      </c>
    </row>
    <row r="34" spans="1:297">
      <c r="A34" s="974" t="s">
        <v>243</v>
      </c>
      <c r="B34" s="974"/>
      <c r="E34" s="170"/>
      <c r="F34" s="170"/>
      <c r="G34" s="974" t="s">
        <v>243</v>
      </c>
      <c r="H34" s="97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0" t="s">
        <v>1034</v>
      </c>
      <c r="Z34" s="98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8"/>
      <c r="KD34" s="348" t="s">
        <v>2985</v>
      </c>
      <c r="KE34" s="2">
        <f>SUM(KG14:KG21)</f>
        <v>360.96000000000004</v>
      </c>
      <c r="KF34" s="412">
        <v>21.5</v>
      </c>
      <c r="KG34" s="534"/>
      <c r="KH34" s="921" t="s">
        <v>3073</v>
      </c>
      <c r="KI34" s="61">
        <v>58.2</v>
      </c>
    </row>
    <row r="35" spans="1:297" ht="14.25" customHeight="1">
      <c r="A35" s="981" t="s">
        <v>342</v>
      </c>
      <c r="B35" s="981"/>
      <c r="E35" s="187" t="s">
        <v>368</v>
      </c>
      <c r="F35" s="170"/>
      <c r="G35" s="981" t="s">
        <v>342</v>
      </c>
      <c r="H35" s="98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SUM(KG22:KG30)</f>
        <v>318.44</v>
      </c>
      <c r="KF35" s="386" t="s">
        <v>1411</v>
      </c>
      <c r="KG35" s="408">
        <f>KC19+KE37-KI22</f>
        <v>120</v>
      </c>
      <c r="KH35" s="921" t="s">
        <v>1773</v>
      </c>
      <c r="KI35" s="61">
        <v>89.64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3044</v>
      </c>
      <c r="KE36" s="899">
        <f>SUM(KG24:KG30)</f>
        <v>318.44</v>
      </c>
      <c r="KF36" s="409">
        <v>10</v>
      </c>
      <c r="KG36" s="816" t="s">
        <v>2901</v>
      </c>
      <c r="KH36" s="926" t="s">
        <v>3084</v>
      </c>
      <c r="KI36" s="61">
        <v>5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7" t="s">
        <v>1536</v>
      </c>
      <c r="DT37" s="98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2953</v>
      </c>
      <c r="KA37" s="533">
        <v>10</v>
      </c>
      <c r="KD37" s="341" t="s">
        <v>2964</v>
      </c>
      <c r="KE37" s="904">
        <v>0</v>
      </c>
      <c r="KF37" s="409">
        <v>50</v>
      </c>
      <c r="KG37" s="543" t="s">
        <v>1828</v>
      </c>
      <c r="KH37" s="924"/>
      <c r="KI37" s="61"/>
    </row>
    <row r="38" spans="1:297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>
        <v>30</v>
      </c>
      <c r="KG38" s="543" t="s">
        <v>2219</v>
      </c>
      <c r="KH38" s="850" t="s">
        <v>506</v>
      </c>
    </row>
    <row r="39" spans="1:297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2934</v>
      </c>
      <c r="KA39" s="533">
        <v>33.03</v>
      </c>
      <c r="KF39" s="409">
        <v>30</v>
      </c>
      <c r="KG39" s="543" t="s">
        <v>3042</v>
      </c>
      <c r="KH39" s="850" t="s">
        <v>93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2" t="s">
        <v>1438</v>
      </c>
      <c r="DJ40" s="98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9" t="s">
        <v>2170</v>
      </c>
      <c r="II40" s="92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6</v>
      </c>
      <c r="KG40" s="543" t="s">
        <v>3039</v>
      </c>
      <c r="KH40" s="850" t="s">
        <v>1034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5"/>
      <c r="KC41" s="865"/>
      <c r="KD41" s="850"/>
      <c r="KE41" s="850"/>
      <c r="KF41" s="409"/>
      <c r="KG41" s="543"/>
      <c r="KH41" s="850"/>
      <c r="KI41" s="850"/>
      <c r="KJ41" s="850"/>
      <c r="KK41" s="850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2938</v>
      </c>
      <c r="KA42" s="533">
        <v>13.15</v>
      </c>
      <c r="KE42" s="901"/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2935</v>
      </c>
      <c r="KA43" s="533">
        <v>38.200000000000003</v>
      </c>
      <c r="KB43" s="845"/>
      <c r="KC43" s="865"/>
      <c r="KD43" s="850"/>
      <c r="KE43" s="901"/>
      <c r="KF43" s="754"/>
      <c r="KG43" s="401"/>
      <c r="KH43" s="850" t="s">
        <v>2759</v>
      </c>
      <c r="KI43" s="850"/>
      <c r="KJ43" s="850"/>
      <c r="KK43" s="850"/>
    </row>
    <row r="44" spans="1:297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2937</v>
      </c>
      <c r="KA44" s="533">
        <v>10.5</v>
      </c>
      <c r="KE44" s="901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2977</v>
      </c>
      <c r="KA45" s="61">
        <f>47.8+1.2+2.5+3.2</f>
        <v>54.7</v>
      </c>
      <c r="KF45" s="850" t="s">
        <v>2996</v>
      </c>
      <c r="KG45" s="850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3044</v>
      </c>
      <c r="JY46" s="2">
        <f>SUM(KA38:KA46)</f>
        <v>301.70999999999998</v>
      </c>
      <c r="JZ46" s="337" t="s">
        <v>2963</v>
      </c>
      <c r="KA46" s="533">
        <v>26.5</v>
      </c>
      <c r="KF46" s="891" t="s">
        <v>3043</v>
      </c>
      <c r="KG46" s="850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4" t="s">
        <v>2880</v>
      </c>
      <c r="KF47" s="850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5" t="s">
        <v>2956</v>
      </c>
      <c r="KA48" s="78">
        <v>300</v>
      </c>
      <c r="KE48" s="893"/>
      <c r="KF48" s="922" t="s">
        <v>3076</v>
      </c>
      <c r="KG48" s="850">
        <v>81.84</v>
      </c>
    </row>
    <row r="49" spans="41:293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1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4"/>
      <c r="KF49" s="891" t="s">
        <v>3036</v>
      </c>
      <c r="KG49" s="850">
        <v>37.700000000000003</v>
      </c>
    </row>
    <row r="50" spans="41:293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1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2978</v>
      </c>
      <c r="KF50" s="891" t="s">
        <v>3035</v>
      </c>
      <c r="KG50" s="850">
        <v>35.25</v>
      </c>
    </row>
    <row r="51" spans="41:293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1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4"/>
      <c r="KF51" s="922" t="s">
        <v>3077</v>
      </c>
      <c r="KG51" s="850">
        <v>98.58</v>
      </c>
    </row>
    <row r="52" spans="41:293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1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2979</v>
      </c>
    </row>
    <row r="53" spans="41:293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2964</v>
      </c>
      <c r="JY53" s="353">
        <v>200</v>
      </c>
      <c r="JZ53" s="409">
        <v>25</v>
      </c>
      <c r="KA53" s="543" t="s">
        <v>2901</v>
      </c>
      <c r="KE53" s="894"/>
    </row>
    <row r="54" spans="41:293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3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3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2939</v>
      </c>
      <c r="KG56" s="853"/>
    </row>
    <row r="57" spans="41:293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2941</v>
      </c>
    </row>
    <row r="58" spans="41:293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2940</v>
      </c>
    </row>
    <row r="59" spans="41:293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3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2944</v>
      </c>
      <c r="KA60" s="796">
        <v>31.001000000000001</v>
      </c>
    </row>
    <row r="61" spans="41:293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3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2942</v>
      </c>
      <c r="KA62" s="796">
        <v>21.81</v>
      </c>
    </row>
    <row r="63" spans="41:293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2981</v>
      </c>
      <c r="KA63" s="796">
        <v>11.25</v>
      </c>
    </row>
    <row r="64" spans="41:293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95">
      <c r="IJ66" s="398"/>
      <c r="IK66" s="344"/>
      <c r="IP66" s="400"/>
      <c r="JZ66" s="838" t="s">
        <v>2920</v>
      </c>
      <c r="KA66" s="796">
        <v>9.8000000000000007</v>
      </c>
      <c r="KI66" s="390"/>
    </row>
    <row r="67" spans="111:295">
      <c r="IK67" s="493"/>
      <c r="IM67" s="390"/>
      <c r="IP67" s="400"/>
      <c r="IS67" s="390"/>
      <c r="JZ67" s="836" t="s">
        <v>2961</v>
      </c>
      <c r="KA67" s="836">
        <v>9.77</v>
      </c>
    </row>
    <row r="68" spans="111:295">
      <c r="IJ68" s="400"/>
      <c r="IP68" s="400"/>
      <c r="JZ68" s="836" t="s">
        <v>2960</v>
      </c>
      <c r="KA68" s="836">
        <v>11.9</v>
      </c>
    </row>
    <row r="69" spans="111:295">
      <c r="HO69" s="390"/>
      <c r="IG69" s="390"/>
      <c r="IJ69" s="400"/>
      <c r="JZ69" s="836" t="s">
        <v>2962</v>
      </c>
      <c r="KA69" s="836">
        <v>6.62</v>
      </c>
    </row>
    <row r="70" spans="111:295">
      <c r="IJ70" s="400"/>
      <c r="JZ70" s="11" t="s">
        <v>2907</v>
      </c>
      <c r="KA70" s="807">
        <v>69</v>
      </c>
    </row>
    <row r="71" spans="111:295">
      <c r="IJ71" s="400"/>
      <c r="JZ71" s="11" t="s">
        <v>2931</v>
      </c>
      <c r="KA71" s="796">
        <v>8</v>
      </c>
    </row>
    <row r="72" spans="111:295">
      <c r="IJ72" s="400"/>
      <c r="JY72" s="796" t="s">
        <v>2880</v>
      </c>
      <c r="JZ72" s="846" t="s">
        <v>2980</v>
      </c>
      <c r="KA72" s="844">
        <v>29.7</v>
      </c>
    </row>
    <row r="73" spans="111:295">
      <c r="IJ73" s="400"/>
      <c r="JZ73" s="11" t="s">
        <v>2943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C1" workbookViewId="0">
      <selection activeCell="I35" sqref="I35"/>
    </sheetView>
  </sheetViews>
  <sheetFormatPr defaultRowHeight="13.2"/>
  <cols>
    <col min="1" max="1" width="1.33203125" customWidth="1"/>
    <col min="2" max="2" width="9.109375" bestFit="1" customWidth="1"/>
    <col min="3" max="3" width="11.33203125" bestFit="1" customWidth="1"/>
    <col min="4" max="4" width="8.109375" style="871" bestFit="1" customWidth="1"/>
    <col min="5" max="5" width="3" style="883" bestFit="1" customWidth="1"/>
    <col min="6" max="6" width="8.6640625" bestFit="1" customWidth="1"/>
    <col min="7" max="7" width="10.6640625" style="876" bestFit="1" customWidth="1"/>
    <col min="8" max="8" width="8.5546875" bestFit="1" customWidth="1"/>
    <col min="9" max="9" width="8.5546875" style="915" customWidth="1"/>
    <col min="10" max="10" width="8" style="878" bestFit="1" customWidth="1"/>
    <col min="11" max="11" width="55.109375" bestFit="1" customWidth="1"/>
  </cols>
  <sheetData>
    <row r="1" spans="1:11" ht="4.5" customHeight="1"/>
    <row r="2" spans="1:11">
      <c r="B2" s="63" t="s">
        <v>3038</v>
      </c>
      <c r="C2" s="63" t="s">
        <v>3000</v>
      </c>
      <c r="D2" s="63" t="s">
        <v>3001</v>
      </c>
      <c r="E2" s="884"/>
      <c r="F2" s="63" t="s">
        <v>2508</v>
      </c>
      <c r="G2" s="875"/>
      <c r="H2" s="211" t="s">
        <v>2999</v>
      </c>
      <c r="I2" s="211" t="s">
        <v>3066</v>
      </c>
      <c r="J2" s="63" t="s">
        <v>2998</v>
      </c>
      <c r="K2" s="11" t="s">
        <v>2997</v>
      </c>
    </row>
    <row r="3" spans="1:11" s="871" customFormat="1">
      <c r="B3" s="63"/>
      <c r="C3" s="63"/>
      <c r="D3" s="63"/>
      <c r="E3" s="884"/>
      <c r="F3" s="63"/>
      <c r="G3" s="875"/>
      <c r="H3" s="211"/>
      <c r="I3" s="211"/>
      <c r="J3" s="227">
        <v>738000</v>
      </c>
      <c r="K3" s="11"/>
    </row>
    <row r="4" spans="1:11" ht="2.25" customHeight="1">
      <c r="B4" s="63"/>
      <c r="C4" s="219"/>
      <c r="D4" s="219"/>
      <c r="E4" s="885"/>
      <c r="F4" s="887"/>
      <c r="G4" s="875"/>
      <c r="H4" s="211"/>
      <c r="I4" s="211"/>
      <c r="J4" s="880"/>
      <c r="K4" s="11"/>
    </row>
    <row r="5" spans="1:11" s="915" customFormat="1">
      <c r="B5" s="63"/>
      <c r="C5" s="886"/>
      <c r="D5" s="886"/>
      <c r="E5" s="888"/>
      <c r="F5" s="887"/>
      <c r="G5" s="917">
        <v>45163</v>
      </c>
      <c r="H5" s="211"/>
      <c r="I5" s="887">
        <f>-F6</f>
        <v>-10000</v>
      </c>
      <c r="J5" s="227"/>
      <c r="K5" s="11" t="s">
        <v>3067</v>
      </c>
    </row>
    <row r="6" spans="1:11" s="915" customFormat="1">
      <c r="B6" s="63"/>
      <c r="C6" s="886"/>
      <c r="D6" s="886"/>
      <c r="E6" s="888"/>
      <c r="F6" s="887">
        <f>10000</f>
        <v>10000</v>
      </c>
      <c r="G6" s="917"/>
      <c r="H6" s="211"/>
      <c r="I6" s="211"/>
      <c r="J6" s="227">
        <f>$J$3+SUM($F$3:F6)</f>
        <v>748000</v>
      </c>
      <c r="K6" s="11"/>
    </row>
    <row r="7" spans="1:11" s="878" customFormat="1">
      <c r="B7" s="63"/>
      <c r="C7" s="886"/>
      <c r="D7" s="886">
        <f>-F7-C7</f>
        <v>200000</v>
      </c>
      <c r="E7" s="888" t="s">
        <v>3027</v>
      </c>
      <c r="F7" s="887">
        <v>-200000</v>
      </c>
      <c r="G7" s="913">
        <v>45164</v>
      </c>
      <c r="H7" s="211"/>
      <c r="I7" s="211"/>
      <c r="J7" s="227">
        <f>$J$3+SUM($F$3:F7)</f>
        <v>548000</v>
      </c>
      <c r="K7" s="11" t="s">
        <v>3021</v>
      </c>
    </row>
    <row r="8" spans="1:11" s="911" customFormat="1">
      <c r="B8" s="63"/>
      <c r="C8" s="886" t="s">
        <v>3059</v>
      </c>
      <c r="D8" s="886">
        <f>-D7</f>
        <v>-200000</v>
      </c>
      <c r="E8" s="884" t="s">
        <v>3028</v>
      </c>
      <c r="F8" s="887">
        <f>-F7</f>
        <v>200000</v>
      </c>
      <c r="G8" s="992">
        <v>45166</v>
      </c>
      <c r="H8" s="914"/>
      <c r="I8" s="914"/>
      <c r="J8" s="227">
        <f>$J$3+SUM($F$3:F8)</f>
        <v>748000</v>
      </c>
      <c r="K8" s="11" t="s">
        <v>3022</v>
      </c>
    </row>
    <row r="9" spans="1:11" s="911" customFormat="1">
      <c r="B9" s="63"/>
      <c r="C9" s="886"/>
      <c r="D9" s="886"/>
      <c r="E9" s="888"/>
      <c r="F9" s="887">
        <v>-135000</v>
      </c>
      <c r="G9" s="993"/>
      <c r="H9" s="914"/>
      <c r="I9" s="914"/>
      <c r="J9" s="227">
        <f>$J$3+SUM($F$3:F9)</f>
        <v>613000</v>
      </c>
      <c r="K9" s="897" t="s">
        <v>3032</v>
      </c>
    </row>
    <row r="10" spans="1:11" s="878" customFormat="1">
      <c r="A10" s="207"/>
      <c r="B10" s="227"/>
      <c r="C10" s="63"/>
      <c r="D10" s="63"/>
      <c r="E10" s="63"/>
      <c r="F10" s="63"/>
      <c r="G10" s="995"/>
      <c r="H10" s="881">
        <f>-F9</f>
        <v>135000</v>
      </c>
      <c r="I10" s="881"/>
      <c r="J10" s="227"/>
      <c r="K10" s="896" t="s">
        <v>3064</v>
      </c>
    </row>
    <row r="11" spans="1:11" s="895" customFormat="1" ht="3" customHeight="1">
      <c r="A11" s="207"/>
      <c r="B11" s="227"/>
      <c r="C11" s="886"/>
      <c r="D11" s="886"/>
      <c r="E11" s="884"/>
      <c r="F11" s="887"/>
      <c r="G11" s="875"/>
      <c r="H11" s="211"/>
      <c r="I11" s="211"/>
      <c r="J11" s="227">
        <f>$J$3+SUM($F$3:F11)</f>
        <v>613000</v>
      </c>
      <c r="K11" s="11"/>
    </row>
    <row r="12" spans="1:11" s="895" customFormat="1">
      <c r="B12" s="63"/>
      <c r="C12" s="881">
        <f>-F12-D12</f>
        <v>100000</v>
      </c>
      <c r="D12" s="227">
        <v>150000</v>
      </c>
      <c r="E12" s="888" t="s">
        <v>3027</v>
      </c>
      <c r="F12" s="902">
        <v>-250000</v>
      </c>
      <c r="G12" s="910">
        <v>45167</v>
      </c>
      <c r="H12" s="63"/>
      <c r="I12" s="63"/>
      <c r="J12" s="227">
        <f>$J$3+SUM($F$3:F12)</f>
        <v>363000</v>
      </c>
      <c r="K12" s="897" t="s">
        <v>3046</v>
      </c>
    </row>
    <row r="13" spans="1:11">
      <c r="B13" s="63"/>
      <c r="C13" s="63"/>
      <c r="D13" s="881">
        <f>-D12</f>
        <v>-150000</v>
      </c>
      <c r="E13" s="885"/>
      <c r="G13" s="992">
        <v>45167</v>
      </c>
      <c r="H13" s="63"/>
      <c r="I13" s="63"/>
      <c r="J13" s="227"/>
      <c r="K13" s="897" t="s">
        <v>3047</v>
      </c>
    </row>
    <row r="14" spans="1:11" s="895" customFormat="1">
      <c r="B14" s="227">
        <f>-D13</f>
        <v>150000</v>
      </c>
      <c r="C14" s="63"/>
      <c r="D14" s="881"/>
      <c r="E14" s="885"/>
      <c r="F14" s="881"/>
      <c r="G14" s="993"/>
      <c r="H14" s="63"/>
      <c r="I14" s="63"/>
      <c r="J14" s="227"/>
      <c r="K14" s="909" t="s">
        <v>3061</v>
      </c>
    </row>
    <row r="15" spans="1:11" s="895" customFormat="1">
      <c r="B15" s="63" t="s">
        <v>3060</v>
      </c>
      <c r="C15" s="881">
        <f>-C12</f>
        <v>-100000</v>
      </c>
      <c r="D15" s="63"/>
      <c r="E15" s="884" t="s">
        <v>3028</v>
      </c>
      <c r="F15" s="881">
        <f>-C15</f>
        <v>100000</v>
      </c>
      <c r="G15" s="993"/>
      <c r="H15" s="63"/>
      <c r="I15" s="63"/>
      <c r="J15" s="227">
        <f>$J$3+SUM($F$3:F15)</f>
        <v>463000</v>
      </c>
      <c r="K15" s="895" t="s">
        <v>3070</v>
      </c>
    </row>
    <row r="16" spans="1:11" s="905" customFormat="1">
      <c r="B16" s="63"/>
      <c r="C16" s="63"/>
      <c r="D16" s="881"/>
      <c r="E16" s="885"/>
      <c r="F16" s="881"/>
      <c r="G16" s="907"/>
      <c r="H16" s="63"/>
      <c r="I16" s="63"/>
      <c r="J16" s="227"/>
    </row>
    <row r="17" spans="2:11" s="911" customFormat="1">
      <c r="B17" s="63"/>
      <c r="C17" s="63"/>
      <c r="D17" s="227">
        <f>-F17-C18</f>
        <v>100000</v>
      </c>
      <c r="E17" s="888" t="s">
        <v>3027</v>
      </c>
      <c r="F17" s="887">
        <v>-200000</v>
      </c>
      <c r="G17" s="993">
        <v>45168</v>
      </c>
      <c r="H17" s="63"/>
      <c r="I17" s="63"/>
      <c r="J17" s="227">
        <f>$J$3+SUM($F$3:F17)</f>
        <v>263000</v>
      </c>
      <c r="K17" s="320" t="s">
        <v>3075</v>
      </c>
    </row>
    <row r="18" spans="2:11" s="895" customFormat="1">
      <c r="B18" s="63"/>
      <c r="C18" s="886">
        <v>100000</v>
      </c>
      <c r="D18" s="63"/>
      <c r="E18" s="888" t="s">
        <v>3027</v>
      </c>
      <c r="F18" s="63" t="s">
        <v>3069</v>
      </c>
      <c r="G18" s="995"/>
      <c r="H18" s="63"/>
      <c r="I18" s="63"/>
      <c r="J18" s="227"/>
      <c r="K18" s="912" t="s">
        <v>3071</v>
      </c>
    </row>
    <row r="19" spans="2:11" s="911" customFormat="1">
      <c r="B19" s="63"/>
      <c r="C19" s="886"/>
      <c r="D19" s="63"/>
      <c r="E19" s="888"/>
      <c r="F19" s="887"/>
      <c r="G19" s="907"/>
      <c r="H19" s="63"/>
      <c r="I19" s="63"/>
      <c r="J19" s="227"/>
      <c r="K19" s="912"/>
    </row>
    <row r="20" spans="2:11">
      <c r="B20" s="63"/>
      <c r="C20" s="219"/>
      <c r="D20" s="886">
        <f>-F20-C21</f>
        <v>250000</v>
      </c>
      <c r="E20" s="888" t="s">
        <v>3027</v>
      </c>
      <c r="F20" s="902">
        <v>-250000</v>
      </c>
      <c r="G20" s="994">
        <v>45169</v>
      </c>
      <c r="H20" s="63"/>
      <c r="I20" s="63"/>
      <c r="J20" s="227">
        <f>$J$3+SUM($F$3:F20)</f>
        <v>13000</v>
      </c>
      <c r="K20" s="11" t="s">
        <v>3046</v>
      </c>
    </row>
    <row r="21" spans="2:11">
      <c r="B21" s="63"/>
      <c r="C21" s="886">
        <v>0</v>
      </c>
      <c r="D21" s="63"/>
      <c r="E21" s="885"/>
      <c r="F21" s="887"/>
      <c r="G21" s="994"/>
      <c r="H21" s="63"/>
      <c r="I21" s="63"/>
      <c r="J21" s="889"/>
      <c r="K21" s="11" t="s">
        <v>3048</v>
      </c>
    </row>
    <row r="22" spans="2:11" s="895" customFormat="1">
      <c r="B22" s="63"/>
      <c r="C22" s="886"/>
      <c r="D22" s="886">
        <v>-135</v>
      </c>
      <c r="E22" s="885"/>
      <c r="F22" s="887"/>
      <c r="G22" s="994"/>
      <c r="H22" s="63"/>
      <c r="I22" s="63"/>
      <c r="J22" s="889"/>
      <c r="K22" s="897"/>
    </row>
    <row r="23" spans="2:11" s="895" customFormat="1">
      <c r="B23" s="63"/>
      <c r="C23" s="886"/>
      <c r="D23" s="886"/>
      <c r="E23" s="885"/>
      <c r="F23" s="887"/>
      <c r="G23" s="994"/>
      <c r="H23" s="881">
        <f>-D22</f>
        <v>135</v>
      </c>
      <c r="I23" s="881"/>
      <c r="J23" s="889"/>
      <c r="K23" s="896" t="s">
        <v>3054</v>
      </c>
    </row>
    <row r="24" spans="2:11">
      <c r="B24" s="63"/>
      <c r="C24" s="63"/>
      <c r="D24" s="63"/>
      <c r="E24" s="884"/>
      <c r="F24" s="881">
        <f>-F6</f>
        <v>-10000</v>
      </c>
      <c r="G24" s="872">
        <v>45170</v>
      </c>
      <c r="H24" s="63"/>
      <c r="I24" s="63"/>
      <c r="J24" s="227">
        <f>J3+SUM(F4:F24)</f>
        <v>3000</v>
      </c>
      <c r="K24" s="916" t="s">
        <v>3065</v>
      </c>
    </row>
    <row r="25" spans="2:11">
      <c r="B25" s="63"/>
      <c r="C25" s="63"/>
      <c r="D25" s="886"/>
      <c r="E25" s="884"/>
      <c r="F25" s="881"/>
      <c r="G25" s="872"/>
      <c r="H25" s="211"/>
      <c r="I25" s="887">
        <f>-F24</f>
        <v>10000</v>
      </c>
      <c r="J25" s="63"/>
      <c r="K25" s="11"/>
    </row>
  </sheetData>
  <mergeCells count="4">
    <mergeCell ref="G13:G15"/>
    <mergeCell ref="G20:G23"/>
    <mergeCell ref="G17:G18"/>
    <mergeCell ref="G8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2023-07-31T15:06:09Z</cp:lastPrinted>
  <dcterms:created xsi:type="dcterms:W3CDTF">1998-07-18T13:03:51Z</dcterms:created>
  <dcterms:modified xsi:type="dcterms:W3CDTF">2023-08-24T15:17:16Z</dcterms:modified>
</cp:coreProperties>
</file>