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8265" yWindow="-120" windowWidth="28380" windowHeight="16440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Apr" sheetId="45" r:id="rId11"/>
    <sheet name="MCS int" sheetId="42" r:id="rId12"/>
    <sheet name="wife100k" sheetId="43" state="hidden" r:id="rId13"/>
    <sheet name="!" sheetId="33" r:id="rId14"/>
    <sheet name="snap4mtg" sheetId="37" state="hidden" r:id="rId15"/>
    <sheet name="mtg2023" sheetId="35" state="hidden" r:id="rId16"/>
  </sheets>
  <calcPr calcId="162913"/>
</workbook>
</file>

<file path=xl/calcChain.xml><?xml version="1.0" encoding="utf-8"?>
<calcChain xmlns="http://schemas.openxmlformats.org/spreadsheetml/2006/main">
  <c r="B5" i="42" l="1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4" i="42"/>
  <c r="D35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B34" i="45"/>
  <c r="H30" i="45" s="1"/>
  <c r="H32" i="45" s="1"/>
  <c r="D34" i="45"/>
  <c r="K32" i="45" s="1"/>
  <c r="J30" i="45" l="1"/>
  <c r="J32" i="45" s="1"/>
  <c r="I30" i="45"/>
  <c r="I32" i="45" s="1"/>
  <c r="JU21" i="32" l="1"/>
  <c r="JS15" i="32" l="1"/>
  <c r="JU20" i="32" l="1"/>
  <c r="JU18" i="32" l="1"/>
  <c r="JU28" i="32"/>
  <c r="JU19" i="32"/>
  <c r="JO14" i="32" l="1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29" i="32"/>
  <c r="JS27" i="32"/>
  <c r="JS30" i="32"/>
  <c r="JS31" i="32"/>
  <c r="JS26" i="32"/>
  <c r="JS28" i="32"/>
  <c r="JW2" i="32" l="1"/>
  <c r="JS32" i="32"/>
  <c r="JO29" i="32"/>
  <c r="JO13" i="32" l="1"/>
  <c r="JM26" i="32" l="1"/>
  <c r="JM15" i="32" l="1"/>
  <c r="JM33" i="32" l="1"/>
  <c r="JO21" i="32"/>
  <c r="JO19" i="32"/>
  <c r="JM14" i="32" l="1"/>
  <c r="JM2" i="32" s="1"/>
  <c r="JI11" i="32" l="1"/>
  <c r="JO20" i="32" l="1"/>
  <c r="JO10" i="32" l="1"/>
  <c r="K33" i="42" l="1"/>
  <c r="B35" i="42" l="1"/>
  <c r="J31" i="42" s="1"/>
  <c r="J33" i="42" s="1"/>
  <c r="JQ4" i="32"/>
  <c r="JQ7" i="32"/>
  <c r="H31" i="42" l="1"/>
  <c r="H33" i="42" s="1"/>
  <c r="I31" i="42"/>
  <c r="I33" i="42" s="1"/>
  <c r="C21" i="41" l="1"/>
  <c r="JO24" i="32" l="1"/>
  <c r="JM25" i="32"/>
  <c r="JM27" i="32"/>
  <c r="JM31" i="32" l="1"/>
  <c r="JM30" i="32"/>
  <c r="JN40" i="32"/>
  <c r="JC17" i="32" l="1"/>
  <c r="JC16" i="32" s="1"/>
  <c r="JI12" i="32" l="1"/>
  <c r="JO31" i="32"/>
  <c r="JO5" i="32" s="1"/>
  <c r="JM29" i="32"/>
  <c r="JM28" i="32"/>
  <c r="JQ3" i="32"/>
  <c r="JQ2" i="32" s="1"/>
  <c r="JI28" i="32"/>
  <c r="JI24" i="32"/>
  <c r="JU2" i="32" l="1"/>
  <c r="JU3" i="32" s="1"/>
  <c r="JI33" i="32"/>
  <c r="JI27" i="32"/>
  <c r="JU4" i="32" l="1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K3" i="32" s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JE3" i="32" s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Y3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<sst xmlns="http://schemas.openxmlformats.org/spreadsheetml/2006/main" count="7147" uniqueCount="2882">
  <si>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</si>
  <si>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</si>
  <si>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</si>
  <si>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</si>
  <si>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</si>
  <si>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</si>
  <si>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</si>
  <si>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</si>
  <si>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</si>
  <si>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</si>
  <si>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</si>
  <si>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</si>
  <si>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</si>
  <si>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</si>
  <si>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</si>
  <si>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</si>
  <si>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</si>
  <si>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</si>
  <si>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</si>
  <si>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</si>
  <si>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</si>
  <si>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</si>
  <si>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</si>
  <si>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</si>
  <si>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</si>
  <si>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</si>
  <si>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</si>
  <si>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</si>
  <si>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</si>
  <si>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</si>
  <si>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</si>
  <si>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</si>
  <si>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</si>
  <si>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</si>
  <si>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</si>
  <si>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</si>
  <si>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</si>
  <si>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</si>
  <si>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</si>
  <si>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</si>
  <si>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</si>
  <si>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</si>
  <si>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</si>
  <si>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</si>
  <si>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</si>
  <si>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</si>
  <si>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</si>
  <si>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</si>
  <si>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</si>
  <si>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</si>
  <si>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</si>
  <si>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</si>
  <si>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</si>
  <si>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</si>
  <si>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</si>
  <si>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</si>
  <si>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</si>
  <si>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</si>
  <si>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</si>
  <si>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</si>
  <si>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</si>
  <si>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</si>
  <si>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</si>
  <si>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</si>
  <si>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</si>
  <si>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</si>
  <si>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</si>
  <si>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</si>
  <si>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</si>
  <si>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</si>
  <si>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</si>
  <si>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</si>
  <si>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</si>
  <si>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</si>
  <si>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</si>
  <si>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</si>
  <si>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</si>
  <si>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</si>
  <si>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</si>
  <si>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</si>
  <si>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</si>
  <si>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</si>
  <si>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</si>
  <si>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</si>
  <si>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</si>
  <si>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</si>
  <si>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</si>
  <si>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</si>
  <si>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</si>
  <si>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</si>
  <si>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</si>
  <si>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</si>
  <si>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</si>
  <si>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</si>
  <si>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</si>
  <si>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</si>
  <si>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</si>
  <si>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</si>
  <si>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</si>
  <si>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</si>
  <si>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</si>
  <si>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</si>
  <si>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</si>
  <si>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</si>
  <si>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</si>
  <si>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</si>
  <si>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</si>
  <si>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</si>
  <si>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</si>
  <si>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</si>
  <si>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</si>
  <si>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</si>
  <si>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</si>
  <si>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</si>
  <si>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</si>
  <si>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</si>
  <si>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</si>
  <si>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</si>
  <si>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</si>
  <si>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</si>
  <si>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</si>
  <si>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</si>
  <si>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</si>
  <si>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</si>
  <si>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</si>
  <si>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</si>
  <si>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</si>
  <si>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</si>
  <si>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</si>
  <si>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</si>
  <si>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</si>
  <si>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</si>
  <si>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</si>
  <si>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</si>
  <si>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</si>
  <si>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</si>
  <si>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</si>
  <si>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</si>
  <si>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</si>
  <si>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</si>
  <si>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</si>
  <si>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</si>
  <si>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</si>
  <si>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</si>
  <si>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</si>
  <si>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</si>
  <si>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</si>
  <si>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</si>
  <si>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</si>
  <si>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</si>
  <si>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</si>
  <si>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</si>
  <si>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</si>
  <si>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</si>
  <si>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</si>
  <si>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</si>
  <si>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</si>
  <si>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</si>
  <si>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</si>
  <si>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</si>
  <si>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</si>
  <si>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</si>
  <si>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</si>
  <si>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</si>
  <si>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</si>
  <si>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</si>
  <si>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</si>
  <si>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</si>
  <si>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</si>
  <si>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</si>
  <si>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</si>
  <si>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</si>
  <si>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</si>
  <si>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</si>
  <si>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</si>
  <si>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</si>
  <si>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</si>
  <si>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</si>
  <si>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</si>
  <si>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</si>
  <si>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</si>
  <si>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</si>
  <si>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</si>
  <si>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</si>
  <si>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</si>
  <si>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</si>
  <si>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</si>
  <si>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</si>
  <si>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</si>
  <si>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</si>
  <si>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</si>
  <si>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</si>
  <si>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</si>
  <si>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</si>
  <si>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</si>
  <si>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</si>
  <si>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</si>
  <si>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</si>
  <si>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</si>
  <si>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</si>
  <si>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</si>
  <si>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</si>
  <si>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</si>
  <si>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</si>
  <si>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</si>
  <si>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</si>
  <si>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</si>
  <si>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</si>
  <si>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</si>
  <si>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</si>
  <si>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</si>
  <si>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</si>
  <si>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</si>
  <si>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</si>
  <si>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</si>
  <si>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</si>
  <si>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</si>
  <si>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</si>
  <si>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</si>
  <si>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</si>
  <si>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</si>
  <si>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</si>
  <si>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</si>
  <si>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</si>
  <si>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</si>
  <si>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</si>
  <si>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</si>
  <si>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</si>
  <si>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</si>
  <si>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</si>
  <si>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</si>
  <si>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</si>
  <si>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</si>
  <si>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</si>
  <si>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</si>
  <si>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</si>
  <si>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</si>
  <si>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</si>
  <si>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</si>
  <si>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</si>
  <si>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</si>
  <si>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</si>
  <si>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</si>
  <si>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</si>
  <si>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</si>
  <si>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</si>
  <si>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</si>
  <si>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</si>
  <si>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</si>
  <si>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</si>
  <si>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</si>
  <si>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</si>
  <si>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</si>
  <si>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</si>
  <si>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</si>
  <si>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</si>
  <si>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</si>
  <si>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</si>
  <si>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</si>
  <si>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</si>
  <si>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</si>
  <si>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</si>
  <si>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</si>
  <si>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</si>
  <si>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</si>
  <si>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</si>
  <si>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</si>
  <si>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</si>
  <si>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</si>
  <si>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</si>
  <si>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</si>
  <si>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</si>
  <si>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</si>
  <si>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</si>
  <si>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</si>
  <si>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</si>
  <si>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</si>
  <si>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</si>
  <si>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</si>
  <si>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</si>
  <si>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</si>
  <si>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</si>
  <si>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</si>
  <si>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</si>
  <si>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</si>
  <si>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</si>
  <si>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</si>
  <si>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</si>
  <si>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</si>
  <si>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</si>
  <si>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</si>
  <si>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</si>
  <si>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</si>
  <si>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</si>
  <si>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</si>
  <si>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</si>
  <si>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</si>
  <si>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</si>
  <si>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</si>
  <si>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</si>
  <si>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</si>
  <si>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</si>
  <si>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</si>
  <si>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</si>
  <si>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</si>
  <si>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</si>
  <si>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</si>
  <si>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</si>
  <si>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</si>
  <si>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</si>
  <si>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</si>
  <si>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</si>
  <si>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</si>
  <si>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</si>
  <si>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</si>
  <si>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</si>
  <si>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</si>
  <si>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</si>
  <si>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</si>
  <si>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</si>
  <si>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</si>
  <si>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</si>
  <si>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</si>
  <si>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</si>
  <si>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</si>
  <si>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</si>
  <si>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</si>
  <si>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</si>
  <si>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</si>
  <si>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</si>
  <si>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</si>
  <si>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</si>
  <si>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</si>
  <si>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</si>
  <si>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</si>
  <si>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</si>
  <si>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</si>
  <si>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</si>
  <si>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</si>
  <si>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</si>
  <si>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</si>
  <si>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</si>
  <si>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</si>
  <si>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</si>
  <si>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</si>
  <si>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</si>
  <si>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</si>
  <si>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</si>
  <si>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</si>
  <si>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</si>
  <si>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</si>
  <si>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</si>
  <si>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</si>
  <si>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</si>
  <si>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</si>
  <si>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</si>
  <si>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</si>
  <si>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</si>
  <si>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</si>
  <si>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</si>
  <si>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</si>
  <si>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</si>
  <si>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</si>
  <si>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</si>
  <si>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</si>
  <si>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</si>
  <si>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</si>
  <si>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</si>
  <si>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</si>
  <si>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</si>
  <si>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</si>
  <si>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</si>
  <si>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</si>
  <si>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</si>
  <si>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</si>
  <si>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</si>
  <si>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</si>
  <si>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</si>
  <si>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</si>
  <si>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</si>
  <si>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</si>
  <si>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</si>
  <si>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</si>
  <si>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</si>
  <si>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</si>
  <si>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</si>
  <si>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</si>
  <si>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</si>
  <si>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</si>
  <si>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</si>
  <si>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</si>
  <si>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</si>
  <si>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</si>
  <si>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</si>
  <si>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</si>
  <si>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</si>
  <si>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</si>
  <si>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</si>
  <si>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</si>
  <si>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</si>
  <si>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</si>
  <si>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</si>
  <si>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</si>
  <si>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</si>
  <si>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</si>
  <si>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</si>
  <si>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</si>
  <si>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</si>
  <si>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</si>
  <si>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</si>
  <si>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</si>
  <si>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</si>
  <si>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</si>
  <si>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</si>
  <si>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</si>
  <si>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</si>
  <si>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</si>
  <si>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</si>
  <si>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</si>
  <si>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</si>
  <si>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</si>
  <si>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</si>
  <si>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</si>
  <si>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</si>
  <si>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</si>
  <si>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</si>
  <si>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</si>
  <si>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</si>
  <si>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</si>
  <si>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</si>
  <si>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</si>
  <si>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</si>
  <si>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</si>
  <si>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</si>
  <si>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</si>
  <si>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</si>
  <si>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</si>
  <si>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</si>
  <si>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</si>
  <si>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</si>
  <si>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</si>
  <si>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</si>
  <si>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</si>
  <si>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</si>
  <si>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</si>
  <si>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</si>
  <si>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</si>
  <si>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</si>
  <si>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</si>
  <si>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</si>
  <si>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</si>
  <si>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</si>
  <si>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</si>
  <si>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</si>
  <si>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</si>
  <si>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</si>
  <si>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</si>
  <si>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</si>
  <si>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</si>
  <si>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</si>
  <si>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</si>
  <si>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</si>
  <si>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</si>
  <si>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</si>
  <si>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</si>
  <si>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</si>
  <si>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</si>
  <si>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</si>
  <si>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</si>
  <si>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</si>
  <si>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</si>
  <si>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</si>
  <si>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</si>
  <si>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</si>
  <si>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</si>
  <si>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</si>
  <si>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</si>
  <si>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</si>
  <si>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</si>
  <si>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</si>
  <si>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</si>
  <si>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</si>
  <si>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</si>
  <si>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</si>
  <si>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</si>
  <si>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</si>
  <si>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</si>
  <si>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</si>
  <si>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</si>
  <si>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</si>
  <si>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</si>
  <si>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</si>
  <si>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</si>
  <si>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</si>
  <si>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</si>
  <si>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</si>
  <si>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</si>
  <si>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</si>
  <si>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</si>
  <si>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</si>
  <si>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</si>
  <si>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</si>
  <si>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</si>
  <si>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</si>
  <si>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</si>
  <si>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</si>
  <si>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</si>
  <si>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</si>
  <si>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</si>
  <si>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</si>
  <si>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</si>
  <si>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</si>
  <si>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</si>
  <si>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</si>
  <si>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</si>
  <si>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</si>
  <si>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</si>
  <si>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</si>
  <si>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</si>
  <si>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</si>
  <si>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</si>
  <si>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</si>
  <si>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</si>
  <si>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</si>
  <si>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</si>
  <si>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</si>
  <si>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</si>
  <si>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</si>
  <si>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</si>
  <si>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</si>
  <si>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</si>
  <si>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</si>
  <si>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</si>
  <si>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</si>
  <si>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</si>
  <si>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</si>
  <si>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</si>
  <si>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</si>
  <si>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</si>
  <si>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</si>
  <si>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</si>
  <si>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</si>
  <si>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</si>
  <si>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</si>
  <si>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</si>
  <si>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</si>
  <si>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</si>
  <si>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</si>
  <si>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</si>
  <si>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</si>
  <si>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</si>
  <si>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</si>
  <si>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</si>
  <si>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</si>
  <si>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</si>
  <si>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</si>
  <si>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</si>
  <si>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</si>
  <si>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</si>
  <si>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</si>
  <si>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</si>
  <si>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</si>
  <si>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</si>
  <si>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</si>
  <si>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</si>
  <si>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</si>
  <si>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</si>
  <si>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</si>
  <si>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</si>
  <si>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</si>
  <si>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</si>
  <si>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</si>
  <si>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</si>
  <si>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</si>
  <si>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</si>
  <si>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</si>
  <si>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</si>
  <si>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</si>
  <si>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</si>
  <si>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</si>
  <si>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</si>
  <si>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</si>
  <si>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</si>
  <si>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</si>
  <si>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</si>
  <si>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</si>
  <si>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</si>
  <si>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</si>
  <si>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</si>
  <si>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</si>
  <si>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</si>
  <si>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</si>
  <si>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</si>
  <si>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</si>
  <si>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</si>
  <si>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</si>
  <si>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</si>
  <si>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</si>
  <si>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</si>
  <si>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</si>
  <si>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</si>
  <si>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</si>
  <si>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</si>
  <si>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</si>
  <si>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</si>
  <si>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</si>
  <si>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</si>
  <si>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</si>
  <si>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</si>
  <si>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</si>
  <si>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</si>
  <si>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</si>
  <si>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</si>
  <si>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</si>
  <si>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</si>
  <si>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</si>
  <si>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</si>
  <si>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</si>
  <si>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</si>
  <si>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</si>
  <si>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</si>
  <si>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</si>
  <si>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</si>
  <si>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</si>
  <si>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</si>
  <si>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</si>
  <si>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</si>
  <si>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</si>
  <si>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</si>
  <si>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</si>
  <si>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</si>
  <si>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</si>
  <si>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</si>
  <si>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</si>
  <si>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</si>
  <si>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</si>
  <si>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</si>
  <si>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</si>
  <si>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</si>
  <si>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</si>
  <si>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</si>
  <si>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</si>
  <si>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</si>
  <si>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</si>
  <si>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</si>
  <si>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</si>
  <si>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</si>
  <si>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</si>
  <si>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</si>
  <si>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</si>
  <si>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</si>
  <si>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</si>
  <si>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</si>
  <si>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</si>
  <si>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</si>
  <si>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</si>
  <si>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</si>
  <si>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</si>
  <si>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</si>
  <si>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</si>
  <si>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</si>
  <si>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</si>
  <si>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</si>
  <si>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</si>
  <si>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</si>
  <si>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</si>
  <si>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</si>
  <si>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</si>
  <si>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</si>
  <si>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</si>
  <si>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</si>
  <si>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</si>
  <si>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</si>
  <si>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</si>
  <si>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</si>
  <si>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</si>
  <si>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</si>
  <si>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</si>
  <si>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</si>
  <si>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</si>
  <si>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</si>
  <si>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</si>
  <si>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</si>
  <si>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</si>
  <si>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</si>
  <si>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</si>
  <si>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</si>
  <si>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</si>
  <si>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</si>
  <si>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</si>
  <si>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</si>
  <si>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</si>
  <si>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</si>
  <si>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</si>
  <si>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</si>
  <si>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</si>
  <si>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</si>
  <si>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</si>
  <si>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</si>
  <si>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</si>
  <si>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</si>
  <si>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</si>
  <si>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</si>
  <si>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</si>
  <si>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</si>
  <si>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</si>
  <si>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</si>
  <si>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</si>
  <si>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</si>
  <si>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</si>
  <si>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</si>
  <si>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</si>
  <si>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</si>
  <si>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</si>
  <si>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</si>
  <si>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</si>
  <si>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</si>
  <si>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</si>
  <si>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</si>
  <si>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</si>
  <si>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</si>
  <si>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</si>
  <si>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</si>
  <si>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</si>
  <si>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</si>
  <si>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</si>
  <si>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</si>
  <si>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</si>
  <si>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</si>
  <si>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</si>
  <si>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</si>
  <si>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</si>
  <si>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</si>
  <si>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</si>
  <si>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</si>
  <si>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</si>
  <si>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</si>
  <si>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</si>
  <si>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</si>
  <si>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</si>
  <si>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</si>
  <si>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</si>
  <si>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</si>
  <si>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</si>
  <si>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</si>
  <si>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</si>
  <si>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</si>
  <si>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</si>
  <si>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</si>
  <si>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</si>
  <si>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</si>
  <si>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</si>
  <si>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</si>
  <si>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</si>
  <si>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</si>
  <si>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</si>
  <si>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</si>
  <si>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</si>
  <si>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</si>
  <si>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</si>
  <si>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</si>
  <si>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</si>
  <si>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</si>
  <si>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</si>
  <si>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</si>
  <si>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</si>
  <si>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</si>
  <si>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</si>
  <si>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</si>
  <si>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</si>
  <si>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</si>
  <si>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</si>
  <si>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</si>
  <si>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</si>
  <si>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</si>
  <si>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</si>
  <si>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</si>
  <si>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</si>
  <si>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</si>
  <si>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</si>
  <si>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</si>
  <si>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</si>
  <si>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</si>
  <si>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</si>
  <si>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</si>
  <si>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</si>
  <si>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</si>
  <si>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</si>
  <si>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</si>
  <si>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</si>
  <si>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</si>
  <si>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</si>
  <si>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</si>
  <si>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</si>
  <si>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</si>
  <si>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</si>
  <si>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</si>
  <si>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</si>
  <si>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</si>
  <si>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</si>
  <si>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</si>
  <si>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</si>
  <si>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</si>
  <si>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</si>
  <si>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</si>
  <si>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</si>
  <si>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</si>
  <si>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</si>
  <si>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</si>
  <si>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</si>
  <si>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</si>
  <si>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</si>
  <si>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</si>
  <si>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</si>
  <si>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</si>
  <si>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</si>
  <si>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</si>
  <si>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</si>
  <si>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</si>
  <si>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</si>
  <si>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</si>
  <si>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</si>
  <si>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</si>
  <si>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</si>
  <si>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</si>
  <si>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</si>
  <si>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</si>
  <si>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</si>
  <si>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</si>
  <si>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</si>
  <si>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</si>
  <si>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</si>
  <si>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</si>
  <si>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</si>
  <si>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</si>
  <si>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</si>
  <si>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</si>
  <si>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</si>
  <si>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</si>
  <si>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</si>
  <si>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</si>
  <si>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</si>
  <si>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</si>
  <si>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</si>
  <si>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</si>
  <si>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</si>
  <si>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</si>
  <si>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</si>
  <si>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</si>
  <si>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</si>
  <si>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</si>
  <si>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</si>
  <si>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</si>
  <si>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</si>
  <si>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</si>
  <si>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</si>
  <si>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</si>
  <si>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</si>
  <si>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</si>
  <si>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</si>
  <si>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</si>
  <si>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</si>
  <si>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</si>
  <si>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</si>
  <si>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</si>
  <si>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</si>
  <si>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</si>
  <si>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</si>
  <si>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</si>
  <si>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</si>
  <si>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</si>
  <si>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</si>
  <si>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</si>
  <si>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</si>
  <si>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</si>
  <si>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</si>
  <si>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</si>
  <si>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</si>
  <si>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</si>
  <si>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</si>
  <si>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</si>
  <si>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</si>
  <si>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</si>
  <si>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</si>
  <si>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</si>
  <si>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</si>
  <si>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</si>
  <si>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</si>
  <si>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</si>
  <si>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</si>
  <si>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</si>
  <si>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</si>
  <si>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</si>
  <si>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</si>
  <si>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</si>
  <si>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</si>
  <si>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</si>
  <si>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</si>
  <si>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</si>
  <si>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</si>
  <si>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</si>
  <si>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</si>
  <si>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</si>
  <si>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</si>
  <si>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</si>
  <si>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</si>
  <si>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</si>
  <si>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</si>
  <si>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</si>
  <si>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</si>
  <si>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</si>
  <si>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</si>
  <si>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</si>
  <si>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</si>
  <si>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</si>
  <si>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</si>
  <si>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</si>
  <si>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</si>
  <si>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</si>
  <si>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</si>
  <si>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</si>
  <si>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</si>
  <si>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</si>
  <si>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</si>
  <si>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</si>
  <si>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</si>
  <si>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</si>
  <si>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</si>
  <si>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</si>
  <si>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</si>
  <si>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</si>
  <si>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</si>
  <si>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</si>
  <si>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</si>
  <si>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</si>
  <si>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</si>
  <si>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</si>
  <si>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</si>
  <si>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</si>
  <si>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</si>
  <si>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</si>
  <si>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</si>
  <si>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</si>
  <si>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</si>
  <si>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</si>
  <si>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</si>
  <si>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</si>
  <si>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</si>
  <si>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</si>
  <si>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</si>
  <si>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</si>
  <si>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</si>
  <si>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</si>
  <si>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</si>
  <si>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</si>
  <si>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</si>
  <si>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</si>
  <si>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</si>
  <si>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</si>
  <si>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</si>
  <si>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</si>
  <si>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</si>
  <si>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</si>
  <si>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</si>
  <si>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</si>
  <si>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</si>
  <si>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</si>
  <si>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</si>
  <si>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</si>
  <si>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</si>
  <si>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</si>
  <si>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</si>
  <si>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</si>
  <si>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</si>
  <si>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</si>
  <si>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</si>
  <si>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</si>
  <si>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</si>
  <si>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</si>
  <si>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</si>
  <si>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</si>
  <si>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</si>
  <si>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</si>
  <si>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</si>
  <si>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</si>
  <si>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</si>
  <si>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</si>
  <si>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</si>
  <si>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</si>
  <si>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</si>
  <si>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</si>
  <si>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</si>
  <si>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</si>
  <si>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</si>
  <si>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</si>
  <si>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</si>
  <si>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</si>
  <si>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</si>
  <si>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</si>
  <si>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</si>
  <si>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</si>
  <si>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</si>
  <si>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</si>
  <si>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</si>
  <si>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</si>
  <si>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</si>
  <si>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</si>
  <si>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</si>
  <si>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</si>
  <si>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</si>
  <si>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</si>
  <si>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</si>
  <si>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</si>
  <si>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</si>
  <si>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</si>
  <si>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</si>
  <si>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</si>
  <si>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</si>
  <si>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</si>
  <si>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</si>
  <si>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</si>
  <si>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</si>
  <si>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</si>
  <si>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</si>
  <si>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</si>
  <si>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</si>
  <si>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</si>
  <si>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</si>
  <si>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</si>
  <si>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</si>
  <si>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</si>
  <si>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</si>
  <si>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</si>
  <si>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</si>
  <si>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</si>
  <si>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</si>
  <si>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</si>
  <si>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</si>
  <si>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</si>
  <si>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</si>
  <si>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</si>
  <si>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</si>
  <si>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</si>
  <si>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</si>
  <si>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</si>
  <si>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</si>
  <si>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</si>
  <si>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</si>
  <si>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</si>
  <si>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</si>
  <si>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</si>
  <si>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</si>
  <si>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</si>
  <si>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</si>
  <si>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</si>
  <si>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</si>
  <si>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</si>
  <si>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</si>
  <si>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</si>
  <si>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</si>
  <si>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</si>
  <si>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</si>
  <si>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</si>
  <si>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</si>
  <si>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</si>
  <si>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</si>
  <si>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</si>
  <si>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</si>
  <si>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</si>
  <si>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</si>
  <si>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</si>
  <si>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</si>
  <si>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</si>
  <si>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</si>
  <si>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</si>
  <si>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</si>
  <si>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</si>
  <si>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</si>
  <si>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</si>
  <si>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</si>
  <si>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</si>
  <si>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</si>
  <si>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</si>
  <si>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</si>
  <si>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</si>
  <si>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</si>
  <si>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</si>
  <si>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</si>
  <si>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</si>
  <si>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</si>
  <si>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</si>
  <si>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</si>
  <si>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</si>
  <si>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</si>
  <si>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</si>
  <si>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</si>
  <si>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</si>
  <si>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</si>
  <si>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</si>
  <si>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</si>
  <si>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</si>
  <si>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</si>
  <si>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</si>
  <si>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</si>
  <si>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</si>
  <si>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</si>
  <si>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</si>
  <si>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</si>
  <si>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</si>
  <si>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</si>
  <si>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</si>
  <si>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</si>
  <si>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</si>
  <si>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</si>
  <si>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</si>
  <si>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</si>
  <si>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</si>
  <si>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</si>
  <si>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</si>
  <si>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</si>
  <si>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</si>
  <si>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</si>
  <si>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</si>
  <si>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</si>
  <si>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</si>
  <si>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</si>
  <si>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</si>
  <si>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</si>
  <si>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</si>
  <si>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</si>
  <si>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</si>
  <si>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</si>
  <si>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</si>
  <si>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</si>
  <si>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</si>
  <si>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</si>
  <si>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</si>
  <si>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</si>
  <si>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</si>
  <si>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</si>
  <si>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</si>
  <si>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</si>
  <si>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</si>
  <si>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</si>
  <si>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</si>
  <si>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</si>
  <si>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</si>
  <si>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</si>
  <si>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</si>
  <si>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</si>
  <si>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</si>
  <si>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</si>
  <si>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</si>
  <si>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</si>
  <si>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</si>
  <si>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</si>
  <si>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</si>
  <si>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</si>
  <si>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</si>
  <si>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</si>
  <si>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</si>
  <si>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</si>
  <si>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</si>
  <si>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</si>
  <si>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</si>
  <si>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</si>
  <si>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</si>
  <si>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</si>
  <si>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</si>
  <si>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</si>
  <si>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</si>
  <si>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</si>
  <si>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</si>
  <si>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</si>
  <si>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</si>
  <si>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</si>
  <si>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</si>
  <si>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</si>
  <si>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</si>
  <si>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</si>
  <si>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</si>
  <si>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</si>
  <si>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</si>
  <si>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</si>
  <si>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</si>
  <si>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</si>
  <si>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</si>
  <si>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</si>
  <si>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</si>
  <si>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</si>
  <si>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</si>
  <si>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</si>
  <si>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</si>
  <si>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</si>
  <si>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</si>
  <si>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</si>
  <si>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</si>
  <si>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</si>
  <si>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</si>
  <si>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</si>
  <si>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</si>
  <si>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</si>
  <si>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</si>
  <si>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</si>
  <si>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</si>
  <si>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</si>
  <si>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</si>
  <si>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</si>
  <si>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</si>
  <si>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</si>
  <si>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</si>
  <si>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</si>
  <si>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</si>
  <si>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</si>
  <si>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</si>
  <si>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</si>
  <si>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</si>
  <si>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</si>
  <si>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</si>
  <si>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</si>
  <si>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</si>
  <si>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</si>
  <si>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</si>
  <si>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</si>
  <si>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</si>
  <si>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</si>
  <si>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</si>
  <si>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</si>
  <si>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</si>
  <si>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</si>
  <si>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</si>
  <si>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</si>
  <si>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</si>
  <si>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</si>
  <si>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</si>
  <si>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</si>
  <si>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</si>
  <si>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</si>
  <si>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</si>
  <si>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</si>
  <si>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</si>
  <si>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</si>
  <si>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</si>
  <si>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</si>
  <si>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</si>
  <si>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</si>
  <si>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</si>
  <si>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</si>
  <si>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</si>
  <si>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</si>
  <si>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</si>
  <si>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</si>
  <si>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</si>
  <si>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</si>
  <si>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</si>
  <si>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</si>
  <si>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</si>
  <si>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</si>
  <si>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</si>
  <si>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</si>
  <si>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</si>
  <si>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</si>
  <si>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</si>
  <si>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</si>
  <si>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</si>
  <si>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</si>
  <si>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</si>
  <si>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</si>
  <si>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</si>
  <si>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</si>
  <si>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</si>
  <si>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</si>
  <si>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</si>
  <si>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</si>
  <si>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</si>
  <si>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</si>
  <si>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</si>
  <si>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</si>
  <si>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</si>
  <si>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</si>
  <si>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</si>
  <si>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</si>
  <si>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</si>
  <si>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</si>
  <si>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</si>
  <si>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</si>
  <si>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</si>
  <si>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</si>
  <si>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</si>
  <si>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</si>
  <si>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</si>
  <si>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</si>
  <si>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</si>
  <si>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</si>
  <si>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</si>
  <si>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</si>
  <si>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</si>
  <si>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</si>
  <si>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</si>
  <si>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</si>
  <si>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</si>
  <si>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</si>
  <si>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</si>
  <si>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</si>
  <si>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</si>
  <si>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</si>
  <si>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</si>
  <si>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</si>
  <si>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</si>
  <si>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</si>
  <si>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</si>
  <si>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</si>
  <si>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</si>
  <si>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</si>
  <si>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</si>
  <si>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</si>
  <si>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</si>
  <si>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</si>
  <si>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</si>
  <si>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</si>
  <si>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</si>
  <si>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</si>
  <si>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</si>
  <si>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</si>
  <si>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</si>
  <si>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</si>
  <si>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</si>
  <si>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</si>
  <si>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</si>
  <si>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</si>
  <si>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</si>
  <si>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</si>
  <si>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</si>
  <si>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</si>
  <si>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</si>
  <si>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</si>
  <si>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</si>
  <si>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</si>
  <si>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</si>
  <si>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</si>
  <si>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</si>
  <si>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</si>
  <si>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</si>
  <si>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</si>
  <si>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</si>
  <si>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</si>
  <si>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</si>
  <si>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</si>
  <si>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</si>
  <si>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</si>
  <si>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</si>
  <si>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</si>
  <si>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</si>
  <si>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</si>
  <si>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</si>
  <si>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</si>
  <si>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</si>
  <si>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</si>
  <si>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</si>
  <si>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</si>
  <si>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</si>
  <si>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</si>
  <si>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</si>
  <si>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</si>
  <si>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</si>
  <si>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</si>
  <si>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</si>
  <si>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</si>
  <si>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</si>
  <si>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</si>
  <si>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</si>
  <si>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</si>
  <si>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</si>
  <si>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</si>
  <si>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</si>
  <si>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</si>
  <si>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</si>
  <si>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</si>
  <si>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</si>
  <si>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</si>
  <si>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</si>
  <si>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</si>
  <si>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</si>
  <si>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</si>
  <si>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</si>
  <si>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</si>
  <si>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</si>
  <si>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</si>
  <si>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</si>
  <si>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</si>
  <si>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</si>
  <si>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</si>
  <si>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</si>
  <si>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</si>
  <si>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</si>
  <si>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</si>
  <si>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</si>
  <si>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</si>
  <si>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</si>
  <si>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</si>
  <si>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</si>
  <si>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</si>
  <si>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</si>
  <si>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</si>
  <si>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</si>
  <si>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</si>
  <si>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</si>
  <si>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</si>
  <si>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</si>
  <si>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</si>
  <si>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</si>
  <si>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</si>
  <si>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</si>
  <si>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</si>
  <si>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</si>
  <si>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</si>
  <si>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</si>
  <si>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</si>
  <si>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</si>
  <si>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</si>
  <si>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</si>
  <si>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</si>
  <si>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</si>
  <si>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</si>
  <si>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</si>
  <si>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</si>
  <si>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</si>
  <si>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</si>
  <si>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</si>
  <si>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</si>
  <si>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</si>
  <si>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</si>
  <si>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</si>
  <si>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</si>
  <si>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</si>
  <si>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</si>
  <si>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</si>
  <si>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</si>
  <si>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</si>
  <si>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</si>
  <si>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</si>
  <si>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</si>
  <si>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</si>
  <si>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</si>
  <si>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</si>
  <si>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</si>
  <si>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</si>
  <si>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</si>
  <si>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</si>
  <si>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</si>
  <si>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</si>
  <si>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</si>
  <si>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</si>
  <si>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</si>
  <si>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</si>
  <si>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</si>
  <si>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</si>
  <si>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</si>
  <si>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</si>
  <si>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</si>
  <si>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</si>
  <si>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</si>
  <si>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</si>
  <si>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</si>
  <si>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</si>
  <si>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</si>
  <si>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</si>
  <si>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</si>
  <si>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</si>
  <si>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</si>
  <si>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</si>
  <si>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</si>
  <si>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</si>
  <si>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</si>
  <si>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</si>
  <si>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</si>
  <si>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</si>
  <si>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</si>
  <si>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</si>
  <si>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</si>
  <si>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</si>
  <si>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</si>
  <si>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</si>
  <si>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</si>
  <si>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</si>
  <si>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</si>
  <si>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</si>
  <si>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</si>
  <si>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</si>
  <si>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</si>
  <si>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</si>
  <si>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</si>
  <si>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</si>
  <si>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</si>
  <si>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</si>
  <si>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</si>
  <si>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</si>
  <si>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</si>
  <si>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</si>
  <si>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</si>
  <si>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</si>
  <si>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</si>
  <si>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</si>
  <si>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</si>
  <si>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</si>
  <si>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</si>
  <si>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</si>
  <si>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</si>
  <si>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</si>
  <si>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</si>
  <si>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</si>
  <si>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</si>
  <si>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</si>
  <si>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</si>
  <si>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</si>
  <si>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</si>
  <si>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</si>
  <si>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</si>
  <si>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</si>
  <si>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</si>
  <si>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</si>
  <si>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</si>
  <si>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</si>
  <si>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</si>
  <si>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</si>
  <si>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</si>
  <si>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</si>
  <si>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</si>
  <si>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</si>
  <si>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</si>
  <si>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</si>
  <si>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</si>
  <si>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</si>
  <si>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</si>
  <si>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</si>
  <si>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</si>
  <si>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</si>
  <si>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</si>
  <si>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</si>
  <si>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</si>
  <si>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</si>
  <si>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</si>
  <si>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</si>
  <si>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</si>
  <si>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</si>
  <si>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</si>
  <si>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</si>
  <si>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</si>
  <si>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</si>
  <si>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</si>
  <si>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</si>
  <si>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</si>
  <si>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</si>
  <si>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</si>
  <si>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</si>
  <si>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</si>
  <si>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</si>
  <si>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</si>
  <si>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</si>
  <si>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</si>
  <si>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</si>
  <si>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</si>
  <si>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</si>
  <si>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</si>
  <si>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</si>
  <si>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</si>
  <si>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</si>
  <si>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</si>
  <si>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</si>
  <si>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</si>
  <si>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</si>
  <si>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</si>
  <si>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</si>
  <si>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</si>
  <si>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</si>
  <si>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</si>
  <si>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</si>
  <si>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</si>
  <si>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</si>
  <si>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</si>
  <si>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</si>
  <si>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</si>
  <si>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</si>
  <si>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</si>
  <si>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</si>
  <si>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</si>
  <si>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</si>
  <si>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</si>
  <si>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</si>
  <si>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</si>
  <si>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</si>
  <si>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</si>
  <si>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</si>
  <si>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</si>
  <si>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</si>
  <si>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</si>
  <si>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</si>
  <si>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</si>
  <si>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</si>
  <si>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</si>
  <si>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</si>
  <si>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</si>
  <si>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</si>
  <si>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</si>
  <si>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</si>
  <si>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</si>
  <si>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</si>
  <si>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</si>
  <si>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</si>
  <si>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</si>
  <si>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</si>
  <si>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</si>
  <si>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</si>
  <si>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</si>
  <si>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</si>
  <si>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</si>
  <si>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</si>
  <si>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</si>
  <si>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</si>
  <si>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</si>
  <si>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</si>
  <si>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</si>
  <si>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</si>
  <si>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</si>
  <si>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</si>
  <si>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</si>
  <si>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</si>
  <si>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</si>
  <si>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</si>
  <si>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</si>
  <si>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</si>
  <si>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</si>
  <si>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</si>
  <si>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</si>
  <si>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</si>
  <si>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</si>
  <si>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</si>
  <si>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</si>
  <si>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</si>
  <si>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</si>
  <si>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</si>
  <si>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</si>
  <si>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</si>
  <si>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</si>
  <si>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</si>
  <si>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</si>
  <si>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</si>
  <si>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</si>
  <si>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</si>
  <si>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</si>
  <si>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</si>
  <si>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</si>
  <si>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</si>
  <si>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</si>
  <si>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</si>
  <si>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</si>
  <si>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</si>
  <si>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</si>
  <si>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</si>
  <si>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</si>
  <si>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</si>
  <si>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</si>
  <si>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</si>
  <si>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</si>
  <si>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</si>
  <si>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</si>
  <si>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</si>
  <si>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</si>
  <si>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</si>
  <si>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</si>
  <si>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</si>
  <si>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</si>
  <si>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</si>
  <si>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</si>
  <si>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</si>
  <si>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</si>
  <si>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</si>
  <si>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</si>
  <si>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</si>
  <si>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</si>
  <si>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</si>
  <si>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</si>
  <si>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</si>
  <si>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</si>
  <si>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</si>
  <si>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</si>
  <si>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</si>
  <si>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</si>
  <si>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</si>
  <si>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</si>
  <si>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</si>
  <si>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</si>
  <si>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</si>
  <si>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</si>
  <si>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</si>
  <si>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</si>
  <si>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</si>
  <si>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</si>
  <si>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</si>
  <si>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</si>
  <si>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</si>
  <si>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</si>
  <si>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</si>
  <si>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</si>
  <si>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</si>
  <si>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</si>
  <si>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</si>
  <si>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</si>
  <si>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</si>
  <si>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</si>
  <si>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</si>
  <si>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</si>
  <si>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</si>
  <si>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</si>
  <si>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</si>
  <si>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</si>
  <si>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</si>
  <si>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</si>
  <si>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</si>
  <si>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</si>
  <si>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</si>
  <si>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</si>
  <si>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</si>
  <si>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</si>
  <si>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</si>
  <si>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</si>
  <si>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</si>
  <si>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</si>
  <si>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</si>
  <si>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</si>
  <si>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</si>
  <si>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</si>
  <si>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</si>
  <si>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</si>
  <si>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</si>
  <si>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</si>
  <si>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</si>
  <si>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</si>
  <si>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</si>
  <si>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</si>
  <si>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</si>
  <si>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</si>
  <si>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</si>
  <si>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</si>
  <si>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</si>
  <si>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</si>
  <si>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</si>
  <si>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</si>
  <si>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</si>
  <si>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</si>
  <si>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</si>
  <si>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</si>
  <si>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</si>
  <si>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</si>
  <si>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</si>
  <si>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</si>
  <si>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</si>
  <si>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</si>
  <si>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</si>
  <si>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</si>
  <si>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</si>
  <si>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</si>
  <si>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</si>
  <si>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</si>
  <si>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</si>
  <si>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</si>
  <si>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</si>
  <si>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</si>
  <si>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</si>
  <si>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</si>
  <si>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</si>
  <si>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</si>
  <si>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</si>
  <si>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</si>
  <si>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</si>
  <si>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</si>
  <si>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</si>
  <si>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</si>
  <si>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</si>
  <si>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</si>
  <si>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</si>
  <si>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</si>
  <si>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</si>
  <si>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</si>
  <si>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</si>
  <si>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</si>
  <si>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</si>
  <si>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</si>
  <si>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</si>
  <si>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</si>
  <si>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</si>
  <si>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</si>
  <si>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</si>
  <si>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</si>
  <si>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</si>
  <si>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</si>
  <si>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</si>
  <si>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</si>
  <si>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</si>
  <si>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</si>
  <si>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</si>
  <si>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</si>
  <si>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</si>
  <si>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</si>
  <si>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</si>
  <si>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</si>
  <si>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</si>
  <si>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</si>
  <si>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</si>
  <si>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</si>
  <si>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</si>
  <si>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</si>
  <si>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</si>
  <si>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</si>
  <si>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</si>
  <si>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</si>
  <si>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</si>
  <si>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</si>
  <si>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</si>
  <si>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</si>
  <si>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</si>
  <si>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</si>
  <si>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</si>
  <si>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</si>
  <si>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</si>
  <si>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</si>
  <si>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</si>
  <si>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</si>
  <si>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</si>
  <si>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</si>
  <si>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</si>
  <si>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</si>
  <si>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</si>
  <si>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</si>
  <si>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</si>
  <si>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</si>
  <si>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</si>
  <si>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</si>
  <si>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</si>
  <si>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</si>
  <si>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</si>
  <si>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</si>
  <si>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</si>
  <si>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</si>
  <si>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</si>
  <si>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</si>
  <si>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</si>
  <si>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</si>
  <si>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</si>
  <si>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</si>
  <si>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</si>
  <si>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</si>
  <si>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</si>
  <si>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</si>
  <si>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</si>
  <si>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</si>
  <si>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</si>
  <si>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</si>
  <si>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</si>
  <si>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</si>
  <si>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</si>
  <si>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</si>
  <si>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</si>
  <si>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</si>
  <si>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</si>
  <si>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</si>
  <si>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</si>
  <si>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</si>
  <si>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</si>
  <si>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</si>
  <si>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</si>
  <si>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</si>
  <si>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</si>
  <si>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</si>
  <si>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</si>
  <si>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</si>
  <si>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</si>
  <si>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</si>
  <si>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</si>
  <si>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</si>
  <si>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</si>
  <si>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</si>
  <si>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</si>
  <si>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</si>
  <si>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</si>
  <si>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</si>
  <si>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</si>
  <si>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</si>
  <si>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</si>
  <si>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</si>
  <si>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</si>
  <si>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</si>
  <si>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</si>
  <si>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</si>
  <si>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</si>
  <si>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</si>
  <si>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</si>
  <si>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</si>
  <si>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</si>
  <si>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</si>
  <si>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</si>
  <si>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</si>
  <si>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</si>
  <si>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</si>
  <si>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</si>
  <si>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</si>
  <si>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</si>
  <si>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</si>
  <si>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</si>
  <si>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</si>
  <si>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</si>
  <si>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</si>
  <si>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</si>
  <si>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</si>
  <si>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</si>
  <si>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</si>
  <si>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</si>
  <si>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</si>
  <si>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</si>
  <si>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</si>
  <si>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</si>
  <si>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</si>
  <si>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</si>
  <si>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</si>
  <si>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</si>
  <si>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</si>
  <si>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</si>
  <si>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</si>
  <si>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</si>
  <si>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</si>
  <si>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</si>
  <si>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</si>
  <si>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</si>
  <si>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</si>
  <si>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</si>
  <si>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</si>
  <si>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</si>
  <si>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</si>
  <si>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</si>
  <si>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</si>
  <si>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</si>
  <si>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</si>
  <si>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</si>
  <si>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</si>
  <si>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</si>
  <si>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</si>
  <si>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</si>
  <si>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</si>
  <si>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</si>
  <si>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</si>
  <si>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</si>
  <si>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</si>
  <si>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</si>
  <si>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</si>
  <si>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</si>
  <si>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</si>
  <si>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</si>
  <si>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</si>
  <si>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</si>
  <si>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</si>
  <si>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</si>
  <si>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</si>
  <si>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</si>
  <si>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</si>
  <si>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</si>
  <si>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</si>
  <si>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</si>
  <si>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</si>
  <si>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</si>
  <si>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</si>
  <si>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</si>
  <si>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</si>
  <si>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</si>
  <si>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</si>
  <si>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</si>
  <si>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</si>
  <si>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</si>
  <si>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</si>
  <si>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</si>
  <si>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</si>
  <si>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</si>
  <si>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</si>
  <si>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</si>
  <si>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</si>
  <si>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</si>
  <si>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</si>
  <si>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</si>
  <si>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</si>
  <si>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</si>
  <si>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</si>
  <si>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</si>
  <si>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</si>
  <si>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</si>
  <si>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</si>
  <si>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</si>
  <si>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</si>
  <si>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</si>
  <si>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</si>
  <si>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</si>
  <si>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</si>
  <si>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</si>
  <si>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</si>
  <si>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</si>
  <si>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</si>
  <si>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</si>
  <si>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</si>
  <si>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</si>
  <si>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</si>
  <si>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</si>
  <si>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</si>
  <si>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</si>
  <si>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</si>
  <si>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</si>
  <si>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</si>
  <si>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</si>
  <si>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</si>
  <si>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</si>
  <si>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</si>
  <si>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</si>
  <si>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</si>
  <si>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</si>
  <si>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</si>
  <si>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</si>
  <si>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</si>
  <si>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</si>
  <si>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</si>
  <si>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</si>
  <si>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</si>
  <si>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</si>
  <si>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</si>
  <si>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</si>
  <si>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</si>
  <si>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</si>
  <si>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</si>
  <si>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</si>
  <si>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</si>
  <si>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</si>
  <si>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</si>
  <si>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</si>
  <si>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</si>
  <si>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</si>
  <si>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</si>
  <si>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</si>
  <si>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</si>
  <si>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</si>
  <si>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</si>
  <si>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</si>
  <si>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</si>
  <si>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</si>
  <si>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</si>
  <si>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</si>
  <si>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</si>
  <si>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</si>
  <si>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</si>
  <si>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</si>
  <si>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</si>
  <si>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</si>
  <si>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</si>
  <si>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</si>
  <si>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</si>
  <si>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</si>
  <si>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</si>
  <si>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</si>
  <si>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</si>
  <si>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</si>
  <si>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</si>
  <si>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</si>
  <si>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</si>
  <si>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</si>
  <si>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</si>
  <si>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</si>
  <si>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</si>
  <si>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</si>
  <si>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</si>
  <si>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</si>
  <si>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</si>
  <si>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</si>
  <si>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</si>
  <si>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</si>
  <si>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</si>
  <si>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</si>
  <si>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</si>
  <si>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</si>
  <si>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</si>
  <si>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</si>
  <si>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</si>
  <si>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</si>
  <si>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</si>
  <si>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</si>
  <si>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</si>
  <si>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</si>
  <si>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</si>
  <si>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</si>
  <si>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</si>
  <si>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</si>
  <si>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</si>
  <si>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</si>
  <si>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</si>
  <si>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</si>
  <si>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</si>
  <si>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</si>
  <si>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</si>
  <si>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</si>
  <si>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</si>
  <si>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</si>
  <si>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</si>
  <si>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</si>
  <si>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</si>
  <si>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</si>
  <si>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</si>
  <si>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</si>
  <si>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</si>
  <si>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</si>
  <si>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</si>
  <si>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</si>
  <si>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</si>
  <si>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</si>
  <si>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</si>
  <si>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</si>
  <si>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</si>
  <si>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</si>
  <si>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</si>
  <si>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</si>
  <si>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</si>
  <si>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</si>
  <si>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</si>
  <si>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</si>
  <si>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</si>
  <si>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</si>
  <si>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</si>
  <si>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</si>
  <si>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</si>
  <si>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</si>
  <si>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</si>
  <si>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</si>
  <si>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</si>
  <si>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</si>
  <si>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</si>
  <si>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</si>
  <si>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</si>
  <si>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</si>
  <si>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</si>
  <si>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</si>
  <si>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</si>
  <si>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</si>
  <si>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</si>
  <si>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</si>
  <si>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</si>
  <si>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</si>
  <si>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</si>
  <si>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</si>
  <si>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</si>
  <si>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</si>
  <si>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</si>
  <si>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</si>
  <si>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</si>
  <si>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</si>
  <si>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</si>
  <si>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</si>
  <si>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</si>
  <si>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</si>
  <si>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</si>
  <si>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</si>
  <si>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</si>
  <si>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</si>
  <si>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</si>
  <si>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</si>
  <si>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</si>
  <si>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</si>
  <si>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</si>
  <si>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</si>
  <si>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</si>
  <si>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</si>
  <si>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</si>
  <si>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</si>
  <si>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</si>
  <si>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</si>
  <si>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</si>
  <si>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</si>
  <si>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</si>
  <si>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</si>
  <si>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</si>
  <si>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</si>
  <si>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</si>
  <si>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</si>
  <si>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</si>
  <si>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</si>
  <si>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</si>
  <si>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</si>
  <si>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</si>
  <si>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</si>
  <si>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</si>
  <si>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</si>
  <si>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</si>
  <si>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</si>
  <si>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</si>
  <si>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</si>
  <si>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</si>
  <si>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</si>
  <si>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</si>
  <si>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</si>
  <si>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</si>
  <si>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</si>
  <si>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</si>
  <si>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</si>
  <si>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</si>
  <si>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</si>
  <si>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</si>
  <si>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</si>
  <si>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</si>
  <si>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</si>
  <si>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</si>
  <si>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</si>
  <si>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</si>
  <si>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</si>
  <si>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</si>
  <si>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</si>
  <si>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</si>
  <si>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</si>
  <si>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</si>
  <si>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</si>
  <si>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</si>
  <si>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</si>
  <si>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</si>
  <si>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</si>
  <si>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</si>
  <si>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</si>
  <si>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</si>
  <si>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</si>
  <si>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</si>
  <si>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</si>
  <si>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</si>
  <si>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</si>
  <si>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</si>
  <si>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</si>
  <si>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</si>
  <si>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</si>
  <si>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</si>
  <si>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</si>
  <si>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</si>
  <si>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</si>
  <si>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</si>
  <si>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</si>
  <si>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</si>
  <si>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</si>
  <si>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</si>
  <si>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</si>
  <si>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</si>
  <si>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</si>
  <si>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</si>
  <si>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</si>
  <si>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</si>
  <si>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</si>
  <si>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</si>
  <si>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</si>
  <si>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</si>
  <si>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</si>
  <si>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</si>
  <si>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</si>
  <si>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</si>
  <si>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</si>
  <si>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</si>
  <si>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</si>
  <si>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</si>
  <si>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</si>
  <si>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</si>
  <si>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</si>
  <si>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</si>
  <si>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</si>
  <si>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</si>
  <si>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</si>
  <si>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</si>
  <si>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</si>
  <si>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</si>
  <si>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</si>
  <si>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</si>
  <si>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</si>
  <si>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</si>
  <si>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</si>
  <si>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</si>
  <si>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</si>
  <si>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</si>
  <si>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</si>
  <si>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</si>
  <si>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</si>
  <si>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</si>
  <si>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</si>
  <si>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</si>
  <si>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</si>
  <si>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</si>
  <si>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</si>
  <si>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</si>
  <si>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</si>
  <si>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</si>
  <si>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</si>
  <si>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</si>
  <si>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</si>
  <si>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</si>
  <si>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</si>
  <si>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</si>
  <si>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</si>
  <si>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</si>
  <si>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</si>
  <si>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</si>
  <si>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</si>
  <si>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</si>
  <si>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</si>
  <si>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</si>
  <si>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</si>
  <si>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</si>
  <si>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</si>
  <si>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</si>
  <si>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</si>
  <si>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</si>
  <si>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</si>
  <si>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</si>
  <si>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</si>
  <si>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</si>
  <si>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</si>
  <si>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</si>
  <si>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</si>
  <si>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</si>
  <si>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</si>
  <si>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</si>
  <si>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</si>
  <si>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</si>
  <si>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</si>
  <si>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</si>
  <si>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</si>
  <si>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</si>
  <si>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</si>
  <si>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</si>
  <si>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</si>
  <si>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</si>
  <si>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</si>
  <si>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</si>
  <si>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</si>
  <si>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</si>
  <si>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</si>
  <si>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</si>
  <si>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</si>
  <si>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</si>
  <si>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</si>
  <si>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</si>
  <si>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</si>
  <si>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</si>
  <si>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</si>
  <si>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</si>
  <si>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</si>
  <si>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</si>
  <si>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</si>
  <si>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</si>
  <si>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</si>
  <si>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</si>
  <si>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</si>
  <si>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</si>
  <si>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</si>
  <si>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</si>
  <si>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</si>
  <si>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</si>
  <si>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</si>
  <si>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</si>
  <si>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</si>
  <si>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</si>
  <si>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</si>
  <si>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</si>
  <si>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</si>
  <si>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</si>
  <si>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</si>
  <si>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</si>
  <si>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</si>
  <si>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</si>
  <si>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</si>
  <si>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</si>
  <si>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</si>
  <si>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</si>
  <si>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</si>
  <si>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</si>
  <si>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</si>
  <si>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</si>
  <si>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</si>
  <si>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</si>
  <si>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</si>
  <si>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</si>
  <si>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</si>
  <si>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</si>
  <si>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</si>
  <si>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</si>
  <si>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</si>
  <si>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</si>
  <si>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</si>
  <si>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</si>
  <si>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</si>
  <si>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</si>
  <si>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</si>
  <si>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</si>
  <si>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</si>
  <si>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</si>
  <si>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</si>
  <si>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</si>
  <si>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</si>
  <si>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</si>
  <si>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</si>
  <si>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</si>
  <si>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</si>
  <si>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</si>
  <si>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</si>
  <si>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</si>
  <si>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</si>
  <si>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</si>
  <si>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</si>
  <si>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</si>
  <si>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</si>
  <si>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</si>
  <si>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</si>
  <si>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</si>
  <si>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</si>
  <si>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</si>
  <si>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</si>
  <si>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</si>
  <si>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</si>
  <si>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</si>
  <si>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</si>
  <si>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</si>
  <si>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</si>
  <si>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</si>
  <si>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</si>
  <si>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</si>
  <si>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</si>
  <si>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</si>
  <si>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</si>
  <si>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</si>
  <si>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</si>
  <si>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</si>
  <si>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</si>
  <si>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</si>
  <si>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</si>
  <si>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</si>
  <si>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</si>
  <si>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</si>
  <si>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</si>
  <si>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</si>
  <si>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</si>
  <si>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</si>
  <si>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</si>
  <si>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</si>
  <si>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</si>
  <si>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</si>
  <si>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</si>
  <si>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</si>
  <si>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</si>
  <si>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</si>
  <si>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</si>
  <si>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</si>
  <si>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</si>
  <si>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</si>
  <si>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</si>
  <si>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</si>
  <si>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</si>
  <si>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</si>
  <si>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</si>
  <si>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</si>
  <si>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</si>
  <si>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</si>
  <si>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</si>
  <si>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</si>
  <si>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</si>
  <si>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</si>
  <si>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</si>
  <si>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</si>
  <si>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</si>
  <si>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</si>
  <si>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</si>
  <si>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</si>
  <si>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</si>
  <si>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</si>
  <si>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</si>
  <si>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</si>
  <si>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</si>
  <si>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</si>
  <si>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</si>
  <si>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</si>
  <si>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</si>
  <si>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</si>
  <si>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</si>
  <si>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</si>
  <si>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</si>
  <si>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</si>
  <si>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</si>
  <si>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</si>
  <si>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</si>
  <si>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</si>
  <si>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</si>
  <si>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</si>
  <si>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</si>
  <si>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</si>
  <si>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</si>
  <si>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</si>
  <si>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</si>
  <si>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</si>
  <si>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</si>
  <si>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</si>
  <si>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</si>
  <si>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</si>
  <si>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</si>
  <si>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</si>
  <si>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</si>
  <si>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</si>
  <si>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</si>
  <si>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</si>
  <si>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</si>
  <si>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</si>
  <si>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</si>
  <si>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</si>
  <si>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</si>
  <si>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</si>
  <si>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</si>
  <si>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</si>
  <si>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</si>
  <si>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</si>
  <si>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</si>
  <si>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</si>
  <si>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</si>
  <si>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</si>
  <si>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</si>
  <si>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</si>
  <si>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</si>
  <si>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</si>
  <si>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</si>
  <si>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</si>
  <si>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</si>
  <si>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</si>
  <si>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</si>
  <si>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</si>
  <si>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</si>
  <si>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</si>
  <si>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</si>
  <si>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</si>
  <si>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</si>
  <si>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</si>
  <si>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</si>
  <si>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</si>
  <si>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</si>
  <si>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</si>
  <si>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</si>
  <si>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</si>
  <si>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</si>
  <si>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</si>
  <si>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</si>
  <si>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</si>
  <si>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</si>
  <si>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</si>
  <si>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</si>
  <si>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</si>
  <si>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</si>
  <si>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</si>
  <si>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</si>
  <si>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</si>
  <si>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</si>
  <si>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</si>
  <si>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</si>
  <si>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</si>
  <si>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</si>
  <si>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</si>
  <si>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</si>
  <si>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</si>
  <si>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</si>
  <si>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</si>
  <si>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</si>
  <si>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</si>
  <si>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</si>
  <si>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</si>
  <si>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</si>
  <si>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</si>
  <si>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</si>
  <si>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</si>
  <si>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</si>
  <si>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</si>
  <si>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</si>
  <si>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</si>
  <si>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</si>
  <si>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</si>
  <si>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</si>
  <si>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</si>
  <si>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</si>
  <si>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</si>
  <si>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</si>
  <si>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</si>
  <si>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</si>
  <si>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</si>
  <si>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</si>
  <si>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</si>
  <si>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</si>
  <si>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</si>
  <si>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</si>
  <si>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</si>
  <si>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</si>
  <si>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</si>
  <si>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</si>
  <si>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</si>
  <si>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</si>
  <si>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</si>
  <si>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</si>
  <si>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</si>
  <si>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</si>
  <si>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</si>
  <si>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</si>
  <si>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</si>
  <si>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</si>
  <si>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</si>
  <si>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</si>
  <si>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</si>
  <si>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</si>
  <si>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</si>
  <si>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</si>
  <si>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</si>
  <si>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</si>
  <si>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</si>
  <si>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</si>
  <si>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</si>
  <si>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</si>
  <si>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</si>
  <si>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</si>
  <si>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</si>
  <si>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</si>
  <si>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</si>
  <si>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</si>
  <si>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</si>
  <si>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</si>
  <si>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</si>
  <si>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</si>
  <si>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</si>
  <si>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</si>
  <si>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</si>
  <si>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</si>
  <si>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</si>
  <si>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</si>
  <si>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</si>
  <si>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</si>
  <si>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</si>
  <si>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</si>
  <si>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</si>
  <si>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</si>
  <si>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</si>
  <si>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</si>
  <si>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</si>
  <si>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</si>
  <si>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</si>
  <si>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</si>
  <si>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</si>
  <si>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</si>
  <si>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</si>
  <si>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</si>
  <si>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</si>
  <si>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</si>
  <si>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</si>
  <si>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</si>
  <si>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</si>
  <si>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</si>
  <si>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</si>
  <si>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</si>
  <si>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</si>
  <si>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</si>
  <si>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</si>
  <si>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</si>
  <si>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</si>
  <si>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</si>
  <si>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</si>
  <si>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</si>
  <si>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</si>
  <si>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</si>
  <si>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</si>
  <si>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</si>
  <si>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</si>
  <si>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</si>
  <si>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</si>
  <si>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</si>
  <si>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</si>
  <si>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</si>
  <si>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</si>
  <si>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</si>
  <si>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</si>
  <si>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</si>
  <si>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</si>
  <si>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</si>
  <si>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</si>
  <si>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</si>
  <si>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</si>
  <si>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</si>
  <si>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</si>
  <si>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</si>
  <si>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</si>
  <si>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</si>
  <si>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</si>
  <si>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</si>
  <si>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</si>
  <si>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</si>
  <si>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</si>
  <si>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</si>
  <si>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</si>
  <si>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</si>
  <si>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</si>
  <si>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</si>
  <si>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</si>
  <si>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</si>
  <si>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</si>
  <si>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</si>
  <si>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</si>
  <si>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</si>
  <si>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</si>
  <si>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</si>
  <si>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</si>
  <si>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</si>
  <si>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</si>
  <si>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</si>
  <si>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</si>
  <si>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</si>
  <si>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</si>
  <si>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</si>
  <si>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</si>
  <si>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</si>
  <si>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</si>
  <si>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</si>
  <si>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</si>
  <si>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</si>
  <si>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</si>
  <si>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</si>
  <si>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</si>
  <si>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</si>
  <si>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</si>
  <si>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</si>
  <si>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</si>
  <si>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</si>
  <si>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</si>
  <si>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</si>
  <si>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</si>
  <si>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</si>
  <si>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</si>
  <si>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</si>
  <si>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</si>
  <si>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</si>
  <si>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</si>
  <si>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</si>
  <si>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</si>
  <si>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</si>
  <si>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</si>
  <si>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</si>
  <si>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</si>
  <si>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</si>
  <si>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</si>
  <si>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</si>
  <si>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</si>
  <si>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</si>
  <si>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</si>
  <si>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</si>
  <si>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</si>
  <si>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</si>
  <si>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</si>
  <si>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</si>
  <si>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</si>
  <si>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</si>
  <si>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</si>
  <si>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</si>
  <si>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</si>
  <si>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</si>
  <si>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</si>
  <si>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</si>
  <si>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</si>
  <si>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</si>
  <si>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</si>
  <si>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</si>
  <si>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</si>
  <si>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</si>
  <si>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</si>
  <si>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</si>
  <si>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</si>
  <si>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</si>
  <si>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</si>
  <si>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</si>
  <si>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</si>
  <si>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</si>
  <si>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</si>
  <si>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</si>
  <si>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</si>
  <si>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</si>
  <si>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</si>
  <si>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</si>
  <si>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</si>
  <si>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</si>
  <si>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</si>
  <si>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</si>
  <si>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</si>
  <si>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</si>
  <si>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</si>
  <si>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</si>
  <si>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</si>
  <si>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</si>
  <si>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</si>
  <si>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</si>
  <si>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</si>
  <si>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</si>
  <si>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</si>
  <si>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</si>
  <si>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</si>
  <si>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</si>
  <si>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</si>
  <si>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</si>
  <si>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</si>
  <si>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</si>
  <si>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</si>
  <si>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</si>
  <si>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</si>
  <si>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</si>
  <si>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</si>
  <si>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</si>
  <si>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</si>
  <si>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</si>
  <si>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</si>
  <si>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</si>
  <si>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</si>
  <si>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</si>
  <si>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</si>
  <si>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</si>
  <si>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</si>
  <si>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</si>
  <si>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</si>
  <si>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</si>
  <si>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</si>
  <si>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</si>
  <si>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</si>
  <si>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</si>
  <si>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</si>
  <si>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citiRBFT P+I</t>
  </si>
  <si>
    <t>BocTD</t>
  </si>
  <si>
    <t>Bugis buffet</t>
  </si>
  <si>
    <t>Starhub#EOM!</t>
  </si>
  <si>
    <t>EOD 15 May 2023</t>
  </si>
  <si>
    <t>EOD xxx Jun 2023</t>
  </si>
  <si>
    <t>Spee cool`mat</t>
  </si>
  <si>
    <t>Spee chia</t>
  </si>
  <si>
    <t>Spee ring/lub/condom/pillBox</t>
  </si>
  <si>
    <t>Spee pump</t>
  </si>
  <si>
    <t>Spee misc</t>
  </si>
  <si>
    <t>SGH 17May</t>
  </si>
  <si>
    <t>FPP</t>
  </si>
  <si>
    <t>131.6 not yet</t>
  </si>
  <si>
    <t>totalAsset-realMtg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</si>
  <si>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</si>
  <si>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</si>
  <si>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TA-realMtg #trend</t>
  </si>
  <si>
    <t>EGA bonus Dec</t>
  </si>
  <si>
    <t>daily int</t>
  </si>
  <si>
    <t>EGA bonus Mar</t>
  </si>
  <si>
    <t>bal</t>
  </si>
  <si>
    <t>Jan bonus ===</t>
  </si>
  <si>
    <t>Mar bonus ===</t>
  </si>
  <si>
    <t>Feb bonus ===</t>
  </si>
  <si>
    <t>bx placeholder</t>
  </si>
  <si>
    <t>kids placeholder</t>
  </si>
  <si>
    <t>foods</t>
  </si>
  <si>
    <t>suspended us`SSP</t>
  </si>
  <si>
    <t>EGA bonusFeb#24May</t>
  </si>
  <si>
    <t>EGA bonusJan#23May</t>
  </si>
  <si>
    <t>boy camp`</t>
  </si>
  <si>
    <t>EGA base int#24May</t>
  </si>
  <si>
    <t>shopee&gt;108</t>
  </si>
  <si>
    <t>dental 26May</t>
  </si>
  <si>
    <t>boy NRIC</t>
  </si>
  <si>
    <t>MRT#MB16May</t>
  </si>
  <si>
    <t>NikeIMM20+25May</t>
  </si>
  <si>
    <t>anyW#27May</t>
  </si>
  <si>
    <t>2k int accrued up to 2022</t>
  </si>
  <si>
    <t>xfer2wife #int up to 2022</t>
  </si>
  <si>
    <t>Y02</t>
  </si>
  <si>
    <t>ATM till 28 May }</t>
  </si>
  <si>
    <t>HsbcWelcome</t>
  </si>
  <si>
    <t>Andes@IMM#20May</t>
  </si>
  <si>
    <t>Poems dry powder</t>
  </si>
  <si>
    <t>VED 18May</t>
  </si>
  <si>
    <t>MB&lt;108</t>
  </si>
  <si>
    <t>AMK meal</t>
  </si>
  <si>
    <t>200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</si>
</sst>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8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6" fontId="0" fillId="0" borderId="0" xfId="0" applyNumberFormat="1" applyFont="1" applyFill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center"/>
    </xf>
    <xf numFmtId="4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88" fillId="0" borderId="0" xfId="0" applyNumberFormat="1" applyFont="1" applyFill="1" applyAlignment="1">
      <alignment horizontal="right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G29" sqref="G29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870" t="s">
        <v>1875</v>
      </c>
      <c r="C2" s="870"/>
      <c r="D2" s="870"/>
      <c r="E2" s="850" t="s">
        <v>2500</v>
      </c>
      <c r="F2" s="850" t="s">
        <v>2522</v>
      </c>
      <c r="G2" s="693"/>
      <c r="H2" s="861"/>
      <c r="I2" s="849" t="s">
        <v>2629</v>
      </c>
      <c r="J2" s="849"/>
      <c r="K2" s="852" t="s">
        <v>2626</v>
      </c>
      <c r="L2" s="852" t="s">
        <v>2546</v>
      </c>
      <c r="M2" s="850" t="s">
        <v>2505</v>
      </c>
      <c r="N2" s="855" t="s">
        <v>2512</v>
      </c>
    </row>
    <row r="3" spans="2:16" s="700" customFormat="1" x14ac:dyDescent="0.2">
      <c r="B3" s="694" t="s">
        <v>1874</v>
      </c>
      <c r="C3" s="695" t="s">
        <v>1873</v>
      </c>
      <c r="D3" s="696" t="s">
        <v>2415</v>
      </c>
      <c r="E3" s="851"/>
      <c r="F3" s="851"/>
      <c r="G3" s="697"/>
      <c r="H3" s="862"/>
      <c r="I3" s="698" t="s">
        <v>2589</v>
      </c>
      <c r="J3" s="699" t="s">
        <v>2212</v>
      </c>
      <c r="K3" s="853"/>
      <c r="L3" s="853"/>
      <c r="M3" s="851"/>
      <c r="N3" s="855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2552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2524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6"/>
      <c r="E6" s="687">
        <v>155</v>
      </c>
      <c r="G6" s="688">
        <v>44985</v>
      </c>
      <c r="H6" s="654" t="s">
        <v>2554</v>
      </c>
      <c r="P6" s="654"/>
    </row>
    <row r="7" spans="2:16" s="624" customFormat="1" x14ac:dyDescent="0.2">
      <c r="B7" s="686"/>
      <c r="G7" s="688">
        <v>44987</v>
      </c>
      <c r="H7" s="689" t="s">
        <v>2700</v>
      </c>
      <c r="P7" s="654"/>
    </row>
    <row r="8" spans="2:16" s="733" customFormat="1" x14ac:dyDescent="0.2">
      <c r="B8" s="732"/>
      <c r="G8" s="734">
        <v>45013</v>
      </c>
      <c r="H8" s="735"/>
      <c r="I8" s="735"/>
      <c r="J8" s="735"/>
      <c r="K8" s="735"/>
      <c r="L8" s="735"/>
      <c r="M8" s="735"/>
      <c r="O8" s="735" t="s">
        <v>2733</v>
      </c>
      <c r="P8" s="735"/>
    </row>
    <row r="9" spans="2:16" s="624" customFormat="1" x14ac:dyDescent="0.2">
      <c r="B9" s="690"/>
      <c r="E9" s="624" t="s">
        <v>2521</v>
      </c>
      <c r="F9" s="624" t="s">
        <v>2592</v>
      </c>
      <c r="G9" s="653">
        <v>45016</v>
      </c>
      <c r="H9" s="654"/>
      <c r="I9" s="691">
        <v>220</v>
      </c>
      <c r="J9" s="624">
        <v>75</v>
      </c>
      <c r="K9" s="654">
        <v>0</v>
      </c>
      <c r="L9" s="654"/>
      <c r="M9" s="624">
        <v>258</v>
      </c>
      <c r="N9" s="654" t="s">
        <v>2687</v>
      </c>
    </row>
    <row r="10" spans="2:16" x14ac:dyDescent="0.2">
      <c r="B10" s="567"/>
      <c r="C10" s="865" t="s">
        <v>2503</v>
      </c>
      <c r="D10" s="865"/>
      <c r="E10" s="865"/>
      <c r="F10" s="865"/>
      <c r="G10" s="865"/>
      <c r="H10" s="865"/>
      <c r="I10" s="865"/>
      <c r="J10" s="865"/>
      <c r="K10" s="865"/>
      <c r="L10" s="865"/>
      <c r="M10" s="865"/>
      <c r="N10" s="865"/>
      <c r="O10" s="865"/>
      <c r="P10" s="865"/>
    </row>
    <row r="11" spans="2:16" ht="12.75" customHeight="1" x14ac:dyDescent="0.2">
      <c r="B11" s="566"/>
      <c r="C11" s="558" t="s">
        <v>2518</v>
      </c>
      <c r="D11" s="556"/>
      <c r="E11" s="856" t="s">
        <v>2500</v>
      </c>
      <c r="F11" s="856" t="s">
        <v>2522</v>
      </c>
      <c r="G11" s="560"/>
      <c r="H11" s="859" t="s">
        <v>2511</v>
      </c>
      <c r="I11" s="863" t="s">
        <v>2750</v>
      </c>
      <c r="J11" s="866" t="s">
        <v>2627</v>
      </c>
      <c r="K11" s="866"/>
      <c r="L11" s="867"/>
      <c r="M11" s="856" t="s">
        <v>2751</v>
      </c>
      <c r="N11" s="858" t="s">
        <v>2512</v>
      </c>
    </row>
    <row r="12" spans="2:16" x14ac:dyDescent="0.2">
      <c r="B12" s="566"/>
      <c r="C12" s="550" t="s">
        <v>1873</v>
      </c>
      <c r="D12" s="551" t="s">
        <v>2415</v>
      </c>
      <c r="E12" s="857"/>
      <c r="F12" s="857"/>
      <c r="G12" s="562"/>
      <c r="H12" s="860"/>
      <c r="I12" s="864"/>
      <c r="J12" s="701" t="s">
        <v>2520</v>
      </c>
      <c r="K12" s="563" t="s">
        <v>1874</v>
      </c>
      <c r="L12" s="868"/>
      <c r="M12" s="857"/>
      <c r="N12" s="858"/>
    </row>
    <row r="13" spans="2:16" s="624" customFormat="1" x14ac:dyDescent="0.2">
      <c r="B13" s="869">
        <v>8</v>
      </c>
      <c r="C13" s="869"/>
      <c r="G13" s="692">
        <v>45017</v>
      </c>
      <c r="H13" s="654">
        <v>0</v>
      </c>
      <c r="J13" s="702"/>
      <c r="O13" s="624" t="s">
        <v>2519</v>
      </c>
    </row>
    <row r="14" spans="2:16" s="624" customFormat="1" x14ac:dyDescent="0.2">
      <c r="B14" s="690"/>
      <c r="C14" s="624" t="s">
        <v>2501</v>
      </c>
      <c r="E14" s="689" t="s">
        <v>2630</v>
      </c>
      <c r="F14" s="689" t="s">
        <v>2618</v>
      </c>
      <c r="G14" s="653">
        <v>45020</v>
      </c>
      <c r="H14" s="654"/>
      <c r="I14" s="624">
        <v>110</v>
      </c>
      <c r="J14" s="726">
        <f>I9-I14-L14</f>
        <v>110</v>
      </c>
      <c r="K14" s="624">
        <v>75</v>
      </c>
      <c r="M14" s="624">
        <f>M9-B13</f>
        <v>250</v>
      </c>
      <c r="N14" s="654" t="s">
        <v>2687</v>
      </c>
    </row>
    <row r="15" spans="2:16" s="624" customFormat="1" x14ac:dyDescent="0.2">
      <c r="B15" s="690"/>
      <c r="E15" s="689"/>
      <c r="F15" s="689"/>
      <c r="G15" s="653">
        <v>45034</v>
      </c>
      <c r="H15" s="654" t="s">
        <v>2761</v>
      </c>
      <c r="N15" s="654"/>
    </row>
    <row r="16" spans="2:16" s="733" customFormat="1" x14ac:dyDescent="0.2">
      <c r="B16" s="745"/>
      <c r="C16" s="733">
        <v>3</v>
      </c>
      <c r="E16" s="735" t="s">
        <v>2676</v>
      </c>
      <c r="F16" s="735" t="s">
        <v>2592</v>
      </c>
      <c r="G16" s="746">
        <v>45044</v>
      </c>
      <c r="H16" s="735">
        <v>0</v>
      </c>
      <c r="I16" s="733">
        <v>7</v>
      </c>
      <c r="J16" s="733">
        <v>120</v>
      </c>
      <c r="K16" s="733">
        <f>J5</f>
        <v>75</v>
      </c>
      <c r="M16" s="733">
        <v>138</v>
      </c>
      <c r="N16" s="733" t="s">
        <v>2513</v>
      </c>
      <c r="O16" s="733" t="s">
        <v>2782</v>
      </c>
    </row>
    <row r="17" spans="2:18" x14ac:dyDescent="0.2">
      <c r="B17" s="566"/>
      <c r="E17" s="625"/>
      <c r="F17" s="625"/>
      <c r="H17" s="555"/>
      <c r="N17" s="555"/>
      <c r="O17" s="554" t="s">
        <v>2732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2794</v>
      </c>
    </row>
    <row r="19" spans="2:18" x14ac:dyDescent="0.2">
      <c r="B19" s="567"/>
      <c r="C19" s="865" t="s">
        <v>2504</v>
      </c>
      <c r="D19" s="865"/>
      <c r="E19" s="865"/>
      <c r="F19" s="865"/>
      <c r="G19" s="865"/>
      <c r="H19" s="865"/>
      <c r="I19" s="865"/>
      <c r="J19" s="865"/>
      <c r="K19" s="865"/>
      <c r="L19" s="865"/>
      <c r="M19" s="865"/>
      <c r="N19" s="865"/>
      <c r="O19" s="865"/>
      <c r="P19" s="865"/>
    </row>
    <row r="20" spans="2:18" x14ac:dyDescent="0.2">
      <c r="B20" s="566"/>
      <c r="E20" s="552"/>
      <c r="F20" s="552"/>
      <c r="G20" s="854">
        <v>45076</v>
      </c>
      <c r="H20" s="555" t="s">
        <v>2673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54"/>
      <c r="K21" s="555"/>
      <c r="L21" s="555"/>
      <c r="O21" s="548" t="s">
        <v>2539</v>
      </c>
      <c r="R21" s="553"/>
    </row>
    <row r="22" spans="2:18" ht="12.75" customHeight="1" x14ac:dyDescent="0.2">
      <c r="B22" s="566"/>
      <c r="E22" s="552"/>
      <c r="F22" s="552"/>
      <c r="G22" s="854"/>
      <c r="H22" s="555"/>
      <c r="K22" s="555"/>
      <c r="L22" s="555"/>
      <c r="O22" s="548" t="s">
        <v>2752</v>
      </c>
      <c r="R22" s="553"/>
    </row>
    <row r="23" spans="2:18" x14ac:dyDescent="0.2">
      <c r="B23" s="566"/>
      <c r="C23" s="548">
        <v>0</v>
      </c>
      <c r="E23" s="557" t="s">
        <v>2523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2720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45106</v>
      </c>
      <c r="H26" s="555"/>
      <c r="K26" s="555"/>
      <c r="L26" s="555"/>
      <c r="O26" s="548" t="s">
        <v>2510</v>
      </c>
    </row>
    <row r="27" spans="2:18" x14ac:dyDescent="0.2">
      <c r="B27" s="566"/>
      <c r="H27" s="555"/>
      <c r="K27" s="555"/>
      <c r="L27" s="555"/>
    </row>
    <row r="28" spans="2:18" x14ac:dyDescent="0.2">
      <c r="B28" s="566"/>
      <c r="E28" s="588" t="s">
        <v>2844</v>
      </c>
      <c r="F28" s="588" t="s">
        <v>2508</v>
      </c>
      <c r="G28" s="561">
        <v>45111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9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82" t="s">
        <v>2799</v>
      </c>
      <c r="C2" s="782"/>
      <c r="D2" s="783" t="s">
        <v>2808</v>
      </c>
    </row>
    <row r="3" spans="2:6" x14ac:dyDescent="0.2">
      <c r="B3" s="357"/>
    </row>
    <row r="4" spans="2:6" x14ac:dyDescent="0.2">
      <c r="B4" s="582">
        <v>100000</v>
      </c>
      <c r="C4" s="740">
        <v>45017</v>
      </c>
      <c r="D4" s="786">
        <v>112230.08</v>
      </c>
      <c r="E4" s="741">
        <v>4.0000000000000001E-3</v>
      </c>
      <c r="F4" s="741"/>
    </row>
    <row r="5" spans="2:6" x14ac:dyDescent="0.2">
      <c r="B5" s="582">
        <v>100000</v>
      </c>
      <c r="C5" s="740">
        <v>45018</v>
      </c>
      <c r="D5" s="786">
        <v>112230.08</v>
      </c>
      <c r="E5" s="741">
        <v>4.0000000000000001E-3</v>
      </c>
      <c r="F5" s="741"/>
    </row>
    <row r="6" spans="2:6" x14ac:dyDescent="0.2">
      <c r="B6" s="582">
        <v>100000</v>
      </c>
      <c r="C6" s="740">
        <v>45019</v>
      </c>
      <c r="D6" s="742">
        <v>110275.28</v>
      </c>
      <c r="E6" s="741">
        <v>4.0000000000000001E-3</v>
      </c>
      <c r="F6" s="741"/>
    </row>
    <row r="7" spans="2:6" x14ac:dyDescent="0.2">
      <c r="B7" s="582">
        <v>100000</v>
      </c>
      <c r="C7" s="740">
        <v>45020</v>
      </c>
      <c r="D7" s="742">
        <v>110275.29</v>
      </c>
      <c r="E7" s="741">
        <v>4.0000000000000001E-3</v>
      </c>
      <c r="F7" s="741"/>
    </row>
    <row r="8" spans="2:6" x14ac:dyDescent="0.2">
      <c r="B8" s="582">
        <v>100000</v>
      </c>
      <c r="C8" s="740">
        <v>45021</v>
      </c>
      <c r="D8" s="742">
        <v>110275.3</v>
      </c>
      <c r="E8" s="741">
        <v>4.0000000000000001E-3</v>
      </c>
      <c r="F8" s="741"/>
    </row>
    <row r="9" spans="2:6" x14ac:dyDescent="0.2">
      <c r="B9" s="582">
        <v>100000</v>
      </c>
      <c r="C9" s="740">
        <v>45022</v>
      </c>
      <c r="D9" s="742">
        <v>110275.31</v>
      </c>
      <c r="E9" s="741">
        <v>4.0000000000000001E-3</v>
      </c>
      <c r="F9" s="741"/>
    </row>
    <row r="10" spans="2:6" x14ac:dyDescent="0.2">
      <c r="B10" s="582">
        <v>100000</v>
      </c>
      <c r="C10" s="740">
        <v>45023</v>
      </c>
      <c r="D10" s="742">
        <v>110275.32</v>
      </c>
      <c r="E10" s="741">
        <v>4.0000000000000001E-3</v>
      </c>
      <c r="F10" s="741"/>
    </row>
    <row r="11" spans="2:6" x14ac:dyDescent="0.2">
      <c r="B11" s="582">
        <v>100000</v>
      </c>
      <c r="C11" s="740">
        <v>45024</v>
      </c>
      <c r="D11" s="742">
        <v>110275.33</v>
      </c>
      <c r="E11" s="741">
        <v>4.0000000000000001E-3</v>
      </c>
      <c r="F11" s="741"/>
    </row>
    <row r="12" spans="2:6" x14ac:dyDescent="0.2">
      <c r="B12" s="582">
        <v>100000</v>
      </c>
      <c r="C12" s="740">
        <v>45025</v>
      </c>
      <c r="D12" s="742">
        <v>110275.34</v>
      </c>
      <c r="E12" s="741">
        <v>4.0000000000000001E-3</v>
      </c>
      <c r="F12" s="741"/>
    </row>
    <row r="13" spans="2:6" x14ac:dyDescent="0.2">
      <c r="B13" s="582">
        <v>100000</v>
      </c>
      <c r="C13" s="740">
        <v>45026</v>
      </c>
      <c r="D13" s="742">
        <v>110000</v>
      </c>
      <c r="E13" s="741">
        <v>4.0000000000000001E-3</v>
      </c>
      <c r="F13" s="741"/>
    </row>
    <row r="14" spans="2:6" x14ac:dyDescent="0.2">
      <c r="B14" s="582">
        <v>100000</v>
      </c>
      <c r="C14" s="740">
        <v>45027</v>
      </c>
      <c r="D14" s="785">
        <v>100000</v>
      </c>
      <c r="E14" s="741">
        <v>4.0000000000000001E-3</v>
      </c>
      <c r="F14" s="741"/>
    </row>
    <row r="15" spans="2:6" x14ac:dyDescent="0.2">
      <c r="B15" s="582">
        <v>100000</v>
      </c>
      <c r="C15" s="740">
        <v>45028</v>
      </c>
      <c r="D15" s="785">
        <v>100000</v>
      </c>
      <c r="E15" s="741">
        <v>4.0000000000000001E-3</v>
      </c>
      <c r="F15" s="741"/>
    </row>
    <row r="16" spans="2:6" x14ac:dyDescent="0.2">
      <c r="B16" s="582">
        <v>100000</v>
      </c>
      <c r="C16" s="740">
        <v>45029</v>
      </c>
      <c r="D16" s="785">
        <v>100000</v>
      </c>
      <c r="E16" s="741">
        <v>4.0000000000000001E-3</v>
      </c>
      <c r="F16" s="741"/>
    </row>
    <row r="17" spans="2:11" x14ac:dyDescent="0.2">
      <c r="B17" s="582">
        <v>100000</v>
      </c>
      <c r="C17" s="740">
        <v>45030</v>
      </c>
      <c r="D17" s="785">
        <v>100000</v>
      </c>
      <c r="E17" s="741">
        <v>4.0000000000000001E-3</v>
      </c>
      <c r="F17" s="741"/>
    </row>
    <row r="18" spans="2:11" x14ac:dyDescent="0.2">
      <c r="B18" s="743">
        <f t="shared" ref="B18:B33" si="0">D18</f>
        <v>99936</v>
      </c>
      <c r="C18" s="740">
        <v>45031</v>
      </c>
      <c r="D18" s="742">
        <v>99936</v>
      </c>
      <c r="E18" s="741">
        <v>3.0000000000000001E-3</v>
      </c>
      <c r="F18" s="741"/>
    </row>
    <row r="19" spans="2:11" x14ac:dyDescent="0.2">
      <c r="B19" s="743">
        <f t="shared" si="0"/>
        <v>99936.01</v>
      </c>
      <c r="C19" s="740">
        <v>45032</v>
      </c>
      <c r="D19" s="742">
        <v>99936.01</v>
      </c>
      <c r="E19" s="741">
        <v>3.0000000000000001E-3</v>
      </c>
      <c r="F19" s="741"/>
    </row>
    <row r="20" spans="2:11" x14ac:dyDescent="0.2">
      <c r="B20" s="743">
        <f t="shared" si="0"/>
        <v>99917.1</v>
      </c>
      <c r="C20" s="740">
        <v>45033</v>
      </c>
      <c r="D20" s="742">
        <v>99917.1</v>
      </c>
      <c r="E20" s="741">
        <v>3.0000000000000001E-3</v>
      </c>
      <c r="F20" s="741"/>
    </row>
    <row r="21" spans="2:11" x14ac:dyDescent="0.2">
      <c r="B21" s="743">
        <f t="shared" si="0"/>
        <v>99913.04</v>
      </c>
      <c r="C21" s="740">
        <v>45034</v>
      </c>
      <c r="D21" s="742">
        <v>99913.04</v>
      </c>
      <c r="E21" s="741">
        <v>3.0000000000000001E-3</v>
      </c>
      <c r="F21" s="741"/>
    </row>
    <row r="22" spans="2:11" x14ac:dyDescent="0.2">
      <c r="B22" s="743">
        <f t="shared" si="0"/>
        <v>99913.05</v>
      </c>
      <c r="C22" s="740">
        <v>45035</v>
      </c>
      <c r="D22" s="742">
        <v>99913.05</v>
      </c>
      <c r="E22" s="741">
        <v>3.0000000000000001E-3</v>
      </c>
      <c r="F22" s="741"/>
    </row>
    <row r="23" spans="2:11" x14ac:dyDescent="0.2">
      <c r="B23" s="743">
        <f t="shared" si="0"/>
        <v>99836.1</v>
      </c>
      <c r="C23" s="740">
        <v>45036</v>
      </c>
      <c r="D23" s="742">
        <v>99836.1</v>
      </c>
      <c r="E23" s="741">
        <v>3.0000000000000001E-3</v>
      </c>
      <c r="F23" s="741"/>
    </row>
    <row r="24" spans="2:11" x14ac:dyDescent="0.2">
      <c r="B24" s="743">
        <f t="shared" si="0"/>
        <v>99833.2</v>
      </c>
      <c r="C24" s="740">
        <v>45037</v>
      </c>
      <c r="D24" s="742">
        <v>99833.2</v>
      </c>
      <c r="E24" s="741">
        <v>3.0000000000000001E-3</v>
      </c>
      <c r="F24" s="741"/>
    </row>
    <row r="25" spans="2:11" x14ac:dyDescent="0.2">
      <c r="B25" s="743">
        <f t="shared" si="0"/>
        <v>99833.21</v>
      </c>
      <c r="C25" s="740">
        <v>45038</v>
      </c>
      <c r="D25" s="742">
        <v>99833.21</v>
      </c>
      <c r="E25" s="741">
        <v>3.0000000000000001E-3</v>
      </c>
      <c r="F25" s="741"/>
    </row>
    <row r="26" spans="2:11" x14ac:dyDescent="0.2">
      <c r="B26" s="743">
        <f t="shared" si="0"/>
        <v>99833.22</v>
      </c>
      <c r="C26" s="740">
        <v>45039</v>
      </c>
      <c r="D26" s="742">
        <v>99833.22</v>
      </c>
      <c r="E26" s="741">
        <v>3.0000000000000001E-3</v>
      </c>
      <c r="F26" s="741"/>
    </row>
    <row r="27" spans="2:11" x14ac:dyDescent="0.2">
      <c r="B27" s="743">
        <f t="shared" si="0"/>
        <v>99833.23</v>
      </c>
      <c r="C27" s="740">
        <v>45040</v>
      </c>
      <c r="D27" s="742">
        <v>99833.23</v>
      </c>
      <c r="E27" s="741">
        <v>3.0000000000000001E-3</v>
      </c>
      <c r="F27" s="741"/>
    </row>
    <row r="28" spans="2:11" x14ac:dyDescent="0.2">
      <c r="B28" s="743">
        <f t="shared" si="0"/>
        <v>99833.24</v>
      </c>
      <c r="C28" s="740">
        <v>45041</v>
      </c>
      <c r="D28" s="742">
        <v>99833.24</v>
      </c>
      <c r="E28" s="741">
        <v>3.0000000000000001E-3</v>
      </c>
      <c r="F28" s="741"/>
      <c r="H28" s="582" t="s">
        <v>2692</v>
      </c>
      <c r="I28" s="582" t="s">
        <v>2693</v>
      </c>
      <c r="J28" s="582" t="s">
        <v>2800</v>
      </c>
      <c r="K28" s="582" t="s">
        <v>2694</v>
      </c>
    </row>
    <row r="29" spans="2:11" x14ac:dyDescent="0.2">
      <c r="B29" s="743">
        <f t="shared" si="0"/>
        <v>825.53</v>
      </c>
      <c r="C29" s="740">
        <v>45042</v>
      </c>
      <c r="D29" s="742">
        <v>825.53</v>
      </c>
      <c r="E29" s="741">
        <v>1.5E-3</v>
      </c>
      <c r="F29" s="741"/>
      <c r="H29" s="741">
        <v>2.5000000000000001E-2</v>
      </c>
      <c r="I29" s="741">
        <v>8.9999999999999993E-3</v>
      </c>
      <c r="J29" s="741">
        <v>8.0000000000000002E-3</v>
      </c>
      <c r="K29" s="741"/>
    </row>
    <row r="30" spans="2:11" x14ac:dyDescent="0.2">
      <c r="B30" s="743">
        <f t="shared" si="0"/>
        <v>8096.84</v>
      </c>
      <c r="C30" s="740">
        <v>45043</v>
      </c>
      <c r="D30" s="742">
        <v>8096.84</v>
      </c>
      <c r="E30" s="741">
        <v>2E-3</v>
      </c>
      <c r="F30" s="741"/>
      <c r="H30" s="743">
        <f>$B$34</f>
        <v>84372.148000000016</v>
      </c>
      <c r="I30" s="743">
        <f>$B$34</f>
        <v>84372.148000000016</v>
      </c>
      <c r="J30" s="743">
        <f>$B$34</f>
        <v>84372.148000000016</v>
      </c>
    </row>
    <row r="31" spans="2:11" x14ac:dyDescent="0.2">
      <c r="B31" s="743">
        <f t="shared" si="0"/>
        <v>7868.23</v>
      </c>
      <c r="C31" s="740">
        <v>45044</v>
      </c>
      <c r="D31" s="742">
        <v>7868.23</v>
      </c>
      <c r="E31" s="741">
        <v>2E-3</v>
      </c>
      <c r="F31" s="741"/>
      <c r="H31" s="582" t="s">
        <v>2757</v>
      </c>
      <c r="I31" s="582" t="s">
        <v>2757</v>
      </c>
      <c r="J31" s="582" t="s">
        <v>2757</v>
      </c>
      <c r="K31" s="582" t="s">
        <v>2757</v>
      </c>
    </row>
    <row r="32" spans="2:11" x14ac:dyDescent="0.2">
      <c r="B32" s="743">
        <f t="shared" si="0"/>
        <v>7865.66</v>
      </c>
      <c r="C32" s="740">
        <v>45045</v>
      </c>
      <c r="D32" s="742">
        <v>7865.66</v>
      </c>
      <c r="E32" s="741">
        <v>2E-3</v>
      </c>
      <c r="F32" s="741"/>
      <c r="H32" s="582">
        <f>H29*H30/365*31</f>
        <v>179.14634164383565</v>
      </c>
      <c r="I32" s="582">
        <f>I29*I30/365*31</f>
        <v>64.492682991780825</v>
      </c>
      <c r="J32" s="582">
        <f>J29*J30/365*31</f>
        <v>57.326829326027415</v>
      </c>
      <c r="K32" s="743">
        <f>D34</f>
        <v>25.715295438356168</v>
      </c>
    </row>
    <row r="33" spans="2:11" x14ac:dyDescent="0.2">
      <c r="B33" s="743">
        <f t="shared" si="0"/>
        <v>7890.78</v>
      </c>
      <c r="C33" s="740">
        <v>45046</v>
      </c>
      <c r="D33" s="742">
        <v>7890.78</v>
      </c>
      <c r="E33" s="741">
        <v>2E-3</v>
      </c>
      <c r="F33" s="741"/>
      <c r="G33" s="582" t="s">
        <v>2817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3">
        <f>AVERAGE(B4:B33)</f>
        <v>84372.148000000016</v>
      </c>
      <c r="D34" s="871">
        <f>SUMPRODUCT(D4:D33,E4:E33)/365</f>
        <v>25.715295438356168</v>
      </c>
      <c r="E34" s="871"/>
      <c r="F34" s="783"/>
    </row>
    <row r="35" spans="2:11" x14ac:dyDescent="0.2">
      <c r="B35" s="782" t="s">
        <v>2822</v>
      </c>
      <c r="D35" s="871" t="s">
        <v>2809</v>
      </c>
      <c r="E35" s="871"/>
      <c r="F35" s="78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I47" sqref="I47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9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8" t="s">
        <v>2799</v>
      </c>
      <c r="C2" s="738"/>
      <c r="D2" s="739" t="s">
        <v>2808</v>
      </c>
    </row>
    <row r="3" spans="2:6" x14ac:dyDescent="0.2">
      <c r="B3" s="357"/>
    </row>
    <row r="4" spans="2:6" x14ac:dyDescent="0.2">
      <c r="B4" s="242">
        <f>MIN(D4,100000)</f>
        <v>98.68</v>
      </c>
      <c r="C4" s="740">
        <v>45047</v>
      </c>
      <c r="D4" s="784">
        <v>98.68</v>
      </c>
      <c r="E4" s="741">
        <v>1.5E-3</v>
      </c>
      <c r="F4" s="741"/>
    </row>
    <row r="5" spans="2:6" x14ac:dyDescent="0.2">
      <c r="B5" s="242">
        <f t="shared" ref="B5:B34" si="0">MIN(D5,100000)</f>
        <v>45738.75</v>
      </c>
      <c r="C5" s="740">
        <v>45048</v>
      </c>
      <c r="D5" s="784">
        <v>45738.75</v>
      </c>
      <c r="E5" s="741">
        <v>3.0000000000000001E-3</v>
      </c>
      <c r="F5" s="741"/>
    </row>
    <row r="6" spans="2:6" x14ac:dyDescent="0.2">
      <c r="B6" s="242">
        <f t="shared" si="0"/>
        <v>100000</v>
      </c>
      <c r="C6" s="740">
        <v>45049</v>
      </c>
      <c r="D6" s="784">
        <v>105748.48</v>
      </c>
      <c r="E6" s="741">
        <v>4.0000000000000001E-3</v>
      </c>
      <c r="F6" s="741"/>
    </row>
    <row r="7" spans="2:6" x14ac:dyDescent="0.2">
      <c r="B7" s="242">
        <f t="shared" si="0"/>
        <v>100000</v>
      </c>
      <c r="C7" s="740">
        <v>45050</v>
      </c>
      <c r="D7" s="784">
        <v>105749.48</v>
      </c>
      <c r="E7" s="741">
        <v>4.0000000000000001E-3</v>
      </c>
      <c r="F7" s="741"/>
    </row>
    <row r="8" spans="2:6" x14ac:dyDescent="0.2">
      <c r="B8" s="242">
        <f t="shared" si="0"/>
        <v>100000</v>
      </c>
      <c r="C8" s="740">
        <v>45051</v>
      </c>
      <c r="D8" s="784">
        <v>104078.89</v>
      </c>
      <c r="E8" s="741">
        <v>4.0000000000000001E-3</v>
      </c>
      <c r="F8" s="741"/>
    </row>
    <row r="9" spans="2:6" x14ac:dyDescent="0.2">
      <c r="B9" s="242">
        <f t="shared" si="0"/>
        <v>100000</v>
      </c>
      <c r="C9" s="740">
        <v>45052</v>
      </c>
      <c r="D9" s="784">
        <v>101125.29</v>
      </c>
      <c r="E9" s="741">
        <v>4.0000000000000001E-3</v>
      </c>
      <c r="F9" s="741"/>
    </row>
    <row r="10" spans="2:6" x14ac:dyDescent="0.2">
      <c r="B10" s="242">
        <f t="shared" si="0"/>
        <v>100000</v>
      </c>
      <c r="C10" s="740">
        <v>45053</v>
      </c>
      <c r="D10" s="784">
        <v>101125.3</v>
      </c>
      <c r="E10" s="741">
        <v>4.0000000000000001E-3</v>
      </c>
      <c r="F10" s="741"/>
    </row>
    <row r="11" spans="2:6" x14ac:dyDescent="0.2">
      <c r="B11" s="242">
        <f t="shared" si="0"/>
        <v>2428.3200000000002</v>
      </c>
      <c r="C11" s="740">
        <v>45054</v>
      </c>
      <c r="D11" s="784">
        <v>2428.3200000000002</v>
      </c>
      <c r="E11" s="741">
        <v>1.5E-3</v>
      </c>
      <c r="F11" s="741"/>
    </row>
    <row r="12" spans="2:6" x14ac:dyDescent="0.2">
      <c r="B12" s="242">
        <f t="shared" si="0"/>
        <v>2425.9899999999998</v>
      </c>
      <c r="C12" s="740">
        <v>45055</v>
      </c>
      <c r="D12" s="784">
        <v>2425.9899999999998</v>
      </c>
      <c r="E12" s="741">
        <v>1.5E-3</v>
      </c>
      <c r="F12" s="741"/>
    </row>
    <row r="13" spans="2:6" x14ac:dyDescent="0.2">
      <c r="B13" s="242">
        <f t="shared" si="0"/>
        <v>100000</v>
      </c>
      <c r="C13" s="740">
        <v>45056</v>
      </c>
      <c r="D13" s="784">
        <v>101424.94</v>
      </c>
      <c r="E13" s="741">
        <v>4.0000000000000001E-3</v>
      </c>
      <c r="F13" s="741"/>
    </row>
    <row r="14" spans="2:6" x14ac:dyDescent="0.2">
      <c r="B14" s="242">
        <f t="shared" si="0"/>
        <v>100000</v>
      </c>
      <c r="C14" s="740">
        <v>45057</v>
      </c>
      <c r="D14" s="784">
        <v>100448.78</v>
      </c>
      <c r="E14" s="741">
        <v>4.0000000000000001E-3</v>
      </c>
      <c r="F14" s="741"/>
    </row>
    <row r="15" spans="2:6" x14ac:dyDescent="0.2">
      <c r="B15" s="242">
        <f t="shared" si="0"/>
        <v>100000</v>
      </c>
      <c r="C15" s="740">
        <v>45058</v>
      </c>
      <c r="D15" s="784">
        <v>100444.78</v>
      </c>
      <c r="E15" s="741">
        <v>4.0000000000000001E-3</v>
      </c>
      <c r="F15" s="741"/>
    </row>
    <row r="16" spans="2:6" x14ac:dyDescent="0.2">
      <c r="B16" s="242">
        <f t="shared" si="0"/>
        <v>100000</v>
      </c>
      <c r="C16" s="740">
        <v>45059</v>
      </c>
      <c r="D16" s="784">
        <v>100444.82</v>
      </c>
      <c r="E16" s="741">
        <v>4.0000000000000001E-3</v>
      </c>
      <c r="F16" s="741"/>
    </row>
    <row r="17" spans="2:11" x14ac:dyDescent="0.2">
      <c r="B17" s="242">
        <f t="shared" si="0"/>
        <v>100000</v>
      </c>
      <c r="C17" s="740">
        <v>45060</v>
      </c>
      <c r="D17" s="784">
        <v>100441.04</v>
      </c>
      <c r="E17" s="741">
        <v>4.0000000000000001E-3</v>
      </c>
      <c r="F17" s="741"/>
    </row>
    <row r="18" spans="2:11" x14ac:dyDescent="0.2">
      <c r="B18" s="242">
        <f t="shared" si="0"/>
        <v>100000</v>
      </c>
      <c r="C18" s="740">
        <v>45061</v>
      </c>
      <c r="D18" s="784">
        <v>100441.05</v>
      </c>
      <c r="E18" s="741">
        <v>4.0000000000000001E-3</v>
      </c>
      <c r="F18" s="741"/>
    </row>
    <row r="19" spans="2:11" x14ac:dyDescent="0.2">
      <c r="B19" s="242">
        <f t="shared" si="0"/>
        <v>100000</v>
      </c>
      <c r="C19" s="740">
        <v>45062</v>
      </c>
      <c r="D19" s="784">
        <v>100441.05</v>
      </c>
      <c r="E19" s="741">
        <v>4.0000000000000001E-3</v>
      </c>
      <c r="F19" s="741"/>
    </row>
    <row r="20" spans="2:11" x14ac:dyDescent="0.2">
      <c r="B20" s="242">
        <f t="shared" si="0"/>
        <v>100000</v>
      </c>
      <c r="C20" s="740">
        <v>45063</v>
      </c>
      <c r="D20" s="784">
        <v>100442.04</v>
      </c>
      <c r="E20" s="741">
        <v>4.0000000000000001E-3</v>
      </c>
      <c r="F20" s="741"/>
    </row>
    <row r="21" spans="2:11" x14ac:dyDescent="0.2">
      <c r="B21" s="242">
        <f t="shared" si="0"/>
        <v>100000</v>
      </c>
      <c r="C21" s="740">
        <v>45064</v>
      </c>
      <c r="D21" s="784">
        <v>101789.31</v>
      </c>
      <c r="E21" s="741">
        <v>4.0000000000000001E-3</v>
      </c>
      <c r="F21" s="741"/>
    </row>
    <row r="22" spans="2:11" x14ac:dyDescent="0.2">
      <c r="B22" s="242">
        <f t="shared" si="0"/>
        <v>97582.34</v>
      </c>
      <c r="C22" s="740">
        <v>45065</v>
      </c>
      <c r="D22" s="784">
        <v>97582.34</v>
      </c>
      <c r="E22" s="741">
        <v>3.0000000000000001E-3</v>
      </c>
      <c r="F22" s="741"/>
    </row>
    <row r="23" spans="2:11" x14ac:dyDescent="0.2">
      <c r="B23" s="242">
        <f t="shared" si="0"/>
        <v>100000</v>
      </c>
      <c r="C23" s="740">
        <v>45066</v>
      </c>
      <c r="D23" s="742">
        <v>100570</v>
      </c>
      <c r="E23" s="741">
        <v>4.0000000000000001E-3</v>
      </c>
      <c r="F23" s="741"/>
    </row>
    <row r="24" spans="2:11" x14ac:dyDescent="0.2">
      <c r="B24" s="242">
        <f t="shared" si="0"/>
        <v>100000</v>
      </c>
      <c r="C24" s="740">
        <v>45067</v>
      </c>
      <c r="D24" s="742">
        <v>100570</v>
      </c>
      <c r="E24" s="741">
        <v>4.0000000000000001E-3</v>
      </c>
      <c r="F24" s="741"/>
    </row>
    <row r="25" spans="2:11" x14ac:dyDescent="0.2">
      <c r="B25" s="242">
        <f t="shared" si="0"/>
        <v>100000</v>
      </c>
      <c r="C25" s="740">
        <v>45068</v>
      </c>
      <c r="D25" s="742">
        <v>100570</v>
      </c>
      <c r="E25" s="741">
        <v>4.0000000000000001E-3</v>
      </c>
      <c r="F25" s="741"/>
    </row>
    <row r="26" spans="2:11" x14ac:dyDescent="0.2">
      <c r="B26" s="242">
        <f t="shared" si="0"/>
        <v>3736.71</v>
      </c>
      <c r="C26" s="740">
        <v>45069</v>
      </c>
      <c r="D26" s="784">
        <v>3736.71</v>
      </c>
      <c r="E26" s="741">
        <v>1.5E-3</v>
      </c>
      <c r="F26" s="741"/>
    </row>
    <row r="27" spans="2:11" x14ac:dyDescent="0.2">
      <c r="B27" s="242">
        <f t="shared" si="0"/>
        <v>100000</v>
      </c>
      <c r="C27" s="740">
        <v>45070</v>
      </c>
      <c r="D27" s="742">
        <v>100247</v>
      </c>
      <c r="E27" s="741">
        <v>4.0000000000000001E-3</v>
      </c>
      <c r="F27" s="741"/>
    </row>
    <row r="28" spans="2:11" x14ac:dyDescent="0.2">
      <c r="B28" s="242">
        <f t="shared" si="0"/>
        <v>100000</v>
      </c>
      <c r="C28" s="740">
        <v>45071</v>
      </c>
      <c r="D28" s="742">
        <v>100247</v>
      </c>
      <c r="E28" s="741">
        <v>4.0000000000000001E-3</v>
      </c>
      <c r="F28" s="741"/>
    </row>
    <row r="29" spans="2:11" x14ac:dyDescent="0.2">
      <c r="B29" s="242">
        <f t="shared" si="0"/>
        <v>100000</v>
      </c>
      <c r="C29" s="740">
        <v>45072</v>
      </c>
      <c r="D29" s="742">
        <v>100247</v>
      </c>
      <c r="E29" s="741">
        <v>4.0000000000000001E-3</v>
      </c>
      <c r="F29" s="741"/>
      <c r="H29" s="582" t="s">
        <v>2692</v>
      </c>
      <c r="I29" s="582" t="s">
        <v>2693</v>
      </c>
      <c r="J29" s="582" t="s">
        <v>2800</v>
      </c>
      <c r="K29" s="582" t="s">
        <v>2694</v>
      </c>
    </row>
    <row r="30" spans="2:11" x14ac:dyDescent="0.2">
      <c r="B30" s="242">
        <f t="shared" si="0"/>
        <v>100000</v>
      </c>
      <c r="C30" s="740">
        <v>45073</v>
      </c>
      <c r="D30" s="784">
        <v>100245.71</v>
      </c>
      <c r="E30" s="741">
        <v>4.0000000000000001E-3</v>
      </c>
      <c r="F30" s="741"/>
      <c r="H30" s="741">
        <v>2.5000000000000001E-2</v>
      </c>
      <c r="I30" s="741">
        <v>8.9999999999999993E-3</v>
      </c>
      <c r="J30" s="741">
        <v>8.0000000000000002E-3</v>
      </c>
      <c r="K30" s="741"/>
    </row>
    <row r="31" spans="2:11" x14ac:dyDescent="0.2">
      <c r="B31" s="242">
        <f t="shared" si="0"/>
        <v>100000</v>
      </c>
      <c r="C31" s="740">
        <v>45074</v>
      </c>
      <c r="D31" s="784">
        <v>100245.71</v>
      </c>
      <c r="E31" s="741">
        <v>4.0000000000000001E-3</v>
      </c>
      <c r="F31" s="741"/>
      <c r="H31" s="743">
        <f>$B$35</f>
        <v>82326.412580645163</v>
      </c>
      <c r="I31" s="743">
        <f>$B$35</f>
        <v>82326.412580645163</v>
      </c>
      <c r="J31" s="743">
        <f>$B$35</f>
        <v>82326.412580645163</v>
      </c>
    </row>
    <row r="32" spans="2:11" x14ac:dyDescent="0.2">
      <c r="B32" s="242">
        <f t="shared" si="0"/>
        <v>108</v>
      </c>
      <c r="C32" s="740">
        <v>45075</v>
      </c>
      <c r="D32" s="742">
        <v>108</v>
      </c>
      <c r="E32" s="741">
        <v>1.5E-3</v>
      </c>
      <c r="F32" s="741"/>
      <c r="H32" s="582" t="s">
        <v>2757</v>
      </c>
      <c r="I32" s="582" t="s">
        <v>2757</v>
      </c>
      <c r="J32" s="582" t="s">
        <v>2757</v>
      </c>
      <c r="K32" s="582" t="s">
        <v>2757</v>
      </c>
    </row>
    <row r="33" spans="2:11" x14ac:dyDescent="0.2">
      <c r="B33" s="242">
        <f t="shared" si="0"/>
        <v>100000</v>
      </c>
      <c r="C33" s="740">
        <v>45076</v>
      </c>
      <c r="D33" s="784">
        <v>102560.3</v>
      </c>
      <c r="E33" s="741">
        <v>4.0000000000000001E-3</v>
      </c>
      <c r="F33" s="741"/>
      <c r="H33" s="582">
        <f>H30*H31/365*31</f>
        <v>174.8026568493151</v>
      </c>
      <c r="I33" s="582">
        <f t="shared" ref="I33:J33" si="1">I30*I31/365*31</f>
        <v>62.92895646575343</v>
      </c>
      <c r="J33" s="582">
        <f t="shared" si="1"/>
        <v>55.936850191780827</v>
      </c>
      <c r="K33" s="743">
        <f>D35</f>
        <v>27.868759506849319</v>
      </c>
    </row>
    <row r="34" spans="2:11" x14ac:dyDescent="0.2">
      <c r="B34" s="242">
        <f t="shared" si="0"/>
        <v>100000</v>
      </c>
      <c r="C34" s="740">
        <v>45077</v>
      </c>
      <c r="D34" s="784">
        <v>102586.38</v>
      </c>
      <c r="E34" s="741">
        <v>4.0000000000000001E-3</v>
      </c>
      <c r="F34" s="741"/>
      <c r="G34" s="582" t="s">
        <v>2817</v>
      </c>
      <c r="K34" s="582">
        <v>28.96</v>
      </c>
    </row>
    <row r="35" spans="2:11" x14ac:dyDescent="0.2">
      <c r="B35" s="743">
        <f>AVERAGE(B4:B34)</f>
        <v>82326.412580645163</v>
      </c>
      <c r="D35" s="871">
        <f>SUMPRODUCT(D4:D34,E4:E34)/365</f>
        <v>27.868759506849319</v>
      </c>
      <c r="E35" s="871"/>
      <c r="F35" s="744"/>
    </row>
    <row r="36" spans="2:11" x14ac:dyDescent="0.2">
      <c r="B36" s="738" t="s">
        <v>2822</v>
      </c>
      <c r="D36" s="871" t="s">
        <v>2809</v>
      </c>
      <c r="E36" s="871"/>
      <c r="F36" s="744"/>
    </row>
  </sheetData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workbookViewId="0">
      <selection activeCell="I23" sqref="I23"/>
    </sheetView>
  </sheetViews>
  <sheetFormatPr defaultRowHeight="12.75" x14ac:dyDescent="0.2"/>
  <cols>
    <col min="1" max="1" width="0.85546875" style="67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6" bestFit="1" customWidth="1"/>
    <col min="6" max="6" width="5.5703125" style="706" bestFit="1" customWidth="1"/>
    <col min="7" max="8" width="9.7109375" bestFit="1" customWidth="1"/>
    <col min="9" max="9" width="21.140625" bestFit="1" customWidth="1"/>
  </cols>
  <sheetData>
    <row r="2" spans="2:9" s="676" customFormat="1" ht="25.5" x14ac:dyDescent="0.2">
      <c r="B2" s="678" t="s">
        <v>2724</v>
      </c>
      <c r="C2" s="678" t="s">
        <v>311</v>
      </c>
      <c r="D2" s="679" t="s">
        <v>2728</v>
      </c>
      <c r="E2" s="680" t="s">
        <v>2725</v>
      </c>
      <c r="F2" s="680" t="s">
        <v>2759</v>
      </c>
      <c r="G2" s="680" t="s">
        <v>2726</v>
      </c>
      <c r="H2" s="678" t="s">
        <v>460</v>
      </c>
      <c r="I2" s="677" t="s">
        <v>2723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8" t="s">
        <v>2758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9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0" t="s">
        <v>2758</v>
      </c>
      <c r="G5" s="227">
        <f>SUM(B5:E5)</f>
        <v>112574</v>
      </c>
      <c r="H5" s="81">
        <v>43891</v>
      </c>
      <c r="I5" s="63"/>
    </row>
    <row r="6" spans="2:9" s="676" customFormat="1" x14ac:dyDescent="0.2">
      <c r="B6" s="227"/>
      <c r="C6" s="227"/>
      <c r="D6" s="227"/>
      <c r="E6" s="227"/>
      <c r="F6" s="709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0" t="s">
        <v>2758</v>
      </c>
      <c r="G7" s="227">
        <f>SUM(B7:E7)</f>
        <v>112225.48</v>
      </c>
      <c r="H7" s="81">
        <v>44195</v>
      </c>
      <c r="I7" s="63" t="s">
        <v>2729</v>
      </c>
    </row>
    <row r="8" spans="2:9" x14ac:dyDescent="0.2">
      <c r="B8" s="227"/>
      <c r="C8" s="227"/>
      <c r="D8" s="227"/>
      <c r="E8" s="227"/>
      <c r="F8" s="709"/>
      <c r="G8" s="227"/>
      <c r="H8" s="63"/>
      <c r="I8" s="63"/>
    </row>
    <row r="9" spans="2:9" ht="14.25" x14ac:dyDescent="0.2">
      <c r="B9" s="227">
        <f>$B$7</f>
        <v>13108.48</v>
      </c>
      <c r="C9" s="681">
        <v>5000</v>
      </c>
      <c r="D9" s="227">
        <v>84000</v>
      </c>
      <c r="E9" s="227">
        <v>8848</v>
      </c>
      <c r="F9" s="710" t="s">
        <v>2758</v>
      </c>
      <c r="G9" s="681">
        <f>SUM(B9:E9)</f>
        <v>110956.48</v>
      </c>
      <c r="H9" s="81">
        <v>44548</v>
      </c>
      <c r="I9" s="63"/>
    </row>
    <row r="10" spans="2:9" s="676" customFormat="1" x14ac:dyDescent="0.2">
      <c r="B10" s="227"/>
      <c r="C10" s="227" t="s">
        <v>2730</v>
      </c>
      <c r="D10" s="227"/>
      <c r="E10" s="227"/>
      <c r="F10" s="709"/>
      <c r="G10" s="227" t="s">
        <v>2731</v>
      </c>
      <c r="H10" s="81"/>
      <c r="I10" s="63"/>
    </row>
    <row r="11" spans="2:9" s="676" customFormat="1" x14ac:dyDescent="0.2">
      <c r="B11" s="227"/>
      <c r="C11" s="227"/>
      <c r="D11" s="227"/>
      <c r="E11" s="227"/>
      <c r="F11" s="709"/>
      <c r="G11" s="227"/>
      <c r="H11" s="81"/>
      <c r="I11" s="63"/>
    </row>
    <row r="12" spans="2:9" ht="14.25" x14ac:dyDescent="0.2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10" t="s">
        <v>2758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0" t="s">
        <v>2758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0" t="s">
        <v>2758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0" t="s">
        <v>2758</v>
      </c>
      <c r="G15" s="227">
        <f t="shared" si="1"/>
        <v>108175.48</v>
      </c>
      <c r="H15" s="81">
        <v>44701</v>
      </c>
      <c r="I15" s="63" t="s">
        <v>2734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0" t="s">
        <v>2758</v>
      </c>
      <c r="G16" s="227">
        <f t="shared" si="1"/>
        <v>109985.48</v>
      </c>
      <c r="H16" s="81">
        <v>44728</v>
      </c>
      <c r="I16" s="63" t="s">
        <v>2735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0" t="s">
        <v>2758</v>
      </c>
      <c r="G17" s="227">
        <f t="shared" si="1"/>
        <v>105859.48</v>
      </c>
      <c r="H17" s="81">
        <v>44788</v>
      </c>
      <c r="I17" s="63" t="s">
        <v>2727</v>
      </c>
    </row>
    <row r="18" spans="2:9" s="676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0" t="s">
        <v>2758</v>
      </c>
      <c r="G18" s="227">
        <f t="shared" ref="G18:G19" si="2">SUM(B18:E18)</f>
        <v>102207.48</v>
      </c>
      <c r="H18" s="81">
        <v>44851</v>
      </c>
      <c r="I18" s="63"/>
    </row>
    <row r="19" spans="2:9" s="676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0" t="s">
        <v>2758</v>
      </c>
      <c r="G19" s="227">
        <f t="shared" si="2"/>
        <v>100303.48</v>
      </c>
      <c r="H19" s="81">
        <v>44880</v>
      </c>
      <c r="I19" s="63"/>
    </row>
    <row r="20" spans="2:9" s="676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0" t="s">
        <v>2758</v>
      </c>
      <c r="G20" s="227">
        <f>SUM(B20:E20)</f>
        <v>98359.48</v>
      </c>
      <c r="H20" s="81">
        <v>44910</v>
      </c>
      <c r="I20" s="63" t="s">
        <v>2727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0" t="s">
        <v>2758</v>
      </c>
      <c r="G21" s="227">
        <f>SUM(B21:E21)</f>
        <v>99108.479999999996</v>
      </c>
      <c r="H21" s="81">
        <v>45000</v>
      </c>
      <c r="I21" s="63"/>
    </row>
    <row r="22" spans="2:9" ht="14.25" x14ac:dyDescent="0.2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10" t="s">
        <v>2758</v>
      </c>
      <c r="G22" s="227">
        <f>SUM(B22:E22)</f>
        <v>100108.48</v>
      </c>
      <c r="H22" s="81">
        <v>45000</v>
      </c>
      <c r="I22" s="63" t="s">
        <v>2871</v>
      </c>
    </row>
    <row r="23" spans="2:9" x14ac:dyDescent="0.2">
      <c r="B23" s="63"/>
      <c r="C23" s="63"/>
      <c r="D23" s="63"/>
      <c r="E23" s="63"/>
      <c r="F23" s="777"/>
      <c r="G23" s="63"/>
      <c r="H23" s="63"/>
      <c r="I23" s="63"/>
    </row>
    <row r="24" spans="2:9" x14ac:dyDescent="0.2">
      <c r="B24" s="63"/>
      <c r="C24" s="63"/>
      <c r="D24" s="63"/>
      <c r="E24" s="63"/>
      <c r="F24" s="777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72" t="s">
        <v>1897</v>
      </c>
      <c r="D3" s="872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73" t="s">
        <v>2080</v>
      </c>
      <c r="C2" s="873"/>
      <c r="D2" s="874" t="s">
        <v>1875</v>
      </c>
      <c r="E2" s="874"/>
      <c r="F2" s="471"/>
      <c r="G2" s="471"/>
      <c r="H2" s="378"/>
      <c r="I2" s="877" t="s">
        <v>2257</v>
      </c>
      <c r="J2" s="878"/>
      <c r="K2" s="878"/>
      <c r="L2" s="878"/>
      <c r="M2" s="878"/>
      <c r="N2" s="878"/>
      <c r="O2" s="879"/>
      <c r="P2" s="438"/>
      <c r="Q2" s="880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85" t="s">
        <v>2283</v>
      </c>
      <c r="G3" s="886"/>
      <c r="H3" s="378"/>
      <c r="I3" s="433"/>
      <c r="J3" s="472"/>
      <c r="K3" s="882" t="s">
        <v>2425</v>
      </c>
      <c r="L3" s="883"/>
      <c r="M3" s="884"/>
      <c r="N3" s="476"/>
      <c r="O3" s="430"/>
      <c r="P3" s="470"/>
      <c r="Q3" s="881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75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75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76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76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97" t="s">
        <v>124</v>
      </c>
      <c r="C1" s="797"/>
      <c r="D1" s="800" t="s">
        <v>292</v>
      </c>
      <c r="E1" s="800"/>
      <c r="F1" s="800" t="s">
        <v>341</v>
      </c>
      <c r="G1" s="800"/>
      <c r="H1" s="798" t="s">
        <v>127</v>
      </c>
      <c r="I1" s="798"/>
      <c r="J1" s="794" t="s">
        <v>292</v>
      </c>
      <c r="K1" s="794"/>
      <c r="L1" s="799" t="s">
        <v>520</v>
      </c>
      <c r="M1" s="799"/>
      <c r="N1" s="798" t="s">
        <v>146</v>
      </c>
      <c r="O1" s="798"/>
      <c r="P1" s="794" t="s">
        <v>293</v>
      </c>
      <c r="Q1" s="794"/>
      <c r="R1" s="799" t="s">
        <v>522</v>
      </c>
      <c r="S1" s="799"/>
      <c r="T1" s="788" t="s">
        <v>193</v>
      </c>
      <c r="U1" s="788"/>
      <c r="V1" s="794" t="s">
        <v>292</v>
      </c>
      <c r="W1" s="794"/>
      <c r="X1" s="793" t="s">
        <v>524</v>
      </c>
      <c r="Y1" s="793"/>
      <c r="Z1" s="788" t="s">
        <v>241</v>
      </c>
      <c r="AA1" s="788"/>
      <c r="AB1" s="795" t="s">
        <v>292</v>
      </c>
      <c r="AC1" s="795"/>
      <c r="AD1" s="796" t="s">
        <v>524</v>
      </c>
      <c r="AE1" s="796"/>
      <c r="AF1" s="788" t="s">
        <v>367</v>
      </c>
      <c r="AG1" s="788"/>
      <c r="AH1" s="795" t="s">
        <v>292</v>
      </c>
      <c r="AI1" s="795"/>
      <c r="AJ1" s="793" t="s">
        <v>530</v>
      </c>
      <c r="AK1" s="793"/>
      <c r="AL1" s="788" t="s">
        <v>389</v>
      </c>
      <c r="AM1" s="788"/>
      <c r="AN1" s="805" t="s">
        <v>292</v>
      </c>
      <c r="AO1" s="805"/>
      <c r="AP1" s="803" t="s">
        <v>531</v>
      </c>
      <c r="AQ1" s="803"/>
      <c r="AR1" s="788" t="s">
        <v>416</v>
      </c>
      <c r="AS1" s="788"/>
      <c r="AV1" s="803" t="s">
        <v>285</v>
      </c>
      <c r="AW1" s="803"/>
      <c r="AX1" s="806" t="s">
        <v>998</v>
      </c>
      <c r="AY1" s="806"/>
      <c r="AZ1" s="806"/>
      <c r="BA1" s="208"/>
      <c r="BB1" s="801">
        <v>42942</v>
      </c>
      <c r="BC1" s="802"/>
      <c r="BD1" s="802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87" t="s">
        <v>261</v>
      </c>
      <c r="U4" s="787"/>
      <c r="X4" s="119" t="s">
        <v>233</v>
      </c>
      <c r="Y4" s="123">
        <f>Y3-Y6</f>
        <v>4.9669099999591708</v>
      </c>
      <c r="Z4" s="787" t="s">
        <v>262</v>
      </c>
      <c r="AA4" s="787"/>
      <c r="AD4" s="154" t="s">
        <v>233</v>
      </c>
      <c r="AE4" s="154">
        <f>AE3-AE5</f>
        <v>-52.526899999851594</v>
      </c>
      <c r="AF4" s="787" t="s">
        <v>262</v>
      </c>
      <c r="AG4" s="787"/>
      <c r="AH4" s="143"/>
      <c r="AI4" s="143"/>
      <c r="AJ4" s="154" t="s">
        <v>233</v>
      </c>
      <c r="AK4" s="154">
        <f>AK3-AK5</f>
        <v>94.988909999992757</v>
      </c>
      <c r="AL4" s="787" t="s">
        <v>262</v>
      </c>
      <c r="AM4" s="787"/>
      <c r="AP4" s="170" t="s">
        <v>233</v>
      </c>
      <c r="AQ4" s="174">
        <f>AQ3-AQ5</f>
        <v>33.841989999942598</v>
      </c>
      <c r="AR4" s="787" t="s">
        <v>262</v>
      </c>
      <c r="AS4" s="787"/>
      <c r="AX4" s="787" t="s">
        <v>564</v>
      </c>
      <c r="AY4" s="787"/>
      <c r="BB4" s="787" t="s">
        <v>567</v>
      </c>
      <c r="BC4" s="787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87"/>
      <c r="U5" s="787"/>
      <c r="V5" s="3" t="s">
        <v>258</v>
      </c>
      <c r="W5">
        <v>2050</v>
      </c>
      <c r="X5" s="82"/>
      <c r="Z5" s="787"/>
      <c r="AA5" s="78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87"/>
      <c r="AG5" s="787"/>
      <c r="AH5" s="143"/>
      <c r="AI5" s="143"/>
      <c r="AJ5" s="154" t="s">
        <v>352</v>
      </c>
      <c r="AK5" s="162">
        <f>SUM(AK11:AK59)</f>
        <v>30858.011000000002</v>
      </c>
      <c r="AL5" s="787"/>
      <c r="AM5" s="78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87"/>
      <c r="AS5" s="787"/>
      <c r="AX5" s="787"/>
      <c r="AY5" s="787"/>
      <c r="BB5" s="787"/>
      <c r="BC5" s="787"/>
      <c r="BD5" s="804" t="s">
        <v>999</v>
      </c>
      <c r="BE5" s="804"/>
      <c r="BF5" s="804"/>
      <c r="BG5" s="804"/>
      <c r="BH5" s="804"/>
      <c r="BI5" s="804"/>
      <c r="BJ5" s="804"/>
      <c r="BK5" s="804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89" t="s">
        <v>264</v>
      </c>
      <c r="W23" s="79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91"/>
      <c r="W24" s="79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2574</v>
      </c>
      <c r="E3" s="256"/>
      <c r="F3" s="256"/>
      <c r="G3" s="807" t="s">
        <v>2670</v>
      </c>
      <c r="H3" s="808"/>
      <c r="I3" s="592"/>
      <c r="J3" s="807" t="s">
        <v>2671</v>
      </c>
      <c r="K3" s="808"/>
      <c r="L3" s="299"/>
      <c r="M3" s="807">
        <v>43739</v>
      </c>
      <c r="N3" s="808"/>
      <c r="O3" s="807">
        <v>42401</v>
      </c>
      <c r="P3" s="808"/>
    </row>
    <row r="4" spans="2:16" x14ac:dyDescent="0.2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6" t="s">
        <v>2703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6"/>
      <c r="H7" s="227" t="s">
        <v>2702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6"/>
      <c r="H11" s="227" t="s">
        <v>2672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13" t="s">
        <v>2590</v>
      </c>
      <c r="D18" s="71" t="s">
        <v>2669</v>
      </c>
      <c r="E18" s="63" t="s">
        <v>2576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14"/>
      <c r="D19" s="71" t="s">
        <v>2669</v>
      </c>
      <c r="E19" s="63" t="s">
        <v>2578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14"/>
      <c r="D20" s="71" t="s">
        <v>2669</v>
      </c>
      <c r="E20" s="63" t="s">
        <v>2577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14"/>
      <c r="D21" s="71" t="s">
        <v>2669</v>
      </c>
      <c r="E21" s="63" t="s">
        <v>2575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14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3">
        <v>5000</v>
      </c>
      <c r="P22" s="63"/>
    </row>
    <row r="23" spans="2:16" x14ac:dyDescent="0.2">
      <c r="B23" s="63" t="s">
        <v>315</v>
      </c>
      <c r="C23" s="814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14"/>
      <c r="D24" s="71" t="s">
        <v>1044</v>
      </c>
      <c r="E24" s="63" t="s">
        <v>2558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3">
        <v>142000</v>
      </c>
      <c r="P24" s="63"/>
    </row>
    <row r="25" spans="2:16" x14ac:dyDescent="0.2">
      <c r="B25" s="63" t="s">
        <v>322</v>
      </c>
      <c r="C25" s="814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2556</v>
      </c>
      <c r="C26" s="815"/>
      <c r="D26" s="71" t="s">
        <v>2669</v>
      </c>
      <c r="E26" s="63" t="s">
        <v>2588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7" t="s">
        <v>2557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7">
        <v>1000</v>
      </c>
      <c r="H28" s="227" t="s">
        <v>2560</v>
      </c>
      <c r="I28" s="227"/>
      <c r="J28" s="597">
        <v>92574</v>
      </c>
      <c r="K28" s="227"/>
      <c r="L28" s="227"/>
      <c r="M28" s="597">
        <v>102000</v>
      </c>
      <c r="N28" s="227"/>
      <c r="O28" s="713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3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16" t="s">
        <v>1182</v>
      </c>
      <c r="E33" s="615" t="s">
        <v>2637</v>
      </c>
      <c r="F33" s="183" t="s">
        <v>2609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3">
        <v>20000</v>
      </c>
      <c r="P33" s="63"/>
    </row>
    <row r="34" spans="2:16" s="630" customFormat="1" x14ac:dyDescent="0.2">
      <c r="B34" s="63"/>
      <c r="C34" s="71"/>
      <c r="D34" s="817"/>
      <c r="E34" s="615" t="s">
        <v>2638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2565</v>
      </c>
      <c r="F35" s="71" t="s">
        <v>2569</v>
      </c>
      <c r="G35" s="597" t="s">
        <v>2566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2612</v>
      </c>
      <c r="F36" s="183" t="s">
        <v>1183</v>
      </c>
      <c r="G36" s="599" t="s">
        <v>2666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2634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2610</v>
      </c>
      <c r="F38" s="71" t="s">
        <v>2569</v>
      </c>
      <c r="G38" s="597" t="s">
        <v>2611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2564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2613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2587</v>
      </c>
      <c r="F42" s="202">
        <v>1.33</v>
      </c>
      <c r="G42" s="114"/>
      <c r="H42" s="114" t="s">
        <v>2559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2667</v>
      </c>
      <c r="G43" s="812">
        <f>G40/F42+H40</f>
        <v>1932511.2781954887</v>
      </c>
      <c r="H43" s="812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2668</v>
      </c>
      <c r="G44" s="811">
        <f>H40*F42+G40</f>
        <v>2570240</v>
      </c>
      <c r="H44" s="811"/>
      <c r="I44" s="2"/>
      <c r="J44" s="811">
        <f>K40*1.37+J40</f>
        <v>1877697.6600000001</v>
      </c>
      <c r="K44" s="811"/>
      <c r="L44" s="2"/>
      <c r="M44" s="811">
        <f>N40*1.37+M40</f>
        <v>1789659</v>
      </c>
      <c r="N44" s="811"/>
      <c r="O44" s="811">
        <f>P40*1.36+O40</f>
        <v>1320187.2</v>
      </c>
      <c r="P44" s="811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10" t="s">
        <v>1186</v>
      </c>
      <c r="C47" s="810"/>
      <c r="D47" s="810"/>
      <c r="E47" s="810"/>
      <c r="F47" s="810"/>
      <c r="G47" s="810"/>
      <c r="H47" s="810"/>
      <c r="I47" s="810"/>
      <c r="J47" s="810"/>
      <c r="K47" s="810"/>
      <c r="L47" s="810"/>
      <c r="M47" s="810"/>
      <c r="N47" s="810"/>
    </row>
    <row r="48" spans="2:16" x14ac:dyDescent="0.2">
      <c r="B48" s="810" t="s">
        <v>2563</v>
      </c>
      <c r="C48" s="810"/>
      <c r="D48" s="810"/>
      <c r="E48" s="810"/>
      <c r="F48" s="810"/>
      <c r="G48" s="810"/>
      <c r="H48" s="810"/>
      <c r="I48" s="810"/>
      <c r="J48" s="810"/>
      <c r="K48" s="810"/>
      <c r="L48" s="810"/>
      <c r="M48" s="810"/>
      <c r="N48" s="810"/>
    </row>
    <row r="49" spans="2:14" x14ac:dyDescent="0.2">
      <c r="B49" s="810" t="s">
        <v>2562</v>
      </c>
      <c r="C49" s="810"/>
      <c r="D49" s="810"/>
      <c r="E49" s="810"/>
      <c r="F49" s="810"/>
      <c r="G49" s="810"/>
      <c r="H49" s="810"/>
      <c r="I49" s="810"/>
      <c r="J49" s="810"/>
      <c r="K49" s="810"/>
      <c r="L49" s="810"/>
      <c r="M49" s="810"/>
      <c r="N49" s="810"/>
    </row>
    <row r="50" spans="2:14" x14ac:dyDescent="0.2">
      <c r="B50" s="809" t="s">
        <v>2561</v>
      </c>
      <c r="C50" s="809"/>
      <c r="D50" s="809"/>
      <c r="E50" s="809"/>
      <c r="F50" s="809"/>
      <c r="G50" s="809"/>
      <c r="H50" s="809"/>
      <c r="I50" s="809"/>
      <c r="J50" s="809"/>
      <c r="K50" s="809"/>
      <c r="L50" s="809"/>
      <c r="M50" s="809"/>
      <c r="N50" s="809"/>
    </row>
    <row r="51" spans="2:14" x14ac:dyDescent="0.2">
      <c r="B51" s="809"/>
      <c r="C51" s="809"/>
      <c r="D51" s="809"/>
      <c r="E51" s="809"/>
      <c r="F51" s="809"/>
      <c r="G51" s="809"/>
      <c r="H51" s="809"/>
      <c r="I51" s="809"/>
      <c r="J51" s="809"/>
      <c r="K51" s="809"/>
      <c r="L51" s="809"/>
      <c r="M51" s="809"/>
      <c r="N51" s="809"/>
    </row>
    <row r="52" spans="2:14" x14ac:dyDescent="0.2">
      <c r="B52" s="809"/>
      <c r="C52" s="809"/>
      <c r="D52" s="809"/>
      <c r="E52" s="809"/>
      <c r="F52" s="809"/>
      <c r="G52" s="809"/>
      <c r="H52" s="809"/>
      <c r="I52" s="809"/>
      <c r="J52" s="809"/>
      <c r="K52" s="809"/>
      <c r="L52" s="809"/>
      <c r="M52" s="809"/>
      <c r="N52" s="80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2640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2649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2647</v>
      </c>
      <c r="C5" s="640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2643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2643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2643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2643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2643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2643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2643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2643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2643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2643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2642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2639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2644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2641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2654</v>
      </c>
      <c r="C24" s="640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 x14ac:dyDescent="0.2">
      <c r="B25" s="63" t="s">
        <v>2652</v>
      </c>
      <c r="C25" s="640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2648</v>
      </c>
      <c r="C26" s="640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2650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2651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19" t="s">
        <v>2658</v>
      </c>
      <c r="F38" s="820"/>
      <c r="G38" s="90"/>
      <c r="H38" s="90"/>
    </row>
    <row r="39" spans="2:8" x14ac:dyDescent="0.2">
      <c r="B39" s="63" t="s">
        <v>2656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2657</v>
      </c>
    </row>
    <row r="41" spans="2:8" ht="18" x14ac:dyDescent="0.25">
      <c r="B41" s="818" t="s">
        <v>989</v>
      </c>
      <c r="C41" s="818"/>
      <c r="D41" s="818"/>
      <c r="E41" s="818"/>
      <c r="F41" s="818"/>
      <c r="G41" s="818"/>
      <c r="H41" s="81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97" t="s">
        <v>909</v>
      </c>
      <c r="C1" s="797"/>
      <c r="D1" s="796" t="s">
        <v>515</v>
      </c>
      <c r="E1" s="796"/>
      <c r="F1" s="797" t="s">
        <v>513</v>
      </c>
      <c r="G1" s="797"/>
      <c r="H1" s="824" t="s">
        <v>549</v>
      </c>
      <c r="I1" s="824"/>
      <c r="J1" s="796" t="s">
        <v>515</v>
      </c>
      <c r="K1" s="796"/>
      <c r="L1" s="797" t="s">
        <v>908</v>
      </c>
      <c r="M1" s="797"/>
      <c r="N1" s="824" t="s">
        <v>549</v>
      </c>
      <c r="O1" s="824"/>
      <c r="P1" s="796" t="s">
        <v>515</v>
      </c>
      <c r="Q1" s="796"/>
      <c r="R1" s="797" t="s">
        <v>552</v>
      </c>
      <c r="S1" s="797"/>
      <c r="T1" s="824" t="s">
        <v>549</v>
      </c>
      <c r="U1" s="824"/>
      <c r="V1" s="796" t="s">
        <v>515</v>
      </c>
      <c r="W1" s="796"/>
      <c r="X1" s="797" t="s">
        <v>907</v>
      </c>
      <c r="Y1" s="797"/>
      <c r="Z1" s="824" t="s">
        <v>549</v>
      </c>
      <c r="AA1" s="824"/>
      <c r="AB1" s="796" t="s">
        <v>515</v>
      </c>
      <c r="AC1" s="796"/>
      <c r="AD1" s="797" t="s">
        <v>591</v>
      </c>
      <c r="AE1" s="797"/>
      <c r="AF1" s="824" t="s">
        <v>549</v>
      </c>
      <c r="AG1" s="824"/>
      <c r="AH1" s="796" t="s">
        <v>515</v>
      </c>
      <c r="AI1" s="796"/>
      <c r="AJ1" s="797" t="s">
        <v>906</v>
      </c>
      <c r="AK1" s="797"/>
      <c r="AL1" s="824" t="s">
        <v>626</v>
      </c>
      <c r="AM1" s="824"/>
      <c r="AN1" s="796" t="s">
        <v>627</v>
      </c>
      <c r="AO1" s="796"/>
      <c r="AP1" s="797" t="s">
        <v>621</v>
      </c>
      <c r="AQ1" s="797"/>
      <c r="AR1" s="824" t="s">
        <v>549</v>
      </c>
      <c r="AS1" s="824"/>
      <c r="AT1" s="796" t="s">
        <v>515</v>
      </c>
      <c r="AU1" s="796"/>
      <c r="AV1" s="797" t="s">
        <v>905</v>
      </c>
      <c r="AW1" s="797"/>
      <c r="AX1" s="824" t="s">
        <v>549</v>
      </c>
      <c r="AY1" s="824"/>
      <c r="AZ1" s="796" t="s">
        <v>515</v>
      </c>
      <c r="BA1" s="796"/>
      <c r="BB1" s="797" t="s">
        <v>653</v>
      </c>
      <c r="BC1" s="797"/>
      <c r="BD1" s="824" t="s">
        <v>549</v>
      </c>
      <c r="BE1" s="824"/>
      <c r="BF1" s="796" t="s">
        <v>515</v>
      </c>
      <c r="BG1" s="796"/>
      <c r="BH1" s="797" t="s">
        <v>904</v>
      </c>
      <c r="BI1" s="797"/>
      <c r="BJ1" s="824" t="s">
        <v>549</v>
      </c>
      <c r="BK1" s="824"/>
      <c r="BL1" s="796" t="s">
        <v>515</v>
      </c>
      <c r="BM1" s="796"/>
      <c r="BN1" s="797" t="s">
        <v>921</v>
      </c>
      <c r="BO1" s="797"/>
      <c r="BP1" s="824" t="s">
        <v>549</v>
      </c>
      <c r="BQ1" s="824"/>
      <c r="BR1" s="796" t="s">
        <v>515</v>
      </c>
      <c r="BS1" s="796"/>
      <c r="BT1" s="797" t="s">
        <v>903</v>
      </c>
      <c r="BU1" s="797"/>
      <c r="BV1" s="824" t="s">
        <v>704</v>
      </c>
      <c r="BW1" s="824"/>
      <c r="BX1" s="796" t="s">
        <v>705</v>
      </c>
      <c r="BY1" s="796"/>
      <c r="BZ1" s="797" t="s">
        <v>703</v>
      </c>
      <c r="CA1" s="797"/>
      <c r="CB1" s="824" t="s">
        <v>730</v>
      </c>
      <c r="CC1" s="824"/>
      <c r="CD1" s="796" t="s">
        <v>731</v>
      </c>
      <c r="CE1" s="796"/>
      <c r="CF1" s="797" t="s">
        <v>902</v>
      </c>
      <c r="CG1" s="797"/>
      <c r="CH1" s="824" t="s">
        <v>730</v>
      </c>
      <c r="CI1" s="824"/>
      <c r="CJ1" s="796" t="s">
        <v>731</v>
      </c>
      <c r="CK1" s="796"/>
      <c r="CL1" s="797" t="s">
        <v>748</v>
      </c>
      <c r="CM1" s="797"/>
      <c r="CN1" s="824" t="s">
        <v>730</v>
      </c>
      <c r="CO1" s="824"/>
      <c r="CP1" s="796" t="s">
        <v>731</v>
      </c>
      <c r="CQ1" s="796"/>
      <c r="CR1" s="797" t="s">
        <v>901</v>
      </c>
      <c r="CS1" s="797"/>
      <c r="CT1" s="824" t="s">
        <v>730</v>
      </c>
      <c r="CU1" s="824"/>
      <c r="CV1" s="822" t="s">
        <v>731</v>
      </c>
      <c r="CW1" s="822"/>
      <c r="CX1" s="797" t="s">
        <v>769</v>
      </c>
      <c r="CY1" s="797"/>
      <c r="CZ1" s="824" t="s">
        <v>730</v>
      </c>
      <c r="DA1" s="824"/>
      <c r="DB1" s="822" t="s">
        <v>731</v>
      </c>
      <c r="DC1" s="822"/>
      <c r="DD1" s="797" t="s">
        <v>900</v>
      </c>
      <c r="DE1" s="797"/>
      <c r="DF1" s="824" t="s">
        <v>816</v>
      </c>
      <c r="DG1" s="824"/>
      <c r="DH1" s="822" t="s">
        <v>817</v>
      </c>
      <c r="DI1" s="822"/>
      <c r="DJ1" s="797" t="s">
        <v>809</v>
      </c>
      <c r="DK1" s="797"/>
      <c r="DL1" s="824" t="s">
        <v>816</v>
      </c>
      <c r="DM1" s="824"/>
      <c r="DN1" s="822" t="s">
        <v>731</v>
      </c>
      <c r="DO1" s="822"/>
      <c r="DP1" s="797" t="s">
        <v>899</v>
      </c>
      <c r="DQ1" s="797"/>
      <c r="DR1" s="824" t="s">
        <v>816</v>
      </c>
      <c r="DS1" s="824"/>
      <c r="DT1" s="822" t="s">
        <v>731</v>
      </c>
      <c r="DU1" s="822"/>
      <c r="DV1" s="797" t="s">
        <v>898</v>
      </c>
      <c r="DW1" s="797"/>
      <c r="DX1" s="824" t="s">
        <v>816</v>
      </c>
      <c r="DY1" s="824"/>
      <c r="DZ1" s="822" t="s">
        <v>731</v>
      </c>
      <c r="EA1" s="822"/>
      <c r="EB1" s="797" t="s">
        <v>897</v>
      </c>
      <c r="EC1" s="797"/>
      <c r="ED1" s="824" t="s">
        <v>816</v>
      </c>
      <c r="EE1" s="824"/>
      <c r="EF1" s="822" t="s">
        <v>731</v>
      </c>
      <c r="EG1" s="822"/>
      <c r="EH1" s="797" t="s">
        <v>883</v>
      </c>
      <c r="EI1" s="797"/>
      <c r="EJ1" s="824" t="s">
        <v>816</v>
      </c>
      <c r="EK1" s="824"/>
      <c r="EL1" s="822" t="s">
        <v>936</v>
      </c>
      <c r="EM1" s="822"/>
      <c r="EN1" s="797" t="s">
        <v>922</v>
      </c>
      <c r="EO1" s="797"/>
      <c r="EP1" s="824" t="s">
        <v>816</v>
      </c>
      <c r="EQ1" s="824"/>
      <c r="ER1" s="822" t="s">
        <v>950</v>
      </c>
      <c r="ES1" s="822"/>
      <c r="ET1" s="797" t="s">
        <v>937</v>
      </c>
      <c r="EU1" s="797"/>
      <c r="EV1" s="824" t="s">
        <v>816</v>
      </c>
      <c r="EW1" s="824"/>
      <c r="EX1" s="822" t="s">
        <v>530</v>
      </c>
      <c r="EY1" s="822"/>
      <c r="EZ1" s="797" t="s">
        <v>952</v>
      </c>
      <c r="FA1" s="797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23" t="s">
        <v>779</v>
      </c>
      <c r="CU7" s="797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23" t="s">
        <v>778</v>
      </c>
      <c r="DA8" s="797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23" t="s">
        <v>778</v>
      </c>
      <c r="DG8" s="797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23" t="s">
        <v>778</v>
      </c>
      <c r="DM8" s="797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23" t="s">
        <v>778</v>
      </c>
      <c r="DS8" s="797"/>
      <c r="DT8" s="142" t="s">
        <v>783</v>
      </c>
      <c r="DU8" s="142">
        <f>SUM(DU13:DU17)</f>
        <v>32</v>
      </c>
      <c r="DV8" s="63"/>
      <c r="DW8" s="63"/>
      <c r="DX8" s="823" t="s">
        <v>778</v>
      </c>
      <c r="DY8" s="79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23" t="s">
        <v>928</v>
      </c>
      <c r="EK8" s="79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23" t="s">
        <v>928</v>
      </c>
      <c r="EQ9" s="797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23" t="s">
        <v>928</v>
      </c>
      <c r="EW9" s="797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23" t="s">
        <v>928</v>
      </c>
      <c r="EE11" s="797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23" t="s">
        <v>778</v>
      </c>
      <c r="CU12" s="79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88" t="s">
        <v>782</v>
      </c>
      <c r="CU19" s="788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10" t="s">
        <v>858</v>
      </c>
      <c r="FA21" s="810"/>
      <c r="FC21" s="238">
        <f>FC20-FC22</f>
        <v>113457.16899999997</v>
      </c>
      <c r="FD21" s="230"/>
      <c r="FE21" s="821" t="s">
        <v>1546</v>
      </c>
      <c r="FF21" s="821"/>
      <c r="FG21" s="821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10" t="s">
        <v>871</v>
      </c>
      <c r="FA22" s="810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10" t="s">
        <v>1000</v>
      </c>
      <c r="FA23" s="810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10" t="s">
        <v>1076</v>
      </c>
      <c r="FA24" s="810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25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26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2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26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Y78"/>
  <sheetViews>
    <sheetView tabSelected="1" topLeftCell="JM1" zoomScale="81" zoomScaleNormal="100" workbookViewId="0">
      <selection activeCell="JS15" sqref="JS15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8" customWidth="1"/>
    <col min="261" max="261" width="9.14062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8.140625" style="618" customWidth="1"/>
    <col min="266" max="266" width="14.5703125" style="665" customWidth="1"/>
    <col min="267" max="267" width="10.140625" style="665" bestFit="1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9" style="665" customWidth="1"/>
    <col min="272" max="272" width="14.5703125" style="715" customWidth="1"/>
    <col min="273" max="273" width="11.42578125" style="715" customWidth="1"/>
    <col min="274" max="274" width="16.85546875" style="715" customWidth="1"/>
    <col min="275" max="275" width="11.85546875" style="715" bestFit="1" customWidth="1"/>
    <col min="276" max="276" width="17.7109375" style="715" customWidth="1"/>
    <col min="277" max="277" width="9.42578125" style="715" customWidth="1"/>
    <col min="278" max="278" width="17.42578125" style="761" customWidth="1"/>
    <col min="279" max="279" width="10.140625" style="761" bestFit="1" customWidth="1"/>
    <col min="280" max="280" width="16.85546875" style="761" customWidth="1"/>
    <col min="281" max="281" width="11.85546875" style="761" bestFit="1" customWidth="1"/>
    <col min="282" max="282" width="17.7109375" style="761" customWidth="1"/>
    <col min="283" max="283" width="9.140625" style="761" bestFit="1" customWidth="1"/>
    <col min="284" max="284" width="7.140625" style="761" customWidth="1"/>
    <col min="285" max="285" width="7.5703125" style="582" bestFit="1" customWidth="1"/>
  </cols>
  <sheetData>
    <row r="1" spans="1:285" s="142" customFormat="1" x14ac:dyDescent="0.2">
      <c r="A1" s="837" t="s">
        <v>1209</v>
      </c>
      <c r="B1" s="837"/>
      <c r="C1" s="805" t="s">
        <v>292</v>
      </c>
      <c r="D1" s="805"/>
      <c r="E1" s="803" t="s">
        <v>1010</v>
      </c>
      <c r="F1" s="803"/>
      <c r="G1" s="837" t="s">
        <v>1210</v>
      </c>
      <c r="H1" s="837"/>
      <c r="I1" s="805" t="s">
        <v>292</v>
      </c>
      <c r="J1" s="805"/>
      <c r="K1" s="803" t="s">
        <v>1011</v>
      </c>
      <c r="L1" s="803"/>
      <c r="M1" s="837" t="s">
        <v>1211</v>
      </c>
      <c r="N1" s="837"/>
      <c r="O1" s="805" t="s">
        <v>292</v>
      </c>
      <c r="P1" s="805"/>
      <c r="Q1" s="803" t="s">
        <v>1057</v>
      </c>
      <c r="R1" s="803"/>
      <c r="S1" s="837" t="s">
        <v>1212</v>
      </c>
      <c r="T1" s="837"/>
      <c r="U1" s="805" t="s">
        <v>292</v>
      </c>
      <c r="V1" s="805"/>
      <c r="W1" s="803" t="s">
        <v>627</v>
      </c>
      <c r="X1" s="803"/>
      <c r="Y1" s="837" t="s">
        <v>1213</v>
      </c>
      <c r="Z1" s="837"/>
      <c r="AA1" s="805" t="s">
        <v>292</v>
      </c>
      <c r="AB1" s="805"/>
      <c r="AC1" s="803" t="s">
        <v>1084</v>
      </c>
      <c r="AD1" s="803"/>
      <c r="AE1" s="837" t="s">
        <v>1214</v>
      </c>
      <c r="AF1" s="837"/>
      <c r="AG1" s="805" t="s">
        <v>292</v>
      </c>
      <c r="AH1" s="805"/>
      <c r="AI1" s="803" t="s">
        <v>1134</v>
      </c>
      <c r="AJ1" s="803"/>
      <c r="AK1" s="837" t="s">
        <v>1217</v>
      </c>
      <c r="AL1" s="837"/>
      <c r="AM1" s="805" t="s">
        <v>1132</v>
      </c>
      <c r="AN1" s="805"/>
      <c r="AO1" s="803" t="s">
        <v>1133</v>
      </c>
      <c r="AP1" s="803"/>
      <c r="AQ1" s="837" t="s">
        <v>1218</v>
      </c>
      <c r="AR1" s="837"/>
      <c r="AS1" s="805" t="s">
        <v>1132</v>
      </c>
      <c r="AT1" s="805"/>
      <c r="AU1" s="803" t="s">
        <v>1178</v>
      </c>
      <c r="AV1" s="803"/>
      <c r="AW1" s="837" t="s">
        <v>1215</v>
      </c>
      <c r="AX1" s="837"/>
      <c r="AY1" s="803" t="s">
        <v>1241</v>
      </c>
      <c r="AZ1" s="803"/>
      <c r="BA1" s="837" t="s">
        <v>1215</v>
      </c>
      <c r="BB1" s="837"/>
      <c r="BC1" s="805" t="s">
        <v>816</v>
      </c>
      <c r="BD1" s="805"/>
      <c r="BE1" s="803" t="s">
        <v>1208</v>
      </c>
      <c r="BF1" s="803"/>
      <c r="BG1" s="837" t="s">
        <v>1216</v>
      </c>
      <c r="BH1" s="837"/>
      <c r="BI1" s="805" t="s">
        <v>816</v>
      </c>
      <c r="BJ1" s="805"/>
      <c r="BK1" s="803" t="s">
        <v>1208</v>
      </c>
      <c r="BL1" s="803"/>
      <c r="BM1" s="837" t="s">
        <v>1226</v>
      </c>
      <c r="BN1" s="837"/>
      <c r="BO1" s="805" t="s">
        <v>816</v>
      </c>
      <c r="BP1" s="805"/>
      <c r="BQ1" s="803" t="s">
        <v>1244</v>
      </c>
      <c r="BR1" s="803"/>
      <c r="BS1" s="837" t="s">
        <v>1243</v>
      </c>
      <c r="BT1" s="837"/>
      <c r="BU1" s="805" t="s">
        <v>816</v>
      </c>
      <c r="BV1" s="805"/>
      <c r="BW1" s="803" t="s">
        <v>1248</v>
      </c>
      <c r="BX1" s="803"/>
      <c r="BY1" s="837" t="s">
        <v>1270</v>
      </c>
      <c r="BZ1" s="837"/>
      <c r="CA1" s="805" t="s">
        <v>816</v>
      </c>
      <c r="CB1" s="805"/>
      <c r="CC1" s="803" t="s">
        <v>1244</v>
      </c>
      <c r="CD1" s="803"/>
      <c r="CE1" s="837" t="s">
        <v>1291</v>
      </c>
      <c r="CF1" s="837"/>
      <c r="CG1" s="805" t="s">
        <v>816</v>
      </c>
      <c r="CH1" s="805"/>
      <c r="CI1" s="803" t="s">
        <v>1248</v>
      </c>
      <c r="CJ1" s="803"/>
      <c r="CK1" s="837" t="s">
        <v>1307</v>
      </c>
      <c r="CL1" s="837"/>
      <c r="CM1" s="805" t="s">
        <v>816</v>
      </c>
      <c r="CN1" s="805"/>
      <c r="CO1" s="803" t="s">
        <v>1244</v>
      </c>
      <c r="CP1" s="803"/>
      <c r="CQ1" s="837" t="s">
        <v>1335</v>
      </c>
      <c r="CR1" s="837"/>
      <c r="CS1" s="828" t="s">
        <v>816</v>
      </c>
      <c r="CT1" s="828"/>
      <c r="CU1" s="803" t="s">
        <v>1391</v>
      </c>
      <c r="CV1" s="803"/>
      <c r="CW1" s="837" t="s">
        <v>1374</v>
      </c>
      <c r="CX1" s="837"/>
      <c r="CY1" s="828" t="s">
        <v>816</v>
      </c>
      <c r="CZ1" s="828"/>
      <c r="DA1" s="803" t="s">
        <v>1597</v>
      </c>
      <c r="DB1" s="803"/>
      <c r="DC1" s="837" t="s">
        <v>1394</v>
      </c>
      <c r="DD1" s="837"/>
      <c r="DE1" s="828" t="s">
        <v>816</v>
      </c>
      <c r="DF1" s="828"/>
      <c r="DG1" s="803" t="s">
        <v>1491</v>
      </c>
      <c r="DH1" s="803"/>
      <c r="DI1" s="837" t="s">
        <v>1594</v>
      </c>
      <c r="DJ1" s="837"/>
      <c r="DK1" s="828" t="s">
        <v>816</v>
      </c>
      <c r="DL1" s="828"/>
      <c r="DM1" s="803" t="s">
        <v>1391</v>
      </c>
      <c r="DN1" s="803"/>
      <c r="DO1" s="837" t="s">
        <v>1595</v>
      </c>
      <c r="DP1" s="837"/>
      <c r="DQ1" s="828" t="s">
        <v>816</v>
      </c>
      <c r="DR1" s="828"/>
      <c r="DS1" s="803" t="s">
        <v>1590</v>
      </c>
      <c r="DT1" s="803"/>
      <c r="DU1" s="837" t="s">
        <v>1596</v>
      </c>
      <c r="DV1" s="837"/>
      <c r="DW1" s="828" t="s">
        <v>816</v>
      </c>
      <c r="DX1" s="828"/>
      <c r="DY1" s="803" t="s">
        <v>1616</v>
      </c>
      <c r="DZ1" s="803"/>
      <c r="EA1" s="827" t="s">
        <v>1611</v>
      </c>
      <c r="EB1" s="827"/>
      <c r="EC1" s="828" t="s">
        <v>816</v>
      </c>
      <c r="ED1" s="828"/>
      <c r="EE1" s="803" t="s">
        <v>1590</v>
      </c>
      <c r="EF1" s="803"/>
      <c r="EG1" s="361"/>
      <c r="EH1" s="827" t="s">
        <v>1641</v>
      </c>
      <c r="EI1" s="827"/>
      <c r="EJ1" s="828" t="s">
        <v>816</v>
      </c>
      <c r="EK1" s="828"/>
      <c r="EL1" s="803" t="s">
        <v>1675</v>
      </c>
      <c r="EM1" s="803"/>
      <c r="EN1" s="827" t="s">
        <v>1666</v>
      </c>
      <c r="EO1" s="827"/>
      <c r="EP1" s="828" t="s">
        <v>816</v>
      </c>
      <c r="EQ1" s="828"/>
      <c r="ER1" s="803" t="s">
        <v>1715</v>
      </c>
      <c r="ES1" s="803"/>
      <c r="ET1" s="827" t="s">
        <v>1708</v>
      </c>
      <c r="EU1" s="827"/>
      <c r="EV1" s="828" t="s">
        <v>816</v>
      </c>
      <c r="EW1" s="828"/>
      <c r="EX1" s="803" t="s">
        <v>1616</v>
      </c>
      <c r="EY1" s="803"/>
      <c r="EZ1" s="827" t="s">
        <v>1743</v>
      </c>
      <c r="FA1" s="827"/>
      <c r="FB1" s="828" t="s">
        <v>816</v>
      </c>
      <c r="FC1" s="828"/>
      <c r="FD1" s="803" t="s">
        <v>1597</v>
      </c>
      <c r="FE1" s="803"/>
      <c r="FF1" s="827" t="s">
        <v>1782</v>
      </c>
      <c r="FG1" s="827"/>
      <c r="FH1" s="828" t="s">
        <v>816</v>
      </c>
      <c r="FI1" s="828"/>
      <c r="FJ1" s="803" t="s">
        <v>1391</v>
      </c>
      <c r="FK1" s="803"/>
      <c r="FL1" s="827" t="s">
        <v>1817</v>
      </c>
      <c r="FM1" s="827"/>
      <c r="FN1" s="828" t="s">
        <v>816</v>
      </c>
      <c r="FO1" s="828"/>
      <c r="FP1" s="803" t="s">
        <v>1864</v>
      </c>
      <c r="FQ1" s="803"/>
      <c r="FR1" s="827" t="s">
        <v>1853</v>
      </c>
      <c r="FS1" s="827"/>
      <c r="FT1" s="828" t="s">
        <v>816</v>
      </c>
      <c r="FU1" s="828"/>
      <c r="FV1" s="803" t="s">
        <v>1864</v>
      </c>
      <c r="FW1" s="803"/>
      <c r="FX1" s="827" t="s">
        <v>1997</v>
      </c>
      <c r="FY1" s="827"/>
      <c r="FZ1" s="828" t="s">
        <v>816</v>
      </c>
      <c r="GA1" s="828"/>
      <c r="GB1" s="803" t="s">
        <v>1616</v>
      </c>
      <c r="GC1" s="803"/>
      <c r="GD1" s="827" t="s">
        <v>1998</v>
      </c>
      <c r="GE1" s="827"/>
      <c r="GF1" s="828" t="s">
        <v>816</v>
      </c>
      <c r="GG1" s="828"/>
      <c r="GH1" s="803" t="s">
        <v>1590</v>
      </c>
      <c r="GI1" s="803"/>
      <c r="GJ1" s="827" t="s">
        <v>2007</v>
      </c>
      <c r="GK1" s="827"/>
      <c r="GL1" s="828" t="s">
        <v>816</v>
      </c>
      <c r="GM1" s="828"/>
      <c r="GN1" s="803" t="s">
        <v>1590</v>
      </c>
      <c r="GO1" s="803"/>
      <c r="GP1" s="827" t="s">
        <v>2049</v>
      </c>
      <c r="GQ1" s="827"/>
      <c r="GR1" s="828" t="s">
        <v>816</v>
      </c>
      <c r="GS1" s="828"/>
      <c r="GT1" s="803" t="s">
        <v>1675</v>
      </c>
      <c r="GU1" s="803"/>
      <c r="GV1" s="827" t="s">
        <v>2083</v>
      </c>
      <c r="GW1" s="827"/>
      <c r="GX1" s="828" t="s">
        <v>816</v>
      </c>
      <c r="GY1" s="828"/>
      <c r="GZ1" s="803" t="s">
        <v>2122</v>
      </c>
      <c r="HA1" s="803"/>
      <c r="HB1" s="827" t="s">
        <v>2142</v>
      </c>
      <c r="HC1" s="827"/>
      <c r="HD1" s="828" t="s">
        <v>816</v>
      </c>
      <c r="HE1" s="828"/>
      <c r="HF1" s="803" t="s">
        <v>1715</v>
      </c>
      <c r="HG1" s="803"/>
      <c r="HH1" s="827" t="s">
        <v>2155</v>
      </c>
      <c r="HI1" s="827"/>
      <c r="HJ1" s="828" t="s">
        <v>816</v>
      </c>
      <c r="HK1" s="828"/>
      <c r="HL1" s="803" t="s">
        <v>1391</v>
      </c>
      <c r="HM1" s="803"/>
      <c r="HN1" s="827" t="s">
        <v>2201</v>
      </c>
      <c r="HO1" s="827"/>
      <c r="HP1" s="828" t="s">
        <v>816</v>
      </c>
      <c r="HQ1" s="828"/>
      <c r="HR1" s="803" t="s">
        <v>1391</v>
      </c>
      <c r="HS1" s="803"/>
      <c r="HT1" s="827" t="s">
        <v>2243</v>
      </c>
      <c r="HU1" s="827"/>
      <c r="HV1" s="828" t="s">
        <v>816</v>
      </c>
      <c r="HW1" s="828"/>
      <c r="HX1" s="803" t="s">
        <v>1616</v>
      </c>
      <c r="HY1" s="803"/>
      <c r="HZ1" s="827" t="s">
        <v>2300</v>
      </c>
      <c r="IA1" s="827"/>
      <c r="IB1" s="828" t="s">
        <v>816</v>
      </c>
      <c r="IC1" s="828"/>
      <c r="ID1" s="803" t="s">
        <v>1715</v>
      </c>
      <c r="IE1" s="803"/>
      <c r="IF1" s="827" t="s">
        <v>2367</v>
      </c>
      <c r="IG1" s="827"/>
      <c r="IH1" s="828" t="s">
        <v>816</v>
      </c>
      <c r="II1" s="828"/>
      <c r="IJ1" s="803" t="s">
        <v>1590</v>
      </c>
      <c r="IK1" s="803"/>
      <c r="IL1" s="827" t="s">
        <v>2443</v>
      </c>
      <c r="IM1" s="827"/>
      <c r="IN1" s="828" t="s">
        <v>816</v>
      </c>
      <c r="IO1" s="828"/>
      <c r="IP1" s="803" t="s">
        <v>1616</v>
      </c>
      <c r="IQ1" s="803"/>
      <c r="IR1" s="827" t="s">
        <v>2661</v>
      </c>
      <c r="IS1" s="827"/>
      <c r="IT1" s="828" t="s">
        <v>816</v>
      </c>
      <c r="IU1" s="828"/>
      <c r="IV1" s="803" t="s">
        <v>1748</v>
      </c>
      <c r="IW1" s="803"/>
      <c r="IX1" s="827" t="s">
        <v>2660</v>
      </c>
      <c r="IY1" s="827"/>
      <c r="IZ1" s="828" t="s">
        <v>816</v>
      </c>
      <c r="JA1" s="828"/>
      <c r="JB1" s="803" t="s">
        <v>1864</v>
      </c>
      <c r="JC1" s="803"/>
      <c r="JD1" s="827" t="s">
        <v>2708</v>
      </c>
      <c r="JE1" s="827"/>
      <c r="JF1" s="828" t="s">
        <v>816</v>
      </c>
      <c r="JG1" s="828"/>
      <c r="JH1" s="803" t="s">
        <v>1748</v>
      </c>
      <c r="JI1" s="803"/>
      <c r="JJ1" s="827" t="s">
        <v>2772</v>
      </c>
      <c r="JK1" s="827"/>
      <c r="JL1" s="717" t="s">
        <v>816</v>
      </c>
      <c r="JM1" s="717"/>
      <c r="JN1" s="714" t="s">
        <v>1748</v>
      </c>
      <c r="JO1" s="714"/>
      <c r="JP1" s="716" t="s">
        <v>2836</v>
      </c>
      <c r="JQ1" s="716"/>
      <c r="JR1" s="763" t="s">
        <v>816</v>
      </c>
      <c r="JS1" s="763"/>
      <c r="JT1" s="760" t="s">
        <v>1748</v>
      </c>
      <c r="JU1" s="760"/>
      <c r="JV1" s="762" t="s">
        <v>2837</v>
      </c>
      <c r="JW1" s="762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333929.12000000017</v>
      </c>
      <c r="HZ2" t="s">
        <v>2185</v>
      </c>
      <c r="IA2" s="2">
        <f>IA3-($GQ$39-$HG$38-$HG$37-$HM$36)</f>
        <v>400434.1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361124.18999999994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363139.43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365986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268">
        <f>SUM(IY5:IY25)</f>
        <v>396571.26300000004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8" t="s">
        <v>1911</v>
      </c>
      <c r="JE2" s="268">
        <f>SUM(JE5:JE27)</f>
        <v>415070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265884.09999999998</v>
      </c>
      <c r="JL2" s="715" t="s">
        <v>295</v>
      </c>
      <c r="JM2" s="492">
        <f>SUM(JM4:JM23)</f>
        <v>16944.661</v>
      </c>
      <c r="JN2" s="334" t="s">
        <v>296</v>
      </c>
      <c r="JO2" s="273">
        <f>JM2+JK2-JQ2</f>
        <v>126904.96100000001</v>
      </c>
      <c r="JP2" s="715" t="s">
        <v>1911</v>
      </c>
      <c r="JQ2" s="363">
        <f>SUM(JQ3:JQ33)</f>
        <v>155923.79999999999</v>
      </c>
      <c r="JR2" s="761" t="s">
        <v>295</v>
      </c>
      <c r="JS2" s="492">
        <f>SUM(JS4:JS24)</f>
        <v>22951.47</v>
      </c>
      <c r="JT2" s="334" t="s">
        <v>296</v>
      </c>
      <c r="JU2" s="273">
        <f>JS2+JQ2-JW2</f>
        <v>7708.1699999999837</v>
      </c>
      <c r="JV2" s="761" t="s">
        <v>1911</v>
      </c>
      <c r="JW2" s="363">
        <f>SUM(JW3:JW30)</f>
        <v>171167.1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404306.64999999997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-135000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-135000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-135000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772" t="s">
        <v>2849</v>
      </c>
      <c r="IY3" s="363">
        <f>IY2-IY5-(405000+2000)</f>
        <v>124571.26300000004</v>
      </c>
      <c r="IZ3" s="657"/>
      <c r="JA3" s="492"/>
      <c r="JB3" s="618" t="s">
        <v>2397</v>
      </c>
      <c r="JC3" s="273">
        <f>JC2-JA30-JA29</f>
        <v>5095.8330000000415</v>
      </c>
      <c r="JD3" s="772" t="s">
        <v>2846</v>
      </c>
      <c r="JE3" s="363">
        <f>JE2-JE5-(248000+155000+2000)</f>
        <v>145070</v>
      </c>
      <c r="JG3" s="492"/>
      <c r="JH3" s="665" t="s">
        <v>2397</v>
      </c>
      <c r="JI3" s="273">
        <f>JI2-JG29-JG28</f>
        <v>5318.7558739726428</v>
      </c>
      <c r="JJ3" s="772" t="s">
        <v>2846</v>
      </c>
      <c r="JK3" s="363">
        <f>JK2-JK5-248000</f>
        <v>152884.09999999998</v>
      </c>
      <c r="JM3" s="492"/>
      <c r="JN3" s="715" t="s">
        <v>2397</v>
      </c>
      <c r="JO3" s="273">
        <f>JO2-JM26-JM25</f>
        <v>7527.189000000023</v>
      </c>
      <c r="JP3" s="715" t="s">
        <v>2345</v>
      </c>
      <c r="JQ3" s="268">
        <f>$IA$6</f>
        <v>-135000</v>
      </c>
      <c r="JS3" s="492"/>
      <c r="JT3" s="761" t="s">
        <v>2397</v>
      </c>
      <c r="JU3" s="273">
        <f>JU2-JS27-JS26</f>
        <v>2858.309999999984</v>
      </c>
      <c r="JV3" s="761" t="s">
        <v>2345</v>
      </c>
      <c r="JW3" s="268">
        <f>$IA$6</f>
        <v>-135000</v>
      </c>
      <c r="JX3" s="609">
        <v>45076</v>
      </c>
    </row>
    <row r="4" spans="1:285" ht="12.75" customHeight="1" thickBot="1" x14ac:dyDescent="0.25">
      <c r="A4" s="787" t="s">
        <v>991</v>
      </c>
      <c r="B4" s="787"/>
      <c r="E4" s="170" t="s">
        <v>233</v>
      </c>
      <c r="F4" s="174">
        <f>F3-F5</f>
        <v>17</v>
      </c>
      <c r="G4" s="787" t="s">
        <v>991</v>
      </c>
      <c r="H4" s="787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2664</v>
      </c>
      <c r="IU4" s="541">
        <v>-1437.02</v>
      </c>
      <c r="IV4" s="672" t="s">
        <v>2449</v>
      </c>
      <c r="IW4" s="273">
        <f>IW3-IU25</f>
        <v>2897.9403333332971</v>
      </c>
      <c r="IX4" s="772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3741.5130000000418</v>
      </c>
      <c r="JD4" s="772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72"/>
      <c r="JK4" s="268"/>
      <c r="JL4" s="715" t="s">
        <v>633</v>
      </c>
      <c r="JM4" s="541">
        <v>17271.3</v>
      </c>
      <c r="JN4" s="715" t="s">
        <v>1203</v>
      </c>
      <c r="JO4" s="286">
        <f>JO2-JO5</f>
        <v>-0.21999999998661224</v>
      </c>
      <c r="JP4" s="715" t="s">
        <v>2801</v>
      </c>
      <c r="JQ4" s="268">
        <f>-71000-140000</f>
        <v>-211000</v>
      </c>
      <c r="JR4" s="761" t="s">
        <v>633</v>
      </c>
      <c r="JS4" s="541">
        <v>17271.3</v>
      </c>
      <c r="JT4" s="761" t="s">
        <v>1203</v>
      </c>
      <c r="JU4" s="286">
        <f>JU2-JU5</f>
        <v>-0.4000000000169166</v>
      </c>
      <c r="JV4" s="761" t="s">
        <v>2801</v>
      </c>
      <c r="JW4" s="268">
        <f>-71000-140000</f>
        <v>-211000</v>
      </c>
      <c r="JX4" s="609"/>
    </row>
    <row r="5" spans="1:285" x14ac:dyDescent="0.2">
      <c r="A5" s="787"/>
      <c r="B5" s="787"/>
      <c r="E5" s="170" t="s">
        <v>352</v>
      </c>
      <c r="F5" s="174">
        <f>SUM(F15:F57)</f>
        <v>12750</v>
      </c>
      <c r="G5" s="787"/>
      <c r="H5" s="787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2604</v>
      </c>
      <c r="IU5" s="492">
        <f>-11-12-13</f>
        <v>-36</v>
      </c>
      <c r="IV5" s="572" t="s">
        <v>1203</v>
      </c>
      <c r="IW5" s="286">
        <f>IW2-IW6</f>
        <v>0.48699999996097176</v>
      </c>
      <c r="IX5" s="572" t="s">
        <v>2345</v>
      </c>
      <c r="IY5" s="268">
        <f>$IA$6</f>
        <v>-135000</v>
      </c>
      <c r="IZ5" s="618" t="s">
        <v>2664</v>
      </c>
      <c r="JA5" s="541">
        <v>-71</v>
      </c>
      <c r="JB5" s="618" t="s">
        <v>1203</v>
      </c>
      <c r="JC5" s="286">
        <f>JC2-JC6</f>
        <v>-3.9079999999557913</v>
      </c>
      <c r="JD5" s="618" t="s">
        <v>2345</v>
      </c>
      <c r="JE5" s="268">
        <f>$IA$6</f>
        <v>-135000</v>
      </c>
      <c r="JF5" s="665" t="s">
        <v>2664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68">
        <f>$IA$6</f>
        <v>-135000</v>
      </c>
      <c r="JL5" s="715" t="s">
        <v>2604</v>
      </c>
      <c r="JM5" s="492">
        <v>-1400</v>
      </c>
      <c r="JN5" s="715" t="s">
        <v>352</v>
      </c>
      <c r="JO5" s="273">
        <f>SUM(JO6:JO50)</f>
        <v>126905.181</v>
      </c>
      <c r="JP5" s="721" t="s">
        <v>2679</v>
      </c>
      <c r="JQ5" s="442">
        <v>-80000</v>
      </c>
      <c r="JR5" s="761" t="s">
        <v>2664</v>
      </c>
      <c r="JS5" s="541" t="s">
        <v>2860</v>
      </c>
      <c r="JT5" s="761" t="s">
        <v>352</v>
      </c>
      <c r="JU5" s="273">
        <f>SUM(JU6:JU47)</f>
        <v>7708.5700000000006</v>
      </c>
      <c r="JV5" s="767" t="s">
        <v>2679</v>
      </c>
      <c r="JW5" s="442">
        <v>-77000</v>
      </c>
      <c r="JX5" s="609">
        <v>45076</v>
      </c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-135000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2680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2608</v>
      </c>
      <c r="IY6" s="613">
        <v>0.13300000000000001</v>
      </c>
      <c r="IZ6" s="618" t="s">
        <v>2604</v>
      </c>
      <c r="JA6" s="492">
        <f>-1300</f>
        <v>-1300</v>
      </c>
      <c r="JB6" s="618" t="s">
        <v>352</v>
      </c>
      <c r="JC6" s="273">
        <f>SUM(JC7:JC48)</f>
        <v>11142.751999999997</v>
      </c>
      <c r="JD6" s="737" t="s">
        <v>2801</v>
      </c>
      <c r="JE6" s="268">
        <f>-140000-71000</f>
        <v>-211000</v>
      </c>
      <c r="JF6" s="665" t="s">
        <v>2604</v>
      </c>
      <c r="JG6" s="492">
        <v>-1401</v>
      </c>
      <c r="JH6" s="192" t="s">
        <v>2736</v>
      </c>
      <c r="JI6" s="582">
        <v>2000.06</v>
      </c>
      <c r="JJ6" s="737" t="s">
        <v>2801</v>
      </c>
      <c r="JK6" s="268">
        <v>-71000</v>
      </c>
      <c r="JM6" s="492"/>
      <c r="JN6" s="192" t="s">
        <v>2791</v>
      </c>
      <c r="JO6" s="582">
        <v>1000.07</v>
      </c>
      <c r="JP6" s="722" t="s">
        <v>2678</v>
      </c>
      <c r="JQ6" s="268">
        <v>-4000</v>
      </c>
      <c r="JS6" s="492"/>
      <c r="JT6" s="192" t="s">
        <v>2872</v>
      </c>
      <c r="JU6" s="61">
        <v>2000</v>
      </c>
      <c r="JV6" s="768" t="s">
        <v>2678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333928.51000000007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2597</v>
      </c>
      <c r="IU7" s="492">
        <v>100</v>
      </c>
      <c r="IV7" s="351" t="s">
        <v>2459</v>
      </c>
      <c r="IW7" s="61">
        <v>11</v>
      </c>
      <c r="IX7" s="661" t="s">
        <v>2679</v>
      </c>
      <c r="IY7" s="272">
        <v>-75000</v>
      </c>
      <c r="IZ7" s="657" t="s">
        <v>2680</v>
      </c>
      <c r="JA7" s="492">
        <v>-30</v>
      </c>
      <c r="JB7" s="192" t="s">
        <v>1002</v>
      </c>
      <c r="JC7" s="61">
        <v>1900.03</v>
      </c>
      <c r="JD7" s="621" t="s">
        <v>2679</v>
      </c>
      <c r="JE7" s="272">
        <v>-75000</v>
      </c>
      <c r="JG7" s="492"/>
      <c r="JH7" s="192" t="s">
        <v>1002</v>
      </c>
      <c r="JI7" s="61">
        <v>1900.04</v>
      </c>
      <c r="JJ7" s="668" t="s">
        <v>2679</v>
      </c>
      <c r="JK7" s="272">
        <v>-75000</v>
      </c>
      <c r="JL7" s="715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61" t="s">
        <v>2528</v>
      </c>
      <c r="JS7" s="492"/>
      <c r="JT7" s="192" t="s">
        <v>1002</v>
      </c>
      <c r="JU7" s="582">
        <v>1900.06</v>
      </c>
      <c r="JV7" s="761" t="s">
        <v>2818</v>
      </c>
      <c r="JW7" s="268">
        <v>585007</v>
      </c>
      <c r="JX7" s="608">
        <v>45077</v>
      </c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2678</v>
      </c>
      <c r="IY8" s="268">
        <v>-4000</v>
      </c>
      <c r="IZ8" s="671"/>
      <c r="JA8" s="492"/>
      <c r="JB8" s="389" t="s">
        <v>2688</v>
      </c>
      <c r="JC8" s="61">
        <v>300.27999999999997</v>
      </c>
      <c r="JD8" s="622" t="s">
        <v>2678</v>
      </c>
      <c r="JE8" s="268">
        <v>-4000</v>
      </c>
      <c r="JF8" s="665" t="s">
        <v>2528</v>
      </c>
      <c r="JG8" s="492"/>
      <c r="JH8" s="389" t="s">
        <v>2754</v>
      </c>
      <c r="JI8" s="61">
        <v>327.74</v>
      </c>
      <c r="JJ8" s="669" t="s">
        <v>2678</v>
      </c>
      <c r="JK8" s="268">
        <v>-4000</v>
      </c>
      <c r="JL8" s="611" t="s">
        <v>2778</v>
      </c>
      <c r="JM8" s="715">
        <v>2.5</v>
      </c>
      <c r="JN8" s="389" t="s">
        <v>2821</v>
      </c>
      <c r="JO8" s="61">
        <v>48.69</v>
      </c>
      <c r="JP8" s="715" t="s">
        <v>2818</v>
      </c>
      <c r="JQ8" s="268">
        <v>515008</v>
      </c>
      <c r="JR8" s="611" t="s">
        <v>2865</v>
      </c>
      <c r="JS8" s="761">
        <v>2.33</v>
      </c>
      <c r="JT8" s="389" t="s">
        <v>2857</v>
      </c>
      <c r="JU8" s="61"/>
      <c r="JV8" s="320" t="s">
        <v>2467</v>
      </c>
      <c r="JW8" s="359">
        <v>31</v>
      </c>
      <c r="JX8" s="608"/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4" t="s">
        <v>2699</v>
      </c>
      <c r="JA9" s="492">
        <f>544.23-533.02</f>
        <v>11.210000000000036</v>
      </c>
      <c r="JB9" s="389" t="s">
        <v>2713</v>
      </c>
      <c r="JC9" s="61">
        <v>600</v>
      </c>
      <c r="JD9" s="254" t="s">
        <v>2606</v>
      </c>
      <c r="JE9" s="2">
        <f>100*(120+1000+330+310)</f>
        <v>176000</v>
      </c>
      <c r="JF9" s="611" t="s">
        <v>2774</v>
      </c>
      <c r="JH9" s="346" t="s">
        <v>2762</v>
      </c>
      <c r="JI9" s="61">
        <v>1954.8</v>
      </c>
      <c r="JJ9" s="254" t="s">
        <v>2606</v>
      </c>
      <c r="JK9" s="2">
        <f>100*(120+1000+330+310)</f>
        <v>176000</v>
      </c>
      <c r="JL9" s="715" t="s">
        <v>2824</v>
      </c>
      <c r="JM9" s="715">
        <v>4.09</v>
      </c>
      <c r="JN9" s="389" t="s">
        <v>2780</v>
      </c>
      <c r="JO9" s="61">
        <v>127.14</v>
      </c>
      <c r="JP9" s="320" t="s">
        <v>2467</v>
      </c>
      <c r="JQ9" s="359">
        <v>31</v>
      </c>
      <c r="JT9" s="346" t="s">
        <v>2858</v>
      </c>
      <c r="JU9" s="61"/>
      <c r="JV9" s="767" t="s">
        <v>1630</v>
      </c>
      <c r="JW9" s="442">
        <v>-1475</v>
      </c>
      <c r="JX9" s="608">
        <v>45071</v>
      </c>
      <c r="JY9" s="583"/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2528</v>
      </c>
      <c r="IU10" s="492"/>
      <c r="IV10" s="389" t="s">
        <v>2674</v>
      </c>
      <c r="IW10" s="532">
        <v>2000</v>
      </c>
      <c r="IX10" s="572" t="s">
        <v>2424</v>
      </c>
      <c r="IY10" s="268">
        <v>360000</v>
      </c>
      <c r="JA10" s="492"/>
      <c r="JB10" s="389" t="s">
        <v>2714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5" t="s">
        <v>2412</v>
      </c>
      <c r="JM10" s="514"/>
      <c r="JN10" s="346" t="s">
        <v>2811</v>
      </c>
      <c r="JO10" s="61">
        <f>259.2+410.4</f>
        <v>669.59999999999991</v>
      </c>
      <c r="JP10" s="721" t="s">
        <v>1630</v>
      </c>
      <c r="JQ10" s="442">
        <v>-1063</v>
      </c>
      <c r="JR10" s="761" t="s">
        <v>2412</v>
      </c>
      <c r="JS10" s="514"/>
      <c r="JT10" s="245" t="s">
        <v>2777</v>
      </c>
      <c r="JU10" s="492">
        <v>1371.77</v>
      </c>
      <c r="JV10" s="765" t="s">
        <v>2802</v>
      </c>
      <c r="JW10" s="268">
        <v>2600</v>
      </c>
      <c r="JX10" s="608"/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5">
        <v>10</v>
      </c>
      <c r="IP11" s="346" t="s">
        <v>2812</v>
      </c>
      <c r="IQ11" s="61">
        <f>406.6+487.92</f>
        <v>894.52</v>
      </c>
      <c r="IR11" s="66" t="s">
        <v>1505</v>
      </c>
      <c r="IS11" s="268">
        <v>364</v>
      </c>
      <c r="IT11" s="572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3">
        <v>-49.87</v>
      </c>
      <c r="IZ11" s="618" t="s">
        <v>2528</v>
      </c>
      <c r="JA11" s="492"/>
      <c r="JB11" s="346" t="s">
        <v>2811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2689</v>
      </c>
      <c r="JI11" s="61">
        <f>259.2+410.4</f>
        <v>669.59999999999991</v>
      </c>
      <c r="JJ11" s="320" t="s">
        <v>2467</v>
      </c>
      <c r="JK11" s="583">
        <v>-54</v>
      </c>
      <c r="JL11" s="715" t="s">
        <v>2164</v>
      </c>
      <c r="JM11" s="729">
        <v>52.000999999999998</v>
      </c>
      <c r="JN11" s="245" t="s">
        <v>2777</v>
      </c>
      <c r="JO11" s="492">
        <v>1396.9</v>
      </c>
      <c r="JP11" s="719" t="s">
        <v>2802</v>
      </c>
      <c r="JQ11" s="268">
        <v>2600</v>
      </c>
      <c r="JR11" s="761" t="s">
        <v>2164</v>
      </c>
      <c r="JS11" s="729"/>
      <c r="JT11" s="245" t="s">
        <v>2832</v>
      </c>
      <c r="JU11" s="492">
        <v>1478.09</v>
      </c>
      <c r="JV11" s="768" t="s">
        <v>2803</v>
      </c>
      <c r="JW11" s="268">
        <v>907</v>
      </c>
      <c r="JX11" s="608">
        <v>45077</v>
      </c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2622</v>
      </c>
      <c r="IU12" s="572">
        <v>25.58</v>
      </c>
      <c r="IV12" s="389" t="s">
        <v>2570</v>
      </c>
      <c r="IW12" s="532">
        <v>378.81</v>
      </c>
      <c r="IX12" s="576" t="s">
        <v>1630</v>
      </c>
      <c r="IY12" s="582">
        <v>-997</v>
      </c>
      <c r="IZ12" s="618" t="s">
        <v>2663</v>
      </c>
      <c r="JA12" s="618">
        <v>30</v>
      </c>
      <c r="JB12" s="346" t="s">
        <v>2624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2755</v>
      </c>
      <c r="JI12" s="724">
        <f>2.88%/365*(20*140000+21*140220)</f>
        <v>453.27412602739724</v>
      </c>
      <c r="JJ12" s="668" t="s">
        <v>1630</v>
      </c>
      <c r="JK12" s="321">
        <v>-540</v>
      </c>
      <c r="JL12" s="715" t="s">
        <v>1799</v>
      </c>
      <c r="JM12" s="61">
        <v>13.11</v>
      </c>
      <c r="JN12" s="388" t="s">
        <v>2820</v>
      </c>
      <c r="JO12" s="492">
        <v>110000</v>
      </c>
      <c r="JP12" s="722" t="s">
        <v>2803</v>
      </c>
      <c r="JQ12" s="268">
        <v>682</v>
      </c>
      <c r="JR12" s="9" t="s">
        <v>2684</v>
      </c>
      <c r="JS12" s="730"/>
      <c r="JT12" s="245" t="s">
        <v>2620</v>
      </c>
      <c r="JU12" s="52"/>
      <c r="JV12" s="768" t="s">
        <v>2804</v>
      </c>
      <c r="JW12" s="268">
        <v>1739</v>
      </c>
      <c r="JX12" s="608">
        <v>45077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4" t="s">
        <v>1838</v>
      </c>
      <c r="IY13" s="496">
        <v>2600</v>
      </c>
      <c r="JB13" s="663" t="s">
        <v>2698</v>
      </c>
      <c r="JC13" s="533">
        <f>80-40</f>
        <v>40</v>
      </c>
      <c r="JD13" s="619" t="s">
        <v>1838</v>
      </c>
      <c r="JE13" s="517">
        <v>2600</v>
      </c>
      <c r="JF13" s="665" t="s">
        <v>2796</v>
      </c>
      <c r="JG13" s="492">
        <v>22.41</v>
      </c>
      <c r="JH13" s="245" t="s">
        <v>2776</v>
      </c>
      <c r="JI13" s="724"/>
      <c r="JJ13" s="666" t="s">
        <v>1838</v>
      </c>
      <c r="JK13" s="268">
        <v>2600</v>
      </c>
      <c r="JL13" s="715" t="s">
        <v>2830</v>
      </c>
      <c r="JM13" s="730">
        <v>5.9</v>
      </c>
      <c r="JN13" s="245" t="s">
        <v>2847</v>
      </c>
      <c r="JO13" s="52">
        <f>JO14*4</f>
        <v>5080.7519999999995</v>
      </c>
      <c r="JP13" s="722" t="s">
        <v>2804</v>
      </c>
      <c r="JQ13" s="268">
        <v>895</v>
      </c>
      <c r="JR13" s="761" t="s">
        <v>1799</v>
      </c>
      <c r="JS13" s="61"/>
      <c r="JT13" s="345" t="s">
        <v>2538</v>
      </c>
      <c r="JU13" s="52"/>
      <c r="JV13" s="768" t="s">
        <v>2805</v>
      </c>
      <c r="JW13" s="268">
        <v>3200</v>
      </c>
      <c r="JX13" s="608">
        <v>45077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97" t="s">
        <v>2186</v>
      </c>
      <c r="HK14" s="797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135000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2542</v>
      </c>
      <c r="IT14" s="572" t="s">
        <v>2412</v>
      </c>
      <c r="IU14" s="514"/>
      <c r="IV14" s="245" t="s">
        <v>2620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2697</v>
      </c>
      <c r="JC14" s="647">
        <v>26.001000000000001</v>
      </c>
      <c r="JD14" s="622" t="s">
        <v>1505</v>
      </c>
      <c r="JE14" s="268">
        <v>635</v>
      </c>
      <c r="JF14" s="705" t="s">
        <v>2760</v>
      </c>
      <c r="JG14" s="492">
        <v>118.15</v>
      </c>
      <c r="JH14" s="245" t="s">
        <v>2819</v>
      </c>
      <c r="JI14" s="492">
        <v>1422.53</v>
      </c>
      <c r="JJ14" s="669" t="s">
        <v>1505</v>
      </c>
      <c r="JK14" s="268">
        <v>966</v>
      </c>
      <c r="JL14" s="715" t="s">
        <v>2705</v>
      </c>
      <c r="JM14" s="61">
        <f>25.72+1.96+180.39+64.94+57.72</f>
        <v>330.73</v>
      </c>
      <c r="JN14" s="345" t="s">
        <v>2848</v>
      </c>
      <c r="JO14" s="52">
        <f>(3175.47/5)*2</f>
        <v>1270.1879999999999</v>
      </c>
      <c r="JP14" s="722" t="s">
        <v>2805</v>
      </c>
      <c r="JQ14" s="268">
        <v>76</v>
      </c>
      <c r="JR14" s="761" t="s">
        <v>2877</v>
      </c>
      <c r="JS14" s="730">
        <v>7</v>
      </c>
      <c r="JT14" s="345" t="s">
        <v>2553</v>
      </c>
      <c r="JU14" s="61">
        <v>75.430000000000007</v>
      </c>
      <c r="JV14" s="768" t="s">
        <v>2810</v>
      </c>
      <c r="JW14" s="268">
        <v>2589</v>
      </c>
      <c r="JX14" s="608">
        <v>45077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31" t="s">
        <v>1504</v>
      </c>
      <c r="DP15" s="832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2602</v>
      </c>
      <c r="IU15" s="514">
        <v>43</v>
      </c>
      <c r="IV15" s="345" t="s">
        <v>2538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2705</v>
      </c>
      <c r="JG15" s="665">
        <f>6.24+2.24</f>
        <v>8.48</v>
      </c>
      <c r="JH15" s="388" t="s">
        <v>2756</v>
      </c>
      <c r="JI15" s="492">
        <v>155000</v>
      </c>
      <c r="JJ15" s="669" t="s">
        <v>1506</v>
      </c>
      <c r="JK15" s="268">
        <v>1556</v>
      </c>
      <c r="JL15" s="401" t="s">
        <v>2833</v>
      </c>
      <c r="JM15" s="510">
        <f>228.82+344.82+65.55+23.84</f>
        <v>663.03</v>
      </c>
      <c r="JN15" s="345" t="s">
        <v>2553</v>
      </c>
      <c r="JO15" s="61">
        <v>53.91</v>
      </c>
      <c r="JP15" s="722" t="s">
        <v>2810</v>
      </c>
      <c r="JQ15" s="607">
        <v>2441</v>
      </c>
      <c r="JR15" s="761" t="s">
        <v>2705</v>
      </c>
      <c r="JS15" s="61">
        <f>28.96+2.95</f>
        <v>31.91</v>
      </c>
      <c r="JT15" s="345" t="s">
        <v>2711</v>
      </c>
      <c r="JU15" s="61"/>
      <c r="JV15" s="254" t="s">
        <v>2806</v>
      </c>
      <c r="JW15" s="607"/>
      <c r="JX15" s="608"/>
      <c r="JY15" s="268"/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2684</v>
      </c>
      <c r="IU16" s="492">
        <v>7.57</v>
      </c>
      <c r="IV16" s="345" t="s">
        <v>2553</v>
      </c>
      <c r="IW16" s="61">
        <v>47.54</v>
      </c>
      <c r="IX16" s="575" t="s">
        <v>2547</v>
      </c>
      <c r="IY16" s="268">
        <v>24</v>
      </c>
      <c r="IZ16" s="736" t="s">
        <v>2796</v>
      </c>
      <c r="JA16" s="492">
        <v>16.05</v>
      </c>
      <c r="JB16" s="245" t="s">
        <v>2620</v>
      </c>
      <c r="JC16" s="52">
        <f>JC17*2</f>
        <v>2116.98</v>
      </c>
      <c r="JD16" s="622" t="s">
        <v>2695</v>
      </c>
      <c r="JE16" s="268">
        <v>89</v>
      </c>
      <c r="JF16" s="401" t="s">
        <v>2739</v>
      </c>
      <c r="JG16" s="510">
        <v>379.39</v>
      </c>
      <c r="JH16" s="345" t="s">
        <v>2768</v>
      </c>
      <c r="JI16" s="61" t="s">
        <v>657</v>
      </c>
      <c r="JJ16" s="669" t="s">
        <v>2695</v>
      </c>
      <c r="JK16" s="268">
        <v>4000</v>
      </c>
      <c r="JL16" s="725" t="s">
        <v>2828</v>
      </c>
      <c r="JM16" s="725">
        <v>2</v>
      </c>
      <c r="JN16" s="345" t="s">
        <v>2711</v>
      </c>
      <c r="JO16" s="61">
        <v>23.96</v>
      </c>
      <c r="JP16" s="254" t="s">
        <v>2806</v>
      </c>
      <c r="JQ16" s="607"/>
      <c r="JR16" s="761" t="s">
        <v>2864</v>
      </c>
      <c r="JS16" s="730">
        <v>15.42</v>
      </c>
      <c r="JT16" s="345" t="s">
        <v>2712</v>
      </c>
      <c r="JU16" s="61"/>
      <c r="JV16" s="768" t="s">
        <v>2807</v>
      </c>
      <c r="JW16" s="268">
        <v>0</v>
      </c>
      <c r="JX16" s="608">
        <v>45061</v>
      </c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2705</v>
      </c>
      <c r="JA17" s="646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2740</v>
      </c>
      <c r="JG17" s="665">
        <v>442.61</v>
      </c>
      <c r="JH17" s="345" t="s">
        <v>2691</v>
      </c>
      <c r="JI17" s="61">
        <v>59.36</v>
      </c>
      <c r="JJ17" s="682" t="s">
        <v>2737</v>
      </c>
      <c r="JK17" s="268">
        <f>25000.29+90000.29+140000.29+10000</f>
        <v>265000.87</v>
      </c>
      <c r="JL17" s="401"/>
      <c r="JM17" s="510"/>
      <c r="JN17" s="345" t="s">
        <v>2712</v>
      </c>
      <c r="JO17" s="61">
        <v>30</v>
      </c>
      <c r="JP17" s="722" t="s">
        <v>2807</v>
      </c>
      <c r="JQ17" s="268">
        <v>0</v>
      </c>
      <c r="JR17" s="780" t="s">
        <v>2875</v>
      </c>
      <c r="JS17" s="730" t="s">
        <v>2881</v>
      </c>
      <c r="JT17" s="345" t="s">
        <v>2781</v>
      </c>
      <c r="JU17" s="534" t="s">
        <v>2845</v>
      </c>
      <c r="JV17" s="768" t="s">
        <v>2690</v>
      </c>
      <c r="JW17" s="268">
        <v>14</v>
      </c>
      <c r="JX17" s="608">
        <v>45071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6" t="s">
        <v>2796</v>
      </c>
      <c r="IU18" s="492">
        <v>14</v>
      </c>
      <c r="IV18" s="345" t="s">
        <v>2625</v>
      </c>
      <c r="IW18" s="534">
        <v>110.02</v>
      </c>
      <c r="IX18" s="575" t="s">
        <v>2545</v>
      </c>
      <c r="IY18" s="607">
        <v>4175</v>
      </c>
      <c r="IZ18" s="401"/>
      <c r="JA18" s="510"/>
      <c r="JB18" s="345" t="s">
        <v>2616</v>
      </c>
      <c r="JC18" s="61">
        <v>110.79</v>
      </c>
      <c r="JD18" s="622" t="s">
        <v>2696</v>
      </c>
      <c r="JE18" s="607">
        <v>3083</v>
      </c>
      <c r="JF18" s="401"/>
      <c r="JG18" s="510"/>
      <c r="JH18" s="345" t="s">
        <v>2712</v>
      </c>
      <c r="JI18" s="61">
        <v>30</v>
      </c>
      <c r="JJ18" s="669" t="s">
        <v>2696</v>
      </c>
      <c r="JK18" s="268">
        <v>99936</v>
      </c>
      <c r="JL18" s="401"/>
      <c r="JM18" s="510"/>
      <c r="JN18" s="345" t="s">
        <v>2835</v>
      </c>
      <c r="JO18" s="534">
        <v>157.54</v>
      </c>
      <c r="JP18" s="722" t="s">
        <v>2690</v>
      </c>
      <c r="JQ18" s="268">
        <v>14</v>
      </c>
      <c r="JR18" s="780"/>
      <c r="JS18" s="730"/>
      <c r="JT18" s="345" t="s">
        <v>1195</v>
      </c>
      <c r="JU18" s="61">
        <f>15+6.5</f>
        <v>21.5</v>
      </c>
      <c r="JV18" s="767" t="s">
        <v>2686</v>
      </c>
      <c r="JW18" s="2">
        <v>200</v>
      </c>
      <c r="JX18" s="608">
        <v>45076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31" t="s">
        <v>1474</v>
      </c>
      <c r="DJ19" s="832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6" t="s">
        <v>2796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7" t="s">
        <v>2621</v>
      </c>
      <c r="IY19" s="268">
        <v>10</v>
      </c>
      <c r="IZ19" s="660"/>
      <c r="JA19" s="660"/>
      <c r="JB19" s="345" t="s">
        <v>2711</v>
      </c>
      <c r="JC19" s="61">
        <v>109.57</v>
      </c>
      <c r="JD19" s="645" t="s">
        <v>2675</v>
      </c>
      <c r="JE19" s="268">
        <v>0</v>
      </c>
      <c r="JF19" s="684"/>
      <c r="JG19" s="684"/>
      <c r="JH19" s="345" t="s">
        <v>2623</v>
      </c>
      <c r="JI19" s="534">
        <v>115.37</v>
      </c>
      <c r="JJ19" s="669" t="s">
        <v>2675</v>
      </c>
      <c r="JK19" s="268">
        <v>0</v>
      </c>
      <c r="JN19" s="345" t="s">
        <v>1195</v>
      </c>
      <c r="JO19" s="61">
        <f>15+6.5+30</f>
        <v>51.5</v>
      </c>
      <c r="JP19" s="721" t="s">
        <v>2686</v>
      </c>
      <c r="JQ19" s="2">
        <v>210</v>
      </c>
      <c r="JR19" s="761" t="s">
        <v>2850</v>
      </c>
      <c r="JS19" s="730">
        <v>783.33</v>
      </c>
      <c r="JT19" s="345" t="s">
        <v>2815</v>
      </c>
      <c r="JU19" s="61">
        <f>9</f>
        <v>9</v>
      </c>
      <c r="JV19" s="767" t="s">
        <v>2685</v>
      </c>
      <c r="JW19" s="2"/>
      <c r="JX19" s="608"/>
    </row>
    <row r="20" spans="1:285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2" t="s">
        <v>2764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2541</v>
      </c>
      <c r="IY20" s="572">
        <v>190</v>
      </c>
      <c r="IZ20" s="401"/>
      <c r="JA20" s="510"/>
      <c r="JB20" s="345" t="s">
        <v>2715</v>
      </c>
      <c r="JC20" s="61">
        <f>10+30</f>
        <v>40</v>
      </c>
      <c r="JD20" s="622" t="s">
        <v>2690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2" t="s">
        <v>2775</v>
      </c>
      <c r="JK20" s="583">
        <v>44.23</v>
      </c>
      <c r="JL20" s="401"/>
      <c r="JM20" s="510"/>
      <c r="JN20" s="345" t="s">
        <v>2815</v>
      </c>
      <c r="JO20" s="61">
        <f>9+14.32</f>
        <v>23.32</v>
      </c>
      <c r="JP20" s="721" t="s">
        <v>2685</v>
      </c>
      <c r="JQ20" s="2"/>
      <c r="JR20" s="773" t="s">
        <v>2862</v>
      </c>
      <c r="JS20" s="510">
        <v>1167.3800000000001</v>
      </c>
      <c r="JT20" s="345" t="s">
        <v>2786</v>
      </c>
      <c r="JU20" s="203">
        <f>64+64+3</f>
        <v>131</v>
      </c>
      <c r="JV20" s="769" t="s">
        <v>2454</v>
      </c>
      <c r="JW20" s="2">
        <v>1007</v>
      </c>
      <c r="JX20" s="108">
        <v>45076</v>
      </c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1" t="s">
        <v>2763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2623</v>
      </c>
      <c r="JC21" s="534">
        <v>115.37</v>
      </c>
      <c r="JD21" s="661" t="s">
        <v>2686</v>
      </c>
      <c r="JE21" s="618">
        <v>130</v>
      </c>
      <c r="JF21" s="401"/>
      <c r="JG21" s="510"/>
      <c r="JH21" s="345" t="s">
        <v>2746</v>
      </c>
      <c r="JI21" s="61">
        <v>27</v>
      </c>
      <c r="JJ21" s="669" t="s">
        <v>2690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3" t="s">
        <v>2454</v>
      </c>
      <c r="JQ21" s="2">
        <v>1000</v>
      </c>
      <c r="JR21" s="773" t="s">
        <v>2861</v>
      </c>
      <c r="JS21" s="761">
        <v>1493.5</v>
      </c>
      <c r="JT21" s="345" t="s">
        <v>2366</v>
      </c>
      <c r="JU21" s="61">
        <f>17.57+15.78+10+10+16.81+16.4</f>
        <v>86.56</v>
      </c>
      <c r="JV21" s="766" t="s">
        <v>2480</v>
      </c>
      <c r="JW21" s="2"/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47" t="s">
        <v>507</v>
      </c>
      <c r="N22" s="847"/>
      <c r="Q22" s="166" t="s">
        <v>365</v>
      </c>
      <c r="S22" s="847" t="s">
        <v>507</v>
      </c>
      <c r="T22" s="847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34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88" t="s">
        <v>2171</v>
      </c>
      <c r="IU22" s="788"/>
      <c r="IV22" s="337" t="s">
        <v>2599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2685</v>
      </c>
      <c r="JH22" s="345" t="s">
        <v>2188</v>
      </c>
      <c r="JI22" s="61">
        <f>9+14.32</f>
        <v>23.32</v>
      </c>
      <c r="JJ22" s="668" t="s">
        <v>2686</v>
      </c>
      <c r="JK22" s="665">
        <v>230</v>
      </c>
      <c r="JL22" s="402"/>
      <c r="JN22" s="337" t="s">
        <v>2814</v>
      </c>
      <c r="JO22" s="61">
        <v>2953</v>
      </c>
      <c r="JP22" s="731" t="s">
        <v>2480</v>
      </c>
      <c r="JQ22" s="2"/>
      <c r="JR22" s="773" t="s">
        <v>2852</v>
      </c>
      <c r="JS22" s="510">
        <v>2179.3000000000002</v>
      </c>
      <c r="JT22" s="337" t="s">
        <v>2870</v>
      </c>
      <c r="JU22" s="61">
        <v>10</v>
      </c>
      <c r="JV22" s="775" t="s">
        <v>2866</v>
      </c>
      <c r="JW22" s="2">
        <v>120.42</v>
      </c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42" t="s">
        <v>990</v>
      </c>
      <c r="N23" s="842"/>
      <c r="Q23" s="166" t="s">
        <v>369</v>
      </c>
      <c r="S23" s="842" t="s">
        <v>990</v>
      </c>
      <c r="T23" s="842"/>
      <c r="W23" s="244" t="s">
        <v>1019</v>
      </c>
      <c r="X23" s="142">
        <v>0</v>
      </c>
      <c r="Y23" s="847" t="s">
        <v>507</v>
      </c>
      <c r="Z23" s="847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34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88" t="s">
        <v>2171</v>
      </c>
      <c r="HK23" s="788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88" t="s">
        <v>2171</v>
      </c>
      <c r="HW23" s="788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4" t="s">
        <v>2747</v>
      </c>
      <c r="JI23" s="533">
        <v>4.05</v>
      </c>
      <c r="JJ23" s="668" t="s">
        <v>2685</v>
      </c>
      <c r="JN23" s="337" t="s">
        <v>2785</v>
      </c>
      <c r="JO23" s="61">
        <v>50.23</v>
      </c>
      <c r="JP23" s="747" t="s">
        <v>2823</v>
      </c>
      <c r="JQ23" s="2">
        <v>14.8</v>
      </c>
      <c r="JR23" s="402"/>
      <c r="JT23" s="337" t="s">
        <v>1863</v>
      </c>
      <c r="JU23" s="61"/>
      <c r="JV23" s="766" t="s">
        <v>2472</v>
      </c>
      <c r="JW23" s="2"/>
    </row>
    <row r="24" spans="1:285" x14ac:dyDescent="0.2">
      <c r="A24" s="847" t="s">
        <v>507</v>
      </c>
      <c r="B24" s="847"/>
      <c r="E24" s="164" t="s">
        <v>237</v>
      </c>
      <c r="F24" s="166"/>
      <c r="G24" s="847" t="s">
        <v>507</v>
      </c>
      <c r="H24" s="847"/>
      <c r="K24" s="244" t="s">
        <v>1019</v>
      </c>
      <c r="L24" s="142">
        <v>0</v>
      </c>
      <c r="M24" s="810"/>
      <c r="N24" s="810"/>
      <c r="Q24" s="166" t="s">
        <v>1056</v>
      </c>
      <c r="S24" s="810"/>
      <c r="T24" s="810"/>
      <c r="W24" s="244" t="s">
        <v>1027</v>
      </c>
      <c r="X24" s="205">
        <v>0</v>
      </c>
      <c r="Y24" s="842" t="s">
        <v>990</v>
      </c>
      <c r="Z24" s="842"/>
      <c r="AC24"/>
      <c r="AE24" s="847" t="s">
        <v>507</v>
      </c>
      <c r="AF24" s="847"/>
      <c r="AI24"/>
      <c r="AK24" s="847" t="s">
        <v>507</v>
      </c>
      <c r="AL24" s="847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33" t="s">
        <v>1536</v>
      </c>
      <c r="EF24" s="833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34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34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L24" s="727" t="s">
        <v>2790</v>
      </c>
      <c r="JM24" s="727"/>
      <c r="JN24" s="337" t="s">
        <v>2792</v>
      </c>
      <c r="JO24" s="61">
        <f>9+2</f>
        <v>11</v>
      </c>
      <c r="JP24" s="720" t="s">
        <v>2472</v>
      </c>
      <c r="JQ24" s="2"/>
      <c r="JT24" s="337" t="s">
        <v>2876</v>
      </c>
      <c r="JU24" s="61">
        <v>48.2</v>
      </c>
      <c r="JV24" s="770" t="s">
        <v>2843</v>
      </c>
      <c r="JW24" s="2">
        <v>274.08</v>
      </c>
    </row>
    <row r="25" spans="1:285" x14ac:dyDescent="0.2">
      <c r="A25" s="842" t="s">
        <v>990</v>
      </c>
      <c r="B25" s="842"/>
      <c r="E25" s="164" t="s">
        <v>139</v>
      </c>
      <c r="F25" s="166"/>
      <c r="G25" s="842" t="s">
        <v>990</v>
      </c>
      <c r="H25" s="842"/>
      <c r="K25" s="244" t="s">
        <v>1027</v>
      </c>
      <c r="L25" s="205">
        <v>0</v>
      </c>
      <c r="M25" s="810"/>
      <c r="N25" s="810"/>
      <c r="Q25" s="244" t="s">
        <v>1029</v>
      </c>
      <c r="R25" s="142">
        <v>0</v>
      </c>
      <c r="S25" s="810"/>
      <c r="T25" s="810"/>
      <c r="W25" s="244" t="s">
        <v>1050</v>
      </c>
      <c r="X25" s="142">
        <v>910.17</v>
      </c>
      <c r="Y25" s="810"/>
      <c r="Z25" s="810"/>
      <c r="AC25" s="248" t="s">
        <v>1083</v>
      </c>
      <c r="AD25" s="142">
        <v>90</v>
      </c>
      <c r="AE25" s="842" t="s">
        <v>990</v>
      </c>
      <c r="AF25" s="842"/>
      <c r="AI25" s="245" t="s">
        <v>1101</v>
      </c>
      <c r="AJ25" s="142">
        <v>30</v>
      </c>
      <c r="AK25" s="842" t="s">
        <v>990</v>
      </c>
      <c r="AL25" s="842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42"/>
      <c r="BH25" s="842"/>
      <c r="BK25" s="266" t="s">
        <v>1222</v>
      </c>
      <c r="BL25" s="205">
        <v>48.54</v>
      </c>
      <c r="BM25" s="842"/>
      <c r="BN25" s="842"/>
      <c r="BQ25" s="266" t="s">
        <v>1051</v>
      </c>
      <c r="BR25" s="205">
        <v>50.15</v>
      </c>
      <c r="BS25" s="842" t="s">
        <v>1245</v>
      </c>
      <c r="BT25" s="842"/>
      <c r="BW25" s="266" t="s">
        <v>1051</v>
      </c>
      <c r="BX25" s="205">
        <v>48.54</v>
      </c>
      <c r="BY25" s="842"/>
      <c r="BZ25" s="842"/>
      <c r="CC25" s="266" t="s">
        <v>1051</v>
      </c>
      <c r="CD25" s="205">
        <v>142.91</v>
      </c>
      <c r="CE25" s="842"/>
      <c r="CF25" s="842"/>
      <c r="CI25" s="266" t="s">
        <v>1312</v>
      </c>
      <c r="CJ25" s="205">
        <v>35.049999999999997</v>
      </c>
      <c r="CK25" s="810"/>
      <c r="CL25" s="810"/>
      <c r="CO25" s="266" t="s">
        <v>1286</v>
      </c>
      <c r="CP25" s="205">
        <v>153.41</v>
      </c>
      <c r="CQ25" s="810" t="s">
        <v>1327</v>
      </c>
      <c r="CR25" s="810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34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320426.56333333335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88" t="s">
        <v>2171</v>
      </c>
      <c r="IC25" s="788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2766</v>
      </c>
      <c r="JI25" s="61">
        <v>20</v>
      </c>
      <c r="JJ25" s="667" t="s">
        <v>2472</v>
      </c>
      <c r="JL25" s="192" t="s">
        <v>1959</v>
      </c>
      <c r="JM25" s="286">
        <f>SUM(JO6:JO7)</f>
        <v>2900.12</v>
      </c>
      <c r="JN25" s="337" t="s">
        <v>2797</v>
      </c>
      <c r="JO25" s="61">
        <v>16.100000000000001</v>
      </c>
      <c r="JP25" s="731" t="s">
        <v>2798</v>
      </c>
      <c r="JQ25" s="2">
        <v>15</v>
      </c>
      <c r="JR25" s="759" t="s">
        <v>2790</v>
      </c>
      <c r="JS25" s="759"/>
      <c r="JT25" s="337" t="s">
        <v>1863</v>
      </c>
      <c r="JU25" s="61"/>
      <c r="JV25" s="771" t="s">
        <v>2878</v>
      </c>
      <c r="JW25" s="2">
        <v>453.6</v>
      </c>
    </row>
    <row r="26" spans="1:285" x14ac:dyDescent="0.2">
      <c r="A26" s="810"/>
      <c r="B26" s="810"/>
      <c r="E26" s="198" t="s">
        <v>362</v>
      </c>
      <c r="F26" s="170"/>
      <c r="G26" s="810"/>
      <c r="H26" s="810"/>
      <c r="K26" s="244" t="s">
        <v>1018</v>
      </c>
      <c r="L26" s="142">
        <f>910+40</f>
        <v>950</v>
      </c>
      <c r="M26" s="810"/>
      <c r="N26" s="810"/>
      <c r="Q26" s="244" t="s">
        <v>1026</v>
      </c>
      <c r="R26" s="142">
        <v>0</v>
      </c>
      <c r="S26" s="810"/>
      <c r="T26" s="810"/>
      <c r="W26" s="143" t="s">
        <v>1085</v>
      </c>
      <c r="X26" s="142">
        <v>110.58</v>
      </c>
      <c r="Y26" s="810"/>
      <c r="Z26" s="810"/>
      <c r="AE26" s="810"/>
      <c r="AF26" s="810"/>
      <c r="AK26" s="810"/>
      <c r="AL26" s="810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10"/>
      <c r="AX26" s="810"/>
      <c r="AY26" s="143"/>
      <c r="AZ26" s="205"/>
      <c r="BA26" s="810"/>
      <c r="BB26" s="810"/>
      <c r="BE26" s="143" t="s">
        <v>1195</v>
      </c>
      <c r="BF26" s="205">
        <f>6.5*2</f>
        <v>13</v>
      </c>
      <c r="BG26" s="810"/>
      <c r="BH26" s="810"/>
      <c r="BK26" s="266" t="s">
        <v>1195</v>
      </c>
      <c r="BL26" s="205">
        <f>6.5*2</f>
        <v>13</v>
      </c>
      <c r="BM26" s="810"/>
      <c r="BN26" s="810"/>
      <c r="BQ26" s="266" t="s">
        <v>1195</v>
      </c>
      <c r="BR26" s="205">
        <v>13</v>
      </c>
      <c r="BS26" s="810"/>
      <c r="BT26" s="810"/>
      <c r="BW26" s="266" t="s">
        <v>1195</v>
      </c>
      <c r="BX26" s="205">
        <v>13</v>
      </c>
      <c r="BY26" s="810"/>
      <c r="BZ26" s="810"/>
      <c r="CC26" s="266" t="s">
        <v>1195</v>
      </c>
      <c r="CD26" s="205">
        <v>13</v>
      </c>
      <c r="CE26" s="810"/>
      <c r="CF26" s="810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38" t="s">
        <v>1536</v>
      </c>
      <c r="DZ26" s="839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33" t="s">
        <v>1536</v>
      </c>
      <c r="ES26" s="833"/>
      <c r="ET26" s="1" t="s">
        <v>1703</v>
      </c>
      <c r="EU26" s="272">
        <v>20000</v>
      </c>
      <c r="EW26" s="834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2701</v>
      </c>
      <c r="JC26" s="61">
        <v>10</v>
      </c>
      <c r="JD26" s="648"/>
      <c r="JH26" s="337" t="s">
        <v>2743</v>
      </c>
      <c r="JI26" s="61">
        <v>30</v>
      </c>
      <c r="JJ26" s="667" t="s">
        <v>2423</v>
      </c>
      <c r="JL26" s="388" t="s">
        <v>1960</v>
      </c>
      <c r="JM26" s="286">
        <f>SUM(JO11:JO13)</f>
        <v>116477.65199999999</v>
      </c>
      <c r="JN26" s="337" t="s">
        <v>2813</v>
      </c>
      <c r="JO26" s="533">
        <v>42.9</v>
      </c>
      <c r="JP26" s="720" t="s">
        <v>2423</v>
      </c>
      <c r="JQ26" s="2"/>
      <c r="JR26" s="192" t="s">
        <v>1959</v>
      </c>
      <c r="JS26" s="286">
        <f>SUM(JU6:JU6)</f>
        <v>2000</v>
      </c>
      <c r="JT26" s="337" t="s">
        <v>1863</v>
      </c>
      <c r="JU26" s="533"/>
      <c r="JV26" s="766" t="s">
        <v>2423</v>
      </c>
      <c r="JW26" s="2"/>
      <c r="JY26" s="268"/>
    </row>
    <row r="27" spans="1:285" x14ac:dyDescent="0.2">
      <c r="A27" s="810"/>
      <c r="B27" s="810"/>
      <c r="F27" s="194"/>
      <c r="G27" s="810"/>
      <c r="H27" s="810"/>
      <c r="K27"/>
      <c r="M27" s="843" t="s">
        <v>506</v>
      </c>
      <c r="N27" s="843"/>
      <c r="Q27" s="244" t="s">
        <v>1019</v>
      </c>
      <c r="R27" s="142">
        <v>0</v>
      </c>
      <c r="S27" s="843" t="s">
        <v>506</v>
      </c>
      <c r="T27" s="843"/>
      <c r="W27" s="143" t="s">
        <v>1051</v>
      </c>
      <c r="X27" s="142">
        <v>60.75</v>
      </c>
      <c r="Y27" s="810"/>
      <c r="Z27" s="810"/>
      <c r="AC27" s="219" t="s">
        <v>1092</v>
      </c>
      <c r="AD27" s="219"/>
      <c r="AE27" s="843" t="s">
        <v>506</v>
      </c>
      <c r="AF27" s="843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33" t="s">
        <v>1536</v>
      </c>
      <c r="EY27" s="833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88" t="s">
        <v>2171</v>
      </c>
      <c r="HQ27" s="788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2707</v>
      </c>
      <c r="JC27" s="61">
        <v>7</v>
      </c>
      <c r="JD27" s="656"/>
      <c r="JE27" s="655"/>
      <c r="JF27" s="674" t="s">
        <v>2717</v>
      </c>
      <c r="JG27" s="674"/>
      <c r="JH27" s="337" t="s">
        <v>2769</v>
      </c>
      <c r="JI27" s="61">
        <f>55.72+65.82</f>
        <v>121.53999999999999</v>
      </c>
      <c r="JJ27" s="685" t="s">
        <v>2748</v>
      </c>
      <c r="JK27" s="684">
        <v>59.4</v>
      </c>
      <c r="JL27" s="350" t="s">
        <v>1392</v>
      </c>
      <c r="JM27" s="715">
        <f>SUM(JO8:JO9)</f>
        <v>175.82999999999998</v>
      </c>
      <c r="JN27" s="337" t="s">
        <v>2834</v>
      </c>
      <c r="JO27" s="533">
        <v>131</v>
      </c>
      <c r="JP27" s="756"/>
      <c r="JQ27" s="2"/>
      <c r="JR27" s="388" t="s">
        <v>1960</v>
      </c>
      <c r="JS27" s="286">
        <f>SUM(JU10:JU12)</f>
        <v>2849.8599999999997</v>
      </c>
      <c r="JT27" s="337" t="s">
        <v>1863</v>
      </c>
      <c r="JU27" s="533"/>
      <c r="JV27" s="778" t="s">
        <v>2879</v>
      </c>
      <c r="JW27" s="2">
        <v>1500</v>
      </c>
    </row>
    <row r="28" spans="1:285" x14ac:dyDescent="0.2">
      <c r="A28" s="810"/>
      <c r="B28" s="810"/>
      <c r="E28" s="193" t="s">
        <v>360</v>
      </c>
      <c r="F28" s="194"/>
      <c r="G28" s="810"/>
      <c r="H28" s="810"/>
      <c r="K28" s="143" t="s">
        <v>1017</v>
      </c>
      <c r="L28" s="142">
        <f>60</f>
        <v>60</v>
      </c>
      <c r="M28" s="843" t="s">
        <v>992</v>
      </c>
      <c r="N28" s="843"/>
      <c r="Q28" s="244" t="s">
        <v>1073</v>
      </c>
      <c r="R28" s="205">
        <v>200</v>
      </c>
      <c r="S28" s="843" t="s">
        <v>992</v>
      </c>
      <c r="T28" s="843"/>
      <c r="W28" s="143" t="s">
        <v>1016</v>
      </c>
      <c r="X28" s="142">
        <v>61.35</v>
      </c>
      <c r="Y28" s="843" t="s">
        <v>506</v>
      </c>
      <c r="Z28" s="843"/>
      <c r="AC28" s="219" t="s">
        <v>1088</v>
      </c>
      <c r="AD28" s="219">
        <f>53+207+63</f>
        <v>323</v>
      </c>
      <c r="AE28" s="843" t="s">
        <v>992</v>
      </c>
      <c r="AF28" s="843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33" t="s">
        <v>1747</v>
      </c>
      <c r="FE28" s="833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788" t="s">
        <v>2171</v>
      </c>
      <c r="JA28" s="788"/>
      <c r="JB28" s="337" t="s">
        <v>2631</v>
      </c>
      <c r="JC28" s="61">
        <v>34</v>
      </c>
      <c r="JF28" s="192" t="s">
        <v>1959</v>
      </c>
      <c r="JG28" s="286">
        <f>SUM(JI6:JI7)</f>
        <v>3900.1</v>
      </c>
      <c r="JH28" s="337" t="s">
        <v>2770</v>
      </c>
      <c r="JI28" s="61">
        <f>44.8+43.4</f>
        <v>88.199999999999989</v>
      </c>
      <c r="JJ28" s="703" t="s">
        <v>2749</v>
      </c>
      <c r="JK28" s="665">
        <v>75.599999999999994</v>
      </c>
      <c r="JL28" s="346" t="s">
        <v>2166</v>
      </c>
      <c r="JM28" s="715">
        <f>SUM(JO10:JO10)</f>
        <v>669.59999999999991</v>
      </c>
      <c r="JN28" s="715" t="s">
        <v>2718</v>
      </c>
      <c r="JO28" s="78">
        <v>20</v>
      </c>
      <c r="JP28" s="756"/>
      <c r="JQ28" s="2"/>
      <c r="JR28" s="350" t="s">
        <v>1392</v>
      </c>
      <c r="JS28" s="761">
        <f>SUM(JU8:JU8)</f>
        <v>0</v>
      </c>
      <c r="JT28" s="761" t="s">
        <v>2718</v>
      </c>
      <c r="JU28" s="78">
        <f>13</f>
        <v>13</v>
      </c>
      <c r="JV28" s="779"/>
      <c r="JW28" s="2"/>
    </row>
    <row r="29" spans="1:285" x14ac:dyDescent="0.2">
      <c r="A29" s="843" t="s">
        <v>506</v>
      </c>
      <c r="B29" s="843"/>
      <c r="E29" s="193" t="s">
        <v>282</v>
      </c>
      <c r="F29" s="194"/>
      <c r="G29" s="843" t="s">
        <v>506</v>
      </c>
      <c r="H29" s="843"/>
      <c r="K29" s="143" t="s">
        <v>1016</v>
      </c>
      <c r="L29" s="142">
        <v>0</v>
      </c>
      <c r="M29" s="845" t="s">
        <v>93</v>
      </c>
      <c r="N29" s="845"/>
      <c r="Q29" s="244" t="s">
        <v>1050</v>
      </c>
      <c r="R29" s="142">
        <v>0</v>
      </c>
      <c r="S29" s="845" t="s">
        <v>93</v>
      </c>
      <c r="T29" s="845"/>
      <c r="W29" s="143" t="s">
        <v>1015</v>
      </c>
      <c r="X29" s="142">
        <v>64</v>
      </c>
      <c r="Y29" s="843" t="s">
        <v>992</v>
      </c>
      <c r="Z29" s="843"/>
      <c r="AC29" s="219" t="s">
        <v>1089</v>
      </c>
      <c r="AD29" s="219">
        <f>63+46</f>
        <v>109</v>
      </c>
      <c r="AE29" s="845" t="s">
        <v>93</v>
      </c>
      <c r="AF29" s="845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33" t="s">
        <v>1536</v>
      </c>
      <c r="EM29" s="833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2827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8" t="s">
        <v>506</v>
      </c>
      <c r="JF29" s="388" t="s">
        <v>1960</v>
      </c>
      <c r="JG29" s="286">
        <f>SUM(JI12:JI15)</f>
        <v>156875.80412602739</v>
      </c>
      <c r="JH29" s="337" t="s">
        <v>2738</v>
      </c>
      <c r="JI29" s="533">
        <v>40.9</v>
      </c>
      <c r="JJ29" s="683"/>
      <c r="JL29" s="348" t="s">
        <v>2167</v>
      </c>
      <c r="JM29" s="411">
        <f>SUM(JO14:JO21)</f>
        <v>1710.4379999999999</v>
      </c>
      <c r="JN29" s="9" t="s">
        <v>2197</v>
      </c>
      <c r="JO29" s="534">
        <f>250+254+164+105</f>
        <v>773</v>
      </c>
      <c r="JQ29" s="2"/>
      <c r="JR29" s="346" t="s">
        <v>2166</v>
      </c>
      <c r="JS29" s="761">
        <f>SUM(JU9:JU9)</f>
        <v>0</v>
      </c>
      <c r="JT29" s="9" t="s">
        <v>2197</v>
      </c>
      <c r="JU29" s="534">
        <v>146</v>
      </c>
      <c r="JV29" s="781"/>
      <c r="JW29" s="2"/>
    </row>
    <row r="30" spans="1:285" x14ac:dyDescent="0.2">
      <c r="A30" s="843" t="s">
        <v>992</v>
      </c>
      <c r="B30" s="843"/>
      <c r="E30" s="193" t="s">
        <v>372</v>
      </c>
      <c r="F30" s="194"/>
      <c r="G30" s="843" t="s">
        <v>992</v>
      </c>
      <c r="H30" s="843"/>
      <c r="K30" s="143" t="s">
        <v>1015</v>
      </c>
      <c r="L30" s="142">
        <v>64</v>
      </c>
      <c r="M30" s="810" t="s">
        <v>385</v>
      </c>
      <c r="N30" s="810"/>
      <c r="Q30"/>
      <c r="S30" s="810" t="s">
        <v>385</v>
      </c>
      <c r="T30" s="810"/>
      <c r="W30" s="143" t="s">
        <v>1014</v>
      </c>
      <c r="X30" s="142">
        <v>100.01</v>
      </c>
      <c r="Y30" s="845" t="s">
        <v>93</v>
      </c>
      <c r="Z30" s="845"/>
      <c r="AC30" s="142" t="s">
        <v>1087</v>
      </c>
      <c r="AD30" s="142">
        <v>65</v>
      </c>
      <c r="AE30" s="810" t="s">
        <v>385</v>
      </c>
      <c r="AF30" s="810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33" t="s">
        <v>1747</v>
      </c>
      <c r="FK30" s="833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2765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2765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3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2682</v>
      </c>
      <c r="JC30" s="533">
        <f>3.3+7.001</f>
        <v>10.301</v>
      </c>
      <c r="JD30" s="618" t="s">
        <v>93</v>
      </c>
      <c r="JF30" s="350" t="s">
        <v>1392</v>
      </c>
      <c r="JG30" s="675">
        <f>SUM(JI8:JI8)</f>
        <v>327.74</v>
      </c>
      <c r="JH30" s="337" t="s">
        <v>2742</v>
      </c>
      <c r="JI30" s="533">
        <f>8.65*2</f>
        <v>17.3</v>
      </c>
      <c r="JJ30" s="707"/>
      <c r="JL30" s="337" t="s">
        <v>2165</v>
      </c>
      <c r="JM30" s="715">
        <f>SUM(JO22:JO27)</f>
        <v>3204.23</v>
      </c>
      <c r="JN30" s="412">
        <v>20.350000000000001</v>
      </c>
      <c r="JO30" s="534"/>
      <c r="JQ30" s="2"/>
      <c r="JR30" s="348" t="s">
        <v>2167</v>
      </c>
      <c r="JS30" s="411">
        <f>SUM(JU13:JU21)</f>
        <v>323.49</v>
      </c>
      <c r="JT30" s="412">
        <v>68.819999999999993</v>
      </c>
      <c r="JU30" s="534"/>
    </row>
    <row r="31" spans="1:285" ht="12.75" customHeight="1" x14ac:dyDescent="0.2">
      <c r="A31" s="845" t="s">
        <v>93</v>
      </c>
      <c r="B31" s="845"/>
      <c r="E31" s="193" t="s">
        <v>1007</v>
      </c>
      <c r="F31" s="170"/>
      <c r="G31" s="845" t="s">
        <v>93</v>
      </c>
      <c r="H31" s="845"/>
      <c r="K31" s="143" t="s">
        <v>1014</v>
      </c>
      <c r="L31" s="142">
        <v>50.01</v>
      </c>
      <c r="M31" s="846" t="s">
        <v>1001</v>
      </c>
      <c r="N31" s="846"/>
      <c r="Q31" s="143" t="s">
        <v>1052</v>
      </c>
      <c r="R31" s="142">
        <v>26</v>
      </c>
      <c r="S31" s="846" t="s">
        <v>1001</v>
      </c>
      <c r="T31" s="846"/>
      <c r="W31"/>
      <c r="Y31" s="810" t="s">
        <v>385</v>
      </c>
      <c r="Z31" s="810"/>
      <c r="AC31" s="142" t="s">
        <v>1090</v>
      </c>
      <c r="AD31" s="142">
        <v>10</v>
      </c>
      <c r="AE31" s="846" t="s">
        <v>1001</v>
      </c>
      <c r="AF31" s="846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2683</v>
      </c>
      <c r="JC31" s="533">
        <v>74.959999999999994</v>
      </c>
      <c r="JD31" s="618" t="s">
        <v>1034</v>
      </c>
      <c r="JF31" s="346" t="s">
        <v>2166</v>
      </c>
      <c r="JG31" s="675">
        <f>SUM(JI9:JI11)</f>
        <v>2683.17</v>
      </c>
      <c r="JH31" s="337" t="s">
        <v>2753</v>
      </c>
      <c r="JI31" s="533">
        <f>6.2+29.5</f>
        <v>35.700000000000003</v>
      </c>
      <c r="JL31" s="337" t="s">
        <v>2827</v>
      </c>
      <c r="JM31" s="715">
        <f>SUM(JO23:JO27)</f>
        <v>251.23</v>
      </c>
      <c r="JN31" s="386" t="s">
        <v>1411</v>
      </c>
      <c r="JO31" s="408">
        <f>JK22+JM33-JQ19</f>
        <v>770</v>
      </c>
      <c r="JQ31" s="2"/>
      <c r="JR31" s="337" t="s">
        <v>2165</v>
      </c>
      <c r="JS31" s="761">
        <f>SUM(JU22:JU27)</f>
        <v>58.2</v>
      </c>
      <c r="JT31" s="386" t="s">
        <v>1411</v>
      </c>
      <c r="JU31" s="408">
        <f>JQ19+JS34-JW18</f>
        <v>60</v>
      </c>
      <c r="JV31" s="761" t="s">
        <v>506</v>
      </c>
      <c r="JY31" s="761"/>
    </row>
    <row r="32" spans="1:285" x14ac:dyDescent="0.2">
      <c r="A32" s="810" t="s">
        <v>385</v>
      </c>
      <c r="B32" s="810"/>
      <c r="E32" s="170"/>
      <c r="F32" s="170"/>
      <c r="G32" s="810" t="s">
        <v>385</v>
      </c>
      <c r="H32" s="810"/>
      <c r="K32"/>
      <c r="M32" s="842" t="s">
        <v>243</v>
      </c>
      <c r="N32" s="842"/>
      <c r="Q32" s="143" t="s">
        <v>1051</v>
      </c>
      <c r="R32" s="142">
        <v>55</v>
      </c>
      <c r="S32" s="842" t="s">
        <v>243</v>
      </c>
      <c r="T32" s="842"/>
      <c r="W32" s="243" t="s">
        <v>1072</v>
      </c>
      <c r="X32" s="243">
        <v>0</v>
      </c>
      <c r="Y32" s="846" t="s">
        <v>1001</v>
      </c>
      <c r="Z32" s="846"/>
      <c r="AE32" s="842" t="s">
        <v>243</v>
      </c>
      <c r="AF32" s="842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30" t="s">
        <v>1438</v>
      </c>
      <c r="DP32" s="830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2765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88" t="s">
        <v>2171</v>
      </c>
      <c r="IO32" s="788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2706</v>
      </c>
      <c r="JC32" s="533">
        <v>74.13</v>
      </c>
      <c r="JF32" s="348" t="s">
        <v>2167</v>
      </c>
      <c r="JG32" s="411">
        <f>SUM(JI16:JI24)</f>
        <v>412.16</v>
      </c>
      <c r="JH32" s="665" t="s">
        <v>2718</v>
      </c>
      <c r="JI32" s="78">
        <v>78</v>
      </c>
      <c r="JJ32" s="665" t="s">
        <v>506</v>
      </c>
      <c r="JN32" s="409">
        <v>60</v>
      </c>
      <c r="JO32" s="543" t="s">
        <v>1828</v>
      </c>
      <c r="JQ32" s="2"/>
      <c r="JR32" s="337" t="s">
        <v>2827</v>
      </c>
      <c r="JS32" s="761">
        <f>SUM(JU23:JU27)</f>
        <v>48.2</v>
      </c>
      <c r="JT32" s="409">
        <v>20</v>
      </c>
      <c r="JU32" s="543" t="s">
        <v>2859</v>
      </c>
      <c r="JV32" s="761" t="s">
        <v>93</v>
      </c>
      <c r="JY32" s="761"/>
    </row>
    <row r="33" spans="1:285" x14ac:dyDescent="0.2">
      <c r="A33" s="846" t="s">
        <v>1001</v>
      </c>
      <c r="B33" s="846"/>
      <c r="C33" s="3"/>
      <c r="D33" s="3"/>
      <c r="E33" s="246"/>
      <c r="F33" s="246"/>
      <c r="G33" s="846" t="s">
        <v>1001</v>
      </c>
      <c r="H33" s="846"/>
      <c r="K33" s="243" t="s">
        <v>1021</v>
      </c>
      <c r="L33" s="243"/>
      <c r="M33" s="844" t="s">
        <v>1034</v>
      </c>
      <c r="N33" s="844"/>
      <c r="Q33" s="143" t="s">
        <v>1016</v>
      </c>
      <c r="R33" s="142">
        <v>77.239999999999995</v>
      </c>
      <c r="S33" s="844" t="s">
        <v>1034</v>
      </c>
      <c r="T33" s="844"/>
      <c r="Y33" s="842" t="s">
        <v>243</v>
      </c>
      <c r="Z33" s="842"/>
      <c r="AC33" s="197" t="s">
        <v>1012</v>
      </c>
      <c r="AD33" s="142">
        <v>350</v>
      </c>
      <c r="AE33" s="844" t="s">
        <v>1034</v>
      </c>
      <c r="AF33" s="844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40" t="s">
        <v>1411</v>
      </c>
      <c r="DB33" s="841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2601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2709</v>
      </c>
      <c r="JC33" s="533">
        <v>24.71</v>
      </c>
      <c r="JF33" s="337" t="s">
        <v>2165</v>
      </c>
      <c r="JG33" s="665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L33" s="718" t="s">
        <v>2826</v>
      </c>
      <c r="JM33" s="353">
        <f>50+400+200+100</f>
        <v>750</v>
      </c>
      <c r="JN33" s="409">
        <v>40</v>
      </c>
      <c r="JO33" s="543" t="s">
        <v>2793</v>
      </c>
      <c r="JT33" s="409">
        <v>10</v>
      </c>
      <c r="JU33" s="543" t="s">
        <v>2863</v>
      </c>
      <c r="JV33" s="761" t="s">
        <v>1034</v>
      </c>
      <c r="JY33" s="761"/>
    </row>
    <row r="34" spans="1:285" x14ac:dyDescent="0.2">
      <c r="A34" s="842" t="s">
        <v>243</v>
      </c>
      <c r="B34" s="842"/>
      <c r="E34" s="170"/>
      <c r="F34" s="170"/>
      <c r="G34" s="842" t="s">
        <v>243</v>
      </c>
      <c r="H34" s="842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44" t="s">
        <v>1034</v>
      </c>
      <c r="Z34" s="844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2704</v>
      </c>
      <c r="JC34" s="61">
        <v>55</v>
      </c>
      <c r="JF34" s="337" t="s">
        <v>2827</v>
      </c>
      <c r="JG34" s="665">
        <f>SUM(JI27:JI31)</f>
        <v>303.64</v>
      </c>
      <c r="JH34" s="412">
        <v>23.04</v>
      </c>
      <c r="JI34" s="534"/>
      <c r="JJ34" s="665" t="s">
        <v>1034</v>
      </c>
      <c r="JN34" s="409">
        <v>50</v>
      </c>
      <c r="JO34" s="543" t="s">
        <v>2784</v>
      </c>
      <c r="JP34" s="715" t="s">
        <v>506</v>
      </c>
      <c r="JR34" s="764" t="s">
        <v>2874</v>
      </c>
      <c r="JS34" s="353">
        <v>50</v>
      </c>
      <c r="JT34" s="409">
        <v>10</v>
      </c>
      <c r="JU34" s="543" t="s">
        <v>2880</v>
      </c>
      <c r="JY34" s="761"/>
    </row>
    <row r="35" spans="1:285" ht="14.25" customHeight="1" x14ac:dyDescent="0.25">
      <c r="A35" s="848" t="s">
        <v>342</v>
      </c>
      <c r="B35" s="848"/>
      <c r="E35" s="187" t="s">
        <v>368</v>
      </c>
      <c r="F35" s="170"/>
      <c r="G35" s="848" t="s">
        <v>342</v>
      </c>
      <c r="H35" s="848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2765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2827</v>
      </c>
      <c r="JA35" s="618">
        <f>SUM(JC28:JC34)</f>
        <v>337.85099999999994</v>
      </c>
      <c r="JB35" s="618" t="s">
        <v>2719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2783</v>
      </c>
      <c r="JP35" s="715" t="s">
        <v>93</v>
      </c>
      <c r="JT35" s="409"/>
      <c r="JU35" s="543"/>
    </row>
    <row r="36" spans="1:285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2716</v>
      </c>
      <c r="JN36" s="409">
        <v>10</v>
      </c>
      <c r="JO36" s="543" t="s">
        <v>2795</v>
      </c>
      <c r="JP36" s="715" t="s">
        <v>1034</v>
      </c>
      <c r="JT36" s="409"/>
      <c r="JU36" s="543"/>
      <c r="JV36" s="761" t="s">
        <v>2767</v>
      </c>
    </row>
    <row r="37" spans="1:285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35" t="s">
        <v>1536</v>
      </c>
      <c r="DT37" s="836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3" t="s">
        <v>2744</v>
      </c>
      <c r="JG37" s="353">
        <v>200</v>
      </c>
      <c r="JH37" s="409">
        <v>8</v>
      </c>
      <c r="JI37" s="543" t="s">
        <v>2722</v>
      </c>
      <c r="JM37" s="494"/>
      <c r="JN37" s="409">
        <v>192.7</v>
      </c>
      <c r="JO37" s="543" t="s">
        <v>2825</v>
      </c>
      <c r="JT37" s="409"/>
      <c r="JU37" s="63"/>
    </row>
    <row r="38" spans="1:285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42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L38" s="749"/>
      <c r="JM38" s="494"/>
      <c r="JN38" s="409">
        <v>18</v>
      </c>
      <c r="JO38" s="543" t="s">
        <v>2787</v>
      </c>
      <c r="JS38" s="494"/>
      <c r="JT38" s="400" t="s">
        <v>2867</v>
      </c>
      <c r="JU38" s="533">
        <v>10</v>
      </c>
    </row>
    <row r="39" spans="1:285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2765</v>
      </c>
      <c r="IO39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7"/>
      <c r="JB39" s="409">
        <v>130</v>
      </c>
      <c r="JC39" s="543" t="s">
        <v>2628</v>
      </c>
      <c r="JH39" s="409">
        <v>10</v>
      </c>
      <c r="JI39" s="543" t="s">
        <v>2741</v>
      </c>
      <c r="JM39" s="494"/>
      <c r="JN39" s="409">
        <v>10</v>
      </c>
      <c r="JO39" s="63" t="s">
        <v>2788</v>
      </c>
      <c r="JP39" s="715" t="s">
        <v>2767</v>
      </c>
      <c r="JS39" s="494"/>
      <c r="JT39" s="776" t="s">
        <v>2868</v>
      </c>
      <c r="JU39" s="533">
        <v>2.2000000000000002</v>
      </c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30" t="s">
        <v>1438</v>
      </c>
      <c r="DJ40" s="830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88" t="s">
        <v>2171</v>
      </c>
      <c r="II40" s="788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2745</v>
      </c>
      <c r="JM40" s="495"/>
      <c r="JN40" s="409">
        <f>86*3+96</f>
        <v>354</v>
      </c>
      <c r="JO40" s="63" t="s">
        <v>2789</v>
      </c>
      <c r="JP40" s="749"/>
      <c r="JQ40" s="749"/>
      <c r="JS40" s="494"/>
      <c r="JT40" s="504" t="s">
        <v>2869</v>
      </c>
      <c r="JU40" s="533">
        <f>69.93+136.83</f>
        <v>206.76000000000002</v>
      </c>
    </row>
    <row r="41" spans="1:285" s="749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5"/>
      <c r="DJ41" s="755"/>
      <c r="DK41" s="9"/>
      <c r="DL41" s="9"/>
      <c r="DM41" s="217"/>
      <c r="DN41" s="304"/>
      <c r="DO41" s="754"/>
      <c r="DP41" s="61"/>
      <c r="DQ41" s="9"/>
      <c r="DR41" s="9"/>
      <c r="DS41" s="217"/>
      <c r="DT41" s="304"/>
      <c r="DU41" s="754"/>
      <c r="DV41" s="61"/>
      <c r="EL41" s="753"/>
      <c r="EM41" s="753"/>
      <c r="EN41" s="288"/>
      <c r="ER41" s="752"/>
      <c r="ES41" s="205"/>
      <c r="EX41" s="752"/>
      <c r="EY41" s="752"/>
      <c r="FD41" s="752"/>
      <c r="FF41" s="752"/>
      <c r="FG41" s="752"/>
      <c r="FJ41" s="750"/>
      <c r="FK41" s="753"/>
      <c r="FL41" s="754"/>
      <c r="FM41" s="278"/>
      <c r="FP41" s="341"/>
      <c r="FQ41" s="341"/>
      <c r="FV41" s="750"/>
      <c r="FW41" s="752"/>
      <c r="GB41" s="342"/>
      <c r="GC41" s="344"/>
      <c r="GH41" s="750"/>
      <c r="GI41" s="752"/>
      <c r="GN41" s="337"/>
      <c r="GP41" s="754"/>
      <c r="GQ41" s="278"/>
      <c r="GT41" s="393"/>
      <c r="GU41" s="751"/>
      <c r="GZ41" s="337"/>
      <c r="HF41" s="398"/>
      <c r="HG41" s="344"/>
      <c r="HR41" s="398"/>
      <c r="HS41" s="344"/>
      <c r="HX41" s="409"/>
      <c r="HY41" s="751"/>
      <c r="ID41" s="409"/>
      <c r="IE41" s="751"/>
      <c r="IH41" s="748"/>
      <c r="II41" s="748"/>
      <c r="IJ41" s="409"/>
      <c r="IK41" s="751"/>
      <c r="IN41" s="342"/>
      <c r="IO41" s="757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58"/>
      <c r="JI41" s="401"/>
      <c r="JJ41" s="665"/>
      <c r="JK41" s="665"/>
      <c r="JL41" s="715"/>
      <c r="JM41" s="715"/>
      <c r="JN41" s="400" t="s">
        <v>2779</v>
      </c>
      <c r="JO41" s="533">
        <v>7.5</v>
      </c>
      <c r="JP41" s="728"/>
      <c r="JQ41" s="728"/>
      <c r="JR41" s="761"/>
      <c r="JS41" s="495"/>
      <c r="JT41" s="761" t="s">
        <v>2873</v>
      </c>
      <c r="JU41" s="533">
        <v>139</v>
      </c>
      <c r="JV41" s="761"/>
      <c r="JW41" s="761"/>
      <c r="JX41" s="761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2721</v>
      </c>
      <c r="JI42" s="533">
        <v>751</v>
      </c>
      <c r="JN42" s="400" t="s">
        <v>1386</v>
      </c>
      <c r="JO42" s="533">
        <v>15.79</v>
      </c>
      <c r="JP42" s="728"/>
      <c r="JQ42" s="728"/>
      <c r="JT42" s="400"/>
      <c r="JU42" s="533"/>
    </row>
    <row r="43" spans="1:285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2532</v>
      </c>
      <c r="IV43" s="400"/>
      <c r="IW43" s="533"/>
      <c r="IX43" s="749"/>
      <c r="IY43" s="749"/>
      <c r="JB43" s="409">
        <v>13</v>
      </c>
      <c r="JC43" s="543" t="s">
        <v>2677</v>
      </c>
      <c r="JD43" s="749"/>
      <c r="JE43" s="749"/>
      <c r="JG43" s="494"/>
      <c r="JH43" s="504" t="s">
        <v>1618</v>
      </c>
      <c r="JI43" s="533">
        <v>12.34</v>
      </c>
      <c r="JJ43" s="749"/>
      <c r="JK43" s="749"/>
      <c r="JN43" s="504" t="s">
        <v>2831</v>
      </c>
      <c r="JO43" s="533">
        <v>13.3</v>
      </c>
      <c r="JT43" s="504"/>
      <c r="JU43" s="533"/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2646</v>
      </c>
      <c r="JC44" s="532">
        <v>18</v>
      </c>
      <c r="JG44" s="495"/>
      <c r="JH44" s="400" t="s">
        <v>2773</v>
      </c>
      <c r="JI44" s="533">
        <v>65</v>
      </c>
      <c r="JN44" s="715" t="s">
        <v>2829</v>
      </c>
      <c r="JO44" s="533">
        <v>120.36</v>
      </c>
      <c r="JT44" s="504"/>
      <c r="JU44" s="533"/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2710</v>
      </c>
      <c r="JI45" s="533">
        <v>13.3</v>
      </c>
      <c r="JN45" s="400" t="s">
        <v>2816</v>
      </c>
      <c r="JO45" s="533">
        <v>2.79</v>
      </c>
      <c r="JT45" s="504"/>
      <c r="JU45" s="533"/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2681</v>
      </c>
      <c r="JC46" s="533">
        <v>36.9</v>
      </c>
      <c r="JH46" s="202" t="s">
        <v>2771</v>
      </c>
      <c r="JI46" s="357">
        <v>3</v>
      </c>
      <c r="JN46" s="504" t="s">
        <v>2838</v>
      </c>
      <c r="JO46" s="533">
        <v>8.5500000000000007</v>
      </c>
      <c r="JT46" s="202"/>
      <c r="JU46" s="357"/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2525</v>
      </c>
      <c r="IV47" s="398"/>
      <c r="IW47" s="202"/>
      <c r="JB47" s="504" t="s">
        <v>2710</v>
      </c>
      <c r="JC47" s="533">
        <v>13.3</v>
      </c>
      <c r="JH47" s="202"/>
      <c r="JI47" s="202"/>
      <c r="JN47" s="504" t="s">
        <v>2839</v>
      </c>
      <c r="JO47" s="533">
        <v>10.35</v>
      </c>
      <c r="JT47" s="400"/>
      <c r="JU47" s="357"/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29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2765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2531</v>
      </c>
      <c r="IV48" s="202"/>
      <c r="IW48" s="342"/>
      <c r="JB48" s="400"/>
      <c r="JC48" s="533"/>
      <c r="JH48" s="398"/>
      <c r="JI48" s="202"/>
      <c r="JN48" s="504" t="s">
        <v>2840</v>
      </c>
      <c r="JO48" s="533">
        <v>15.000999999999999</v>
      </c>
      <c r="JT48" s="400"/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29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2841</v>
      </c>
      <c r="JO49" s="357">
        <v>7.67</v>
      </c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29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2842</v>
      </c>
      <c r="JO50" s="357">
        <v>3</v>
      </c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29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2533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2536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  <c r="JW60" s="39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</row>
    <row r="64" spans="41:283" x14ac:dyDescent="0.2">
      <c r="DG64" s="218" t="s">
        <v>1167</v>
      </c>
      <c r="DH64" s="302">
        <v>1500</v>
      </c>
      <c r="IP64" s="400"/>
      <c r="JK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3" bestFit="1" customWidth="1"/>
    <col min="7" max="7" width="4" style="773" bestFit="1" customWidth="1"/>
    <col min="8" max="8" width="8.85546875" style="773"/>
    <col min="9" max="9" width="1.7109375" style="773" customWidth="1"/>
    <col min="10" max="10" width="9.7109375" style="773" bestFit="1" customWidth="1"/>
    <col min="11" max="11" width="4" style="773" bestFit="1" customWidth="1"/>
    <col min="12" max="12" width="8.85546875" style="773"/>
    <col min="13" max="13" width="1.7109375" style="773" customWidth="1"/>
    <col min="14" max="14" width="9.7109375" style="773" bestFit="1" customWidth="1"/>
    <col min="15" max="15" width="4" style="773" bestFit="1" customWidth="1"/>
    <col min="16" max="16" width="8.85546875" style="773"/>
  </cols>
  <sheetData>
    <row r="1" spans="2:16" s="773" customFormat="1" ht="5.45" customHeight="1" x14ac:dyDescent="0.2"/>
    <row r="2" spans="2:16" s="773" customFormat="1" x14ac:dyDescent="0.2">
      <c r="D2" t="s">
        <v>2851</v>
      </c>
      <c r="G2" s="773" t="s">
        <v>2853</v>
      </c>
      <c r="H2" s="773" t="s">
        <v>2851</v>
      </c>
      <c r="K2" s="773" t="s">
        <v>2853</v>
      </c>
      <c r="L2" s="773" t="s">
        <v>2851</v>
      </c>
      <c r="O2" s="773" t="s">
        <v>2853</v>
      </c>
      <c r="P2" s="773" t="s">
        <v>2851</v>
      </c>
    </row>
    <row r="3" spans="2:16" x14ac:dyDescent="0.2">
      <c r="B3" s="628">
        <v>45047</v>
      </c>
      <c r="C3">
        <v>0</v>
      </c>
      <c r="D3" s="774">
        <f t="shared" ref="D3" si="0">C3*1000*0.0005/365</f>
        <v>0</v>
      </c>
      <c r="F3" s="628">
        <v>44927</v>
      </c>
      <c r="G3" s="773">
        <v>290</v>
      </c>
      <c r="H3" s="773">
        <f t="shared" ref="H3:H8" si="1">G3*1000*0.0445/365</f>
        <v>35.356164383561641</v>
      </c>
      <c r="J3" s="628">
        <v>44958</v>
      </c>
      <c r="K3" s="773">
        <v>360</v>
      </c>
      <c r="L3" s="773">
        <f t="shared" ref="L3:L8" si="2">K3*1000*0.0445/365</f>
        <v>43.890410958904113</v>
      </c>
      <c r="N3" s="628">
        <v>44986</v>
      </c>
      <c r="O3" s="773">
        <v>590</v>
      </c>
      <c r="P3" s="773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4">
        <f>C4*1000*0.05%/365</f>
        <v>0.4452054794520548</v>
      </c>
      <c r="F4" s="628">
        <v>44928</v>
      </c>
      <c r="G4" s="773">
        <v>290</v>
      </c>
      <c r="H4" s="773">
        <f t="shared" si="1"/>
        <v>35.356164383561641</v>
      </c>
      <c r="J4" s="628">
        <v>44959</v>
      </c>
      <c r="K4" s="773">
        <v>360</v>
      </c>
      <c r="L4" s="773">
        <f t="shared" si="2"/>
        <v>43.890410958904113</v>
      </c>
      <c r="N4" s="628">
        <v>44987</v>
      </c>
      <c r="O4" s="773">
        <v>590</v>
      </c>
      <c r="P4" s="773">
        <f t="shared" si="3"/>
        <v>71.93150684931507</v>
      </c>
    </row>
    <row r="5" spans="2:16" x14ac:dyDescent="0.2">
      <c r="B5" s="628">
        <v>45049</v>
      </c>
      <c r="C5">
        <v>500</v>
      </c>
      <c r="D5" s="774">
        <f t="shared" ref="D5:D33" si="4">C5*1000*0.05%/365</f>
        <v>0.68493150684931503</v>
      </c>
      <c r="F5" s="628">
        <v>44929</v>
      </c>
      <c r="G5" s="773">
        <v>300</v>
      </c>
      <c r="H5" s="773">
        <f t="shared" si="1"/>
        <v>36.575342465753423</v>
      </c>
      <c r="J5" s="628">
        <v>44960</v>
      </c>
      <c r="K5" s="773">
        <v>360</v>
      </c>
      <c r="L5" s="773">
        <f t="shared" si="2"/>
        <v>43.890410958904113</v>
      </c>
      <c r="N5" s="628">
        <v>44988</v>
      </c>
      <c r="O5" s="773">
        <v>590</v>
      </c>
      <c r="P5" s="773">
        <f t="shared" si="3"/>
        <v>71.93150684931507</v>
      </c>
    </row>
    <row r="6" spans="2:16" x14ac:dyDescent="0.2">
      <c r="B6" s="628">
        <v>45050</v>
      </c>
      <c r="C6" s="774">
        <v>500</v>
      </c>
      <c r="D6" s="774">
        <f t="shared" si="4"/>
        <v>0.68493150684931503</v>
      </c>
      <c r="F6" s="628">
        <v>44930</v>
      </c>
      <c r="G6" s="773">
        <v>300</v>
      </c>
      <c r="H6" s="773">
        <f t="shared" si="1"/>
        <v>36.575342465753423</v>
      </c>
      <c r="J6" s="628">
        <v>44961</v>
      </c>
      <c r="K6" s="773">
        <v>360</v>
      </c>
      <c r="L6" s="773">
        <f t="shared" si="2"/>
        <v>43.890410958904113</v>
      </c>
      <c r="N6" s="628">
        <v>44989</v>
      </c>
      <c r="O6" s="773">
        <v>590</v>
      </c>
      <c r="P6" s="773">
        <f t="shared" si="3"/>
        <v>71.93150684931507</v>
      </c>
    </row>
    <row r="7" spans="2:16" x14ac:dyDescent="0.2">
      <c r="B7" s="628">
        <v>45051</v>
      </c>
      <c r="C7" s="774">
        <v>500</v>
      </c>
      <c r="D7" s="774">
        <f t="shared" si="4"/>
        <v>0.68493150684931503</v>
      </c>
      <c r="F7" s="628">
        <v>44931</v>
      </c>
      <c r="G7" s="773">
        <v>300</v>
      </c>
      <c r="H7" s="773">
        <f t="shared" si="1"/>
        <v>36.575342465753423</v>
      </c>
      <c r="J7" s="628">
        <v>44962</v>
      </c>
      <c r="K7" s="773">
        <v>360</v>
      </c>
      <c r="L7" s="773">
        <f t="shared" si="2"/>
        <v>43.890410958904113</v>
      </c>
      <c r="N7" s="628">
        <v>44990</v>
      </c>
      <c r="O7" s="773">
        <v>590</v>
      </c>
      <c r="P7" s="773">
        <f t="shared" si="3"/>
        <v>71.93150684931507</v>
      </c>
    </row>
    <row r="8" spans="2:16" x14ac:dyDescent="0.2">
      <c r="B8" s="628">
        <v>45052</v>
      </c>
      <c r="C8" s="774">
        <v>500</v>
      </c>
      <c r="D8" s="774">
        <f t="shared" si="4"/>
        <v>0.68493150684931503</v>
      </c>
      <c r="F8" s="628">
        <v>44932</v>
      </c>
      <c r="G8" s="773">
        <v>305</v>
      </c>
      <c r="H8" s="773">
        <f t="shared" si="1"/>
        <v>37.184931506849317</v>
      </c>
      <c r="J8" s="628">
        <v>44963</v>
      </c>
      <c r="K8" s="773">
        <v>360</v>
      </c>
      <c r="L8" s="773">
        <f t="shared" si="2"/>
        <v>43.890410958904113</v>
      </c>
      <c r="N8" s="628">
        <v>44991</v>
      </c>
      <c r="O8" s="773">
        <v>590</v>
      </c>
      <c r="P8" s="773">
        <f t="shared" si="3"/>
        <v>71.93150684931507</v>
      </c>
    </row>
    <row r="9" spans="2:16" x14ac:dyDescent="0.2">
      <c r="B9" s="628">
        <v>45053</v>
      </c>
      <c r="C9" s="774">
        <v>500</v>
      </c>
      <c r="D9" s="774">
        <f t="shared" si="4"/>
        <v>0.68493150684931503</v>
      </c>
      <c r="F9" s="628">
        <v>44933</v>
      </c>
      <c r="G9" s="773">
        <v>305</v>
      </c>
      <c r="H9" s="773">
        <f>G9*1000*0.0445/365</f>
        <v>37.184931506849317</v>
      </c>
      <c r="J9" s="628">
        <v>44964</v>
      </c>
      <c r="K9" s="773">
        <v>360</v>
      </c>
      <c r="L9" s="773">
        <f>K9*1000*0.0445/365</f>
        <v>43.890410958904113</v>
      </c>
      <c r="N9" s="628">
        <v>44992</v>
      </c>
      <c r="O9" s="773">
        <v>590</v>
      </c>
      <c r="P9" s="773">
        <f>O9*1000*0.0445/365</f>
        <v>71.93150684931507</v>
      </c>
    </row>
    <row r="10" spans="2:16" x14ac:dyDescent="0.2">
      <c r="B10" s="628">
        <v>45054</v>
      </c>
      <c r="C10" s="774">
        <v>500</v>
      </c>
      <c r="D10" s="774">
        <f t="shared" si="4"/>
        <v>0.68493150684931503</v>
      </c>
      <c r="F10" s="628">
        <v>44934</v>
      </c>
      <c r="G10" s="773">
        <v>305</v>
      </c>
      <c r="H10" s="773">
        <f t="shared" ref="H10:H33" si="5">G10*1000*0.0445/365</f>
        <v>37.184931506849317</v>
      </c>
      <c r="J10" s="628">
        <v>44965</v>
      </c>
      <c r="K10" s="773">
        <v>360</v>
      </c>
      <c r="L10" s="773">
        <f t="shared" ref="L10:L30" si="6">K10*1000*0.0445/365</f>
        <v>43.890410958904113</v>
      </c>
      <c r="N10" s="628">
        <v>44993</v>
      </c>
      <c r="O10" s="773">
        <v>590</v>
      </c>
      <c r="P10" s="773">
        <f t="shared" ref="P10:P33" si="7">O10*1000*0.0445/365</f>
        <v>71.93150684931507</v>
      </c>
    </row>
    <row r="11" spans="2:16" x14ac:dyDescent="0.2">
      <c r="B11" s="628">
        <v>45055</v>
      </c>
      <c r="C11" s="774">
        <v>500</v>
      </c>
      <c r="D11" s="774">
        <f t="shared" si="4"/>
        <v>0.68493150684931503</v>
      </c>
      <c r="F11" s="628">
        <v>44935</v>
      </c>
      <c r="G11" s="773">
        <v>305</v>
      </c>
      <c r="H11" s="773">
        <f t="shared" si="5"/>
        <v>37.184931506849317</v>
      </c>
      <c r="J11" s="628">
        <v>44966</v>
      </c>
      <c r="K11" s="773">
        <v>360</v>
      </c>
      <c r="L11" s="773">
        <f t="shared" si="6"/>
        <v>43.890410958904113</v>
      </c>
      <c r="N11" s="628">
        <v>44994</v>
      </c>
      <c r="O11" s="773">
        <v>590</v>
      </c>
      <c r="P11" s="773">
        <f t="shared" si="7"/>
        <v>71.93150684931507</v>
      </c>
    </row>
    <row r="12" spans="2:16" x14ac:dyDescent="0.2">
      <c r="B12" s="628">
        <v>45056</v>
      </c>
      <c r="C12" s="774">
        <v>500</v>
      </c>
      <c r="D12" s="774">
        <f t="shared" si="4"/>
        <v>0.68493150684931503</v>
      </c>
      <c r="F12" s="628">
        <v>44936</v>
      </c>
      <c r="G12" s="773">
        <v>305</v>
      </c>
      <c r="H12" s="773">
        <f t="shared" si="5"/>
        <v>37.184931506849317</v>
      </c>
      <c r="J12" s="628">
        <v>44967</v>
      </c>
      <c r="K12" s="773">
        <v>360</v>
      </c>
      <c r="L12" s="773">
        <f t="shared" si="6"/>
        <v>43.890410958904113</v>
      </c>
      <c r="N12" s="628">
        <v>44995</v>
      </c>
      <c r="O12" s="773">
        <v>590</v>
      </c>
      <c r="P12" s="773">
        <f t="shared" si="7"/>
        <v>71.93150684931507</v>
      </c>
    </row>
    <row r="13" spans="2:16" x14ac:dyDescent="0.2">
      <c r="B13" s="628">
        <v>45057</v>
      </c>
      <c r="C13" s="773">
        <v>515</v>
      </c>
      <c r="D13" s="774">
        <f t="shared" si="4"/>
        <v>0.70547945205479456</v>
      </c>
      <c r="F13" s="628">
        <v>44937</v>
      </c>
      <c r="G13" s="773">
        <v>305</v>
      </c>
      <c r="H13" s="773">
        <f t="shared" si="5"/>
        <v>37.184931506849317</v>
      </c>
      <c r="J13" s="628">
        <v>44968</v>
      </c>
      <c r="K13" s="773">
        <v>360</v>
      </c>
      <c r="L13" s="773">
        <f t="shared" si="6"/>
        <v>43.890410958904113</v>
      </c>
      <c r="N13" s="628">
        <v>44996</v>
      </c>
      <c r="O13" s="773">
        <v>590</v>
      </c>
      <c r="P13" s="773">
        <f t="shared" si="7"/>
        <v>71.93150684931507</v>
      </c>
    </row>
    <row r="14" spans="2:16" x14ac:dyDescent="0.2">
      <c r="B14" s="628">
        <v>45058</v>
      </c>
      <c r="C14" s="774">
        <v>515</v>
      </c>
      <c r="D14" s="774">
        <f t="shared" si="4"/>
        <v>0.70547945205479456</v>
      </c>
      <c r="F14" s="628">
        <v>44938</v>
      </c>
      <c r="G14" s="773">
        <v>305</v>
      </c>
      <c r="H14" s="773">
        <f t="shared" si="5"/>
        <v>37.184931506849317</v>
      </c>
      <c r="J14" s="628">
        <v>44969</v>
      </c>
      <c r="K14" s="773">
        <v>360</v>
      </c>
      <c r="L14" s="773">
        <f t="shared" si="6"/>
        <v>43.890410958904113</v>
      </c>
      <c r="N14" s="628">
        <v>44997</v>
      </c>
      <c r="O14" s="773">
        <v>590</v>
      </c>
      <c r="P14" s="773">
        <f t="shared" si="7"/>
        <v>71.93150684931507</v>
      </c>
    </row>
    <row r="15" spans="2:16" x14ac:dyDescent="0.2">
      <c r="B15" s="628">
        <v>45059</v>
      </c>
      <c r="C15" s="774">
        <v>515</v>
      </c>
      <c r="D15" s="774">
        <f t="shared" si="4"/>
        <v>0.70547945205479456</v>
      </c>
      <c r="F15" s="628">
        <v>44939</v>
      </c>
      <c r="G15" s="773">
        <v>305</v>
      </c>
      <c r="H15" s="773">
        <f t="shared" si="5"/>
        <v>37.184931506849317</v>
      </c>
      <c r="J15" s="628">
        <v>44970</v>
      </c>
      <c r="K15" s="773">
        <v>360</v>
      </c>
      <c r="L15" s="773">
        <f t="shared" si="6"/>
        <v>43.890410958904113</v>
      </c>
      <c r="N15" s="628">
        <v>44998</v>
      </c>
      <c r="O15" s="773">
        <v>590</v>
      </c>
      <c r="P15" s="773">
        <f t="shared" si="7"/>
        <v>71.93150684931507</v>
      </c>
    </row>
    <row r="16" spans="2:16" x14ac:dyDescent="0.2">
      <c r="B16" s="628">
        <v>45060</v>
      </c>
      <c r="C16" s="774">
        <v>515</v>
      </c>
      <c r="D16" s="774">
        <f t="shared" si="4"/>
        <v>0.70547945205479456</v>
      </c>
      <c r="F16" s="628">
        <v>44940</v>
      </c>
      <c r="G16" s="773">
        <v>305</v>
      </c>
      <c r="H16" s="773">
        <f t="shared" si="5"/>
        <v>37.184931506849317</v>
      </c>
      <c r="J16" s="628">
        <v>44971</v>
      </c>
      <c r="K16" s="773">
        <v>360</v>
      </c>
      <c r="L16" s="773">
        <f t="shared" si="6"/>
        <v>43.890410958904113</v>
      </c>
      <c r="N16" s="628">
        <v>44999</v>
      </c>
      <c r="O16" s="773">
        <v>590</v>
      </c>
      <c r="P16" s="773">
        <f t="shared" si="7"/>
        <v>71.93150684931507</v>
      </c>
    </row>
    <row r="17" spans="2:16" x14ac:dyDescent="0.2">
      <c r="B17" s="628">
        <v>45061</v>
      </c>
      <c r="C17" s="774">
        <v>515</v>
      </c>
      <c r="D17" s="774">
        <f t="shared" si="4"/>
        <v>0.70547945205479456</v>
      </c>
      <c r="F17" s="628">
        <v>44941</v>
      </c>
      <c r="G17" s="773">
        <v>305</v>
      </c>
      <c r="H17" s="773">
        <f t="shared" si="5"/>
        <v>37.184931506849317</v>
      </c>
      <c r="J17" s="628">
        <v>44972</v>
      </c>
      <c r="K17" s="773">
        <v>360</v>
      </c>
      <c r="L17" s="773">
        <f t="shared" si="6"/>
        <v>43.890410958904113</v>
      </c>
      <c r="N17" s="628">
        <v>45000</v>
      </c>
      <c r="O17" s="773">
        <v>590</v>
      </c>
      <c r="P17" s="773">
        <f t="shared" si="7"/>
        <v>71.93150684931507</v>
      </c>
    </row>
    <row r="18" spans="2:16" x14ac:dyDescent="0.2">
      <c r="B18" s="628">
        <v>45062</v>
      </c>
      <c r="C18" s="773">
        <v>540</v>
      </c>
      <c r="D18" s="774">
        <f t="shared" si="4"/>
        <v>0.73972602739726023</v>
      </c>
      <c r="F18" s="628">
        <v>44942</v>
      </c>
      <c r="G18" s="773">
        <v>305</v>
      </c>
      <c r="H18" s="773">
        <f t="shared" si="5"/>
        <v>37.184931506849317</v>
      </c>
      <c r="J18" s="628">
        <v>44973</v>
      </c>
      <c r="K18" s="773">
        <v>360</v>
      </c>
      <c r="L18" s="773">
        <f t="shared" si="6"/>
        <v>43.890410958904113</v>
      </c>
      <c r="N18" s="628">
        <v>45001</v>
      </c>
      <c r="O18" s="773">
        <v>590</v>
      </c>
      <c r="P18" s="773">
        <f t="shared" si="7"/>
        <v>71.93150684931507</v>
      </c>
    </row>
    <row r="19" spans="2:16" x14ac:dyDescent="0.2">
      <c r="B19" s="628">
        <v>45063</v>
      </c>
      <c r="C19" s="773">
        <v>545</v>
      </c>
      <c r="D19" s="774">
        <f t="shared" si="4"/>
        <v>0.74657534246575341</v>
      </c>
      <c r="F19" s="628">
        <v>44943</v>
      </c>
      <c r="G19" s="773">
        <v>310</v>
      </c>
      <c r="H19" s="773">
        <f t="shared" si="5"/>
        <v>37.794520547945204</v>
      </c>
      <c r="J19" s="628">
        <v>44974</v>
      </c>
      <c r="K19" s="773">
        <v>505</v>
      </c>
      <c r="L19" s="773">
        <f t="shared" si="6"/>
        <v>61.56849315068493</v>
      </c>
      <c r="N19" s="628">
        <v>45002</v>
      </c>
      <c r="O19" s="773">
        <v>590</v>
      </c>
      <c r="P19" s="773">
        <f t="shared" si="7"/>
        <v>71.93150684931507</v>
      </c>
    </row>
    <row r="20" spans="2:16" x14ac:dyDescent="0.2">
      <c r="B20" s="628">
        <v>45064</v>
      </c>
      <c r="C20" s="774">
        <v>545</v>
      </c>
      <c r="D20" s="774">
        <f>C20*1000*0.05%/365</f>
        <v>0.74657534246575341</v>
      </c>
      <c r="F20" s="628">
        <v>44944</v>
      </c>
      <c r="G20" s="773">
        <v>310</v>
      </c>
      <c r="H20" s="773">
        <f t="shared" si="5"/>
        <v>37.794520547945204</v>
      </c>
      <c r="J20" s="628">
        <v>44975</v>
      </c>
      <c r="K20" s="773">
        <v>505</v>
      </c>
      <c r="L20" s="773">
        <f t="shared" si="6"/>
        <v>61.56849315068493</v>
      </c>
      <c r="N20" s="628">
        <v>45003</v>
      </c>
      <c r="O20" s="773">
        <v>590</v>
      </c>
      <c r="P20" s="773">
        <f t="shared" si="7"/>
        <v>71.93150684931507</v>
      </c>
    </row>
    <row r="21" spans="2:16" x14ac:dyDescent="0.2">
      <c r="B21" s="628">
        <v>45065</v>
      </c>
      <c r="C21" s="773">
        <v>545.79999999999995</v>
      </c>
      <c r="D21" s="774">
        <f>C21*1000*0.05%/365</f>
        <v>0.74767123287671222</v>
      </c>
      <c r="F21" s="628">
        <v>44945</v>
      </c>
      <c r="G21" s="773">
        <v>310</v>
      </c>
      <c r="H21" s="773">
        <f t="shared" si="5"/>
        <v>37.794520547945204</v>
      </c>
      <c r="J21" s="628">
        <v>44976</v>
      </c>
      <c r="K21" s="773">
        <v>505</v>
      </c>
      <c r="L21" s="773">
        <f t="shared" si="6"/>
        <v>61.56849315068493</v>
      </c>
      <c r="N21" s="628">
        <v>45004</v>
      </c>
      <c r="O21" s="773">
        <v>590</v>
      </c>
      <c r="P21" s="773">
        <f t="shared" si="7"/>
        <v>71.93150684931507</v>
      </c>
    </row>
    <row r="22" spans="2:16" x14ac:dyDescent="0.2">
      <c r="B22" s="628">
        <v>45066</v>
      </c>
      <c r="C22" s="773">
        <v>545</v>
      </c>
      <c r="D22" s="774">
        <f t="shared" si="4"/>
        <v>0.74657534246575341</v>
      </c>
      <c r="F22" s="628">
        <v>44946</v>
      </c>
      <c r="G22" s="773">
        <v>310</v>
      </c>
      <c r="H22" s="773">
        <f t="shared" si="5"/>
        <v>37.794520547945204</v>
      </c>
      <c r="J22" s="628">
        <v>44977</v>
      </c>
      <c r="K22" s="773">
        <v>505</v>
      </c>
      <c r="L22" s="773">
        <f t="shared" si="6"/>
        <v>61.56849315068493</v>
      </c>
      <c r="N22" s="628">
        <v>45005</v>
      </c>
      <c r="O22" s="773">
        <v>590</v>
      </c>
      <c r="P22" s="773">
        <f t="shared" si="7"/>
        <v>71.93150684931507</v>
      </c>
    </row>
    <row r="23" spans="2:16" x14ac:dyDescent="0.2">
      <c r="B23" s="628">
        <v>45067</v>
      </c>
      <c r="C23" s="774">
        <v>545</v>
      </c>
      <c r="D23" s="774">
        <f t="shared" si="4"/>
        <v>0.74657534246575341</v>
      </c>
      <c r="F23" s="628">
        <v>44947</v>
      </c>
      <c r="G23" s="773">
        <v>310</v>
      </c>
      <c r="H23" s="773">
        <f t="shared" si="5"/>
        <v>37.794520547945204</v>
      </c>
      <c r="J23" s="628">
        <v>44978</v>
      </c>
      <c r="K23" s="773">
        <v>560</v>
      </c>
      <c r="L23" s="773">
        <f t="shared" si="6"/>
        <v>68.273972602739732</v>
      </c>
      <c r="N23" s="628">
        <v>45006</v>
      </c>
      <c r="O23" s="773">
        <v>590</v>
      </c>
      <c r="P23" s="773">
        <f t="shared" si="7"/>
        <v>71.93150684931507</v>
      </c>
    </row>
    <row r="24" spans="2:16" x14ac:dyDescent="0.2">
      <c r="B24" s="628">
        <v>45068</v>
      </c>
      <c r="C24" s="774">
        <v>545</v>
      </c>
      <c r="D24" s="774">
        <f t="shared" si="4"/>
        <v>0.74657534246575341</v>
      </c>
      <c r="F24" s="628">
        <v>44948</v>
      </c>
      <c r="G24" s="773">
        <v>310</v>
      </c>
      <c r="H24" s="773">
        <f t="shared" si="5"/>
        <v>37.794520547945204</v>
      </c>
      <c r="J24" s="628">
        <v>44979</v>
      </c>
      <c r="K24" s="773">
        <v>560</v>
      </c>
      <c r="L24" s="773">
        <f t="shared" si="6"/>
        <v>68.273972602739732</v>
      </c>
      <c r="N24" s="628">
        <v>45007</v>
      </c>
      <c r="O24" s="773">
        <v>590</v>
      </c>
      <c r="P24" s="773">
        <f t="shared" si="7"/>
        <v>71.93150684931507</v>
      </c>
    </row>
    <row r="25" spans="2:16" x14ac:dyDescent="0.2">
      <c r="B25" s="628">
        <v>45069</v>
      </c>
      <c r="C25" s="773">
        <v>545</v>
      </c>
      <c r="D25" s="774">
        <f t="shared" si="4"/>
        <v>0.74657534246575341</v>
      </c>
      <c r="F25" s="628">
        <v>44949</v>
      </c>
      <c r="G25" s="773">
        <v>310</v>
      </c>
      <c r="H25" s="773">
        <f t="shared" si="5"/>
        <v>37.794520547945204</v>
      </c>
      <c r="J25" s="628">
        <v>44980</v>
      </c>
      <c r="K25" s="773">
        <v>560</v>
      </c>
      <c r="L25" s="773">
        <f t="shared" si="6"/>
        <v>68.273972602739732</v>
      </c>
      <c r="N25" s="628">
        <v>45008</v>
      </c>
      <c r="O25" s="773">
        <v>590</v>
      </c>
      <c r="P25" s="773">
        <f t="shared" si="7"/>
        <v>71.93150684931507</v>
      </c>
    </row>
    <row r="26" spans="2:16" x14ac:dyDescent="0.2">
      <c r="B26" s="628">
        <v>45070</v>
      </c>
      <c r="C26" s="773"/>
      <c r="D26" s="774">
        <f t="shared" si="4"/>
        <v>0</v>
      </c>
      <c r="F26" s="628">
        <v>44950</v>
      </c>
      <c r="G26" s="773">
        <v>310</v>
      </c>
      <c r="H26" s="773">
        <f t="shared" si="5"/>
        <v>37.794520547945204</v>
      </c>
      <c r="J26" s="628">
        <v>44981</v>
      </c>
      <c r="K26" s="773">
        <v>560</v>
      </c>
      <c r="L26" s="773">
        <f t="shared" si="6"/>
        <v>68.273972602739732</v>
      </c>
      <c r="N26" s="628">
        <v>45009</v>
      </c>
      <c r="O26" s="773">
        <v>590</v>
      </c>
      <c r="P26" s="773">
        <f t="shared" si="7"/>
        <v>71.93150684931507</v>
      </c>
    </row>
    <row r="27" spans="2:16" x14ac:dyDescent="0.2">
      <c r="B27" s="628">
        <v>45071</v>
      </c>
      <c r="C27" s="773"/>
      <c r="D27" s="774">
        <f t="shared" si="4"/>
        <v>0</v>
      </c>
      <c r="F27" s="628">
        <v>44951</v>
      </c>
      <c r="G27" s="773">
        <v>310</v>
      </c>
      <c r="H27" s="773">
        <f t="shared" si="5"/>
        <v>37.794520547945204</v>
      </c>
      <c r="J27" s="628">
        <v>44982</v>
      </c>
      <c r="K27" s="773">
        <v>560</v>
      </c>
      <c r="L27" s="773">
        <f t="shared" si="6"/>
        <v>68.273972602739732</v>
      </c>
      <c r="N27" s="628">
        <v>45010</v>
      </c>
      <c r="O27" s="773">
        <v>590</v>
      </c>
      <c r="P27" s="773">
        <f t="shared" si="7"/>
        <v>71.93150684931507</v>
      </c>
    </row>
    <row r="28" spans="2:16" x14ac:dyDescent="0.2">
      <c r="B28" s="628">
        <v>45072</v>
      </c>
      <c r="C28" s="773"/>
      <c r="D28" s="774">
        <f t="shared" si="4"/>
        <v>0</v>
      </c>
      <c r="F28" s="628">
        <v>44952</v>
      </c>
      <c r="G28" s="773">
        <v>310</v>
      </c>
      <c r="H28" s="773">
        <f t="shared" si="5"/>
        <v>37.794520547945204</v>
      </c>
      <c r="J28" s="628">
        <v>44983</v>
      </c>
      <c r="K28" s="773">
        <v>560</v>
      </c>
      <c r="L28" s="773">
        <f t="shared" si="6"/>
        <v>68.273972602739732</v>
      </c>
      <c r="N28" s="628">
        <v>45011</v>
      </c>
      <c r="O28" s="773">
        <v>590</v>
      </c>
      <c r="P28" s="773">
        <f t="shared" si="7"/>
        <v>71.93150684931507</v>
      </c>
    </row>
    <row r="29" spans="2:16" x14ac:dyDescent="0.2">
      <c r="B29" s="628">
        <v>45073</v>
      </c>
      <c r="C29" s="773"/>
      <c r="D29" s="774">
        <f t="shared" si="4"/>
        <v>0</v>
      </c>
      <c r="F29" s="628">
        <v>44953</v>
      </c>
      <c r="G29" s="773">
        <v>310</v>
      </c>
      <c r="H29" s="773">
        <f t="shared" si="5"/>
        <v>37.794520547945204</v>
      </c>
      <c r="J29" s="628">
        <v>44984</v>
      </c>
      <c r="K29" s="773">
        <v>520</v>
      </c>
      <c r="L29" s="773">
        <f t="shared" si="6"/>
        <v>63.397260273972606</v>
      </c>
      <c r="N29" s="628">
        <v>45012</v>
      </c>
      <c r="O29" s="773">
        <v>595</v>
      </c>
      <c r="P29" s="773">
        <f t="shared" si="7"/>
        <v>72.541095890410958</v>
      </c>
    </row>
    <row r="30" spans="2:16" x14ac:dyDescent="0.2">
      <c r="B30" s="628">
        <v>45074</v>
      </c>
      <c r="C30" s="773"/>
      <c r="D30" s="774">
        <f t="shared" si="4"/>
        <v>0</v>
      </c>
      <c r="F30" s="628">
        <v>44954</v>
      </c>
      <c r="G30" s="773">
        <v>310</v>
      </c>
      <c r="H30" s="773">
        <f t="shared" si="5"/>
        <v>37.794520547945204</v>
      </c>
      <c r="J30" s="628">
        <v>44985</v>
      </c>
      <c r="K30" s="773">
        <v>590</v>
      </c>
      <c r="L30" s="773">
        <f t="shared" si="6"/>
        <v>71.93150684931507</v>
      </c>
      <c r="N30" s="628">
        <v>45013</v>
      </c>
      <c r="O30" s="773">
        <v>595</v>
      </c>
      <c r="P30" s="773">
        <f t="shared" si="7"/>
        <v>72.541095890410958</v>
      </c>
    </row>
    <row r="31" spans="2:16" x14ac:dyDescent="0.2">
      <c r="B31" s="628">
        <v>45075</v>
      </c>
      <c r="C31" s="773"/>
      <c r="D31" s="774">
        <f t="shared" si="4"/>
        <v>0</v>
      </c>
      <c r="F31" s="628">
        <v>44955</v>
      </c>
      <c r="G31" s="773">
        <v>310</v>
      </c>
      <c r="H31" s="773">
        <f t="shared" si="5"/>
        <v>37.794520547945204</v>
      </c>
      <c r="J31" s="628"/>
      <c r="N31" s="628">
        <v>45014</v>
      </c>
      <c r="O31" s="773">
        <v>595</v>
      </c>
      <c r="P31" s="773">
        <f t="shared" si="7"/>
        <v>72.541095890410958</v>
      </c>
    </row>
    <row r="32" spans="2:16" x14ac:dyDescent="0.2">
      <c r="B32" s="628">
        <v>45076</v>
      </c>
      <c r="C32" s="773"/>
      <c r="D32" s="774">
        <f t="shared" si="4"/>
        <v>0</v>
      </c>
      <c r="F32" s="628">
        <v>44956</v>
      </c>
      <c r="G32" s="773">
        <v>355</v>
      </c>
      <c r="H32" s="773">
        <f t="shared" si="5"/>
        <v>43.280821917808218</v>
      </c>
      <c r="J32" s="628"/>
      <c r="N32" s="628">
        <v>45015</v>
      </c>
      <c r="O32" s="773">
        <v>500</v>
      </c>
      <c r="P32" s="773">
        <f t="shared" si="7"/>
        <v>60.958904109589042</v>
      </c>
    </row>
    <row r="33" spans="2:16" x14ac:dyDescent="0.2">
      <c r="B33" s="628">
        <v>45077</v>
      </c>
      <c r="C33" s="773"/>
      <c r="D33" s="774">
        <f t="shared" si="4"/>
        <v>0</v>
      </c>
      <c r="F33" s="628">
        <v>44957</v>
      </c>
      <c r="G33" s="773">
        <v>355</v>
      </c>
      <c r="H33" s="773">
        <f t="shared" si="5"/>
        <v>43.280821917808218</v>
      </c>
      <c r="J33" s="628"/>
      <c r="N33" s="628">
        <v>45016</v>
      </c>
      <c r="O33" s="773">
        <v>250</v>
      </c>
      <c r="P33" s="773">
        <f t="shared" si="7"/>
        <v>30.479452054794521</v>
      </c>
    </row>
    <row r="35" spans="2:16" x14ac:dyDescent="0.2">
      <c r="D35">
        <f>SUM(D2:D33)</f>
        <v>15.418904109589041</v>
      </c>
      <c r="F35" s="773" t="s">
        <v>2854</v>
      </c>
      <c r="H35" s="773">
        <f>SUM(H2:H33)</f>
        <v>1167.3630136986305</v>
      </c>
      <c r="J35" s="773" t="s">
        <v>2856</v>
      </c>
      <c r="L35" s="773">
        <f>SUM(L2:L33)</f>
        <v>1493.4931506849321</v>
      </c>
      <c r="N35" s="773" t="s">
        <v>2855</v>
      </c>
      <c r="P35" s="773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2023-05-19T07:09:18Z</cp:lastPrinted>
  <dcterms:created xsi:type="dcterms:W3CDTF">1998-07-18T13:03:51Z</dcterms:created>
  <dcterms:modified xsi:type="dcterms:W3CDTF">2023-06-01T06:14:29Z</dcterms:modified>
</cp:coreProperties>
</file>