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bookViews>
    <workbookView xWindow="360" yWindow="-120" windowWidth="28560" windowHeight="16440" tabRatio="673" firstSheet="9" activeTab="9"/>
  </bookViews>
  <sheets>
    <sheet name="coupleAssetAug12" sheetId="24" state="hidden" r:id="rId1"/>
    <sheet name="coupleFeb16" sheetId="25" state="hidden" r:id="rId2"/>
    <sheet name="~2011_SG" sheetId="19" state="hidden" r:id="rId3"/>
    <sheet name="爷爷" sheetId="30" state="hidden" r:id="rId4"/>
    <sheet name="q3SG" sheetId="21" state="hidden" r:id="rId5"/>
    <sheet name="NAV23" sheetId="34" state="hidden" r:id="rId6"/>
    <sheet name="PNB" sheetId="26" state="hidden" r:id="rId7"/>
    <sheet name="MB.khm" sheetId="31" state="hidden" r:id="rId8"/>
    <sheet name="c++US" sheetId="28" state="hidden" r:id="rId9"/>
    <sheet name="HIS19" sheetId="32" r:id="rId10"/>
    <sheet name="paydown" sheetId="41" r:id="rId11"/>
    <sheet name="!" sheetId="33" r:id="rId12"/>
    <sheet name="snap4mtg" sheetId="37" state="hidden" r:id="rId13"/>
    <sheet name="mtg2023" sheetId="35" state="hidden" r:id="rId14"/>
  </sheets>
  <calcPr calcId="162913"/>
</workbook>
</file>

<file path=xl/calcChain.xml><?xml version="1.0" encoding="utf-8"?>
<calcChain xmlns="http://schemas.openxmlformats.org/spreadsheetml/2006/main">
  <c r="JA5" i="32" l="1"/>
  <c r="H10" i="34" l="1"/>
  <c r="JE4" i="32" l="1"/>
  <c r="G20" i="34" l="1"/>
  <c r="G23" i="34"/>
  <c r="G24" i="34"/>
  <c r="G34" i="34" l="1"/>
  <c r="G26" i="34"/>
  <c r="G31" i="34"/>
  <c r="JC28" i="32" l="1"/>
  <c r="JC21" i="32" l="1"/>
  <c r="JA25" i="32" l="1"/>
  <c r="JA27" i="32"/>
  <c r="G39" i="26" l="1"/>
  <c r="H39" i="26" s="1"/>
  <c r="H25" i="26"/>
  <c r="D26" i="26"/>
  <c r="H27" i="26" l="1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E36" i="26" l="1"/>
  <c r="E35" i="26" s="1"/>
  <c r="E34" i="26" s="1"/>
  <c r="E33" i="26" s="1"/>
  <c r="E32" i="26" s="1"/>
  <c r="E31" i="26" s="1"/>
  <c r="E30" i="26" s="1"/>
  <c r="E29" i="26" s="1"/>
  <c r="E28" i="26" s="1"/>
  <c r="E27" i="26" s="1"/>
  <c r="E26" i="26" s="1"/>
  <c r="E25" i="26" s="1"/>
  <c r="JC30" i="32" l="1"/>
  <c r="JE3" i="32"/>
  <c r="JA2" i="32"/>
  <c r="JE7" i="32"/>
  <c r="JA29" i="32"/>
  <c r="JA28" i="32"/>
  <c r="JA30" i="32"/>
  <c r="JE2" i="32" l="1"/>
  <c r="IW14" i="32"/>
  <c r="IW13" i="32" s="1"/>
  <c r="JA26" i="32" l="1"/>
  <c r="JC5" i="32"/>
  <c r="IW26" i="32"/>
  <c r="IW19" i="32" l="1"/>
  <c r="IW16" i="32" l="1"/>
  <c r="G22" i="34" l="1"/>
  <c r="J16" i="41" l="1"/>
  <c r="J28" i="41" s="1"/>
  <c r="IY3" i="32" l="1"/>
  <c r="IS3" i="32"/>
  <c r="IM3" i="32"/>
  <c r="IG3" i="32"/>
  <c r="HY14" i="32"/>
  <c r="IU5" i="32" l="1"/>
  <c r="I4" i="41" l="1"/>
  <c r="I5" i="41" l="1"/>
  <c r="I11" i="41" s="1"/>
  <c r="IU7" i="32" l="1"/>
  <c r="IU26" i="32"/>
  <c r="HY45" i="32" l="1"/>
  <c r="IW25" i="32" l="1"/>
  <c r="IW18" i="32" l="1"/>
  <c r="H5" i="34" l="1"/>
  <c r="H18" i="34" l="1"/>
  <c r="K18" i="34"/>
  <c r="K17" i="34"/>
  <c r="E23" i="35" l="1"/>
  <c r="E26" i="35" s="1"/>
  <c r="J22" i="35"/>
  <c r="J23" i="35" s="1"/>
  <c r="J26" i="35" s="1"/>
  <c r="D22" i="35"/>
  <c r="D23" i="35" s="1"/>
  <c r="C22" i="35"/>
  <c r="C23" i="35" s="1"/>
  <c r="B22" i="35"/>
  <c r="B26" i="35" s="1"/>
  <c r="B29" i="35" s="1"/>
  <c r="B30" i="35" s="1"/>
  <c r="O21" i="35"/>
  <c r="O22" i="35" s="1"/>
  <c r="E20" i="35"/>
  <c r="E19" i="35"/>
  <c r="Q17" i="35"/>
  <c r="E17" i="35"/>
  <c r="T15" i="35"/>
  <c r="Q15" i="35"/>
  <c r="T13" i="35"/>
  <c r="W13" i="35" s="1"/>
  <c r="R9" i="35"/>
  <c r="U8" i="35"/>
  <c r="J33" i="34"/>
  <c r="M23" i="34"/>
  <c r="J23" i="34"/>
  <c r="M22" i="34"/>
  <c r="J22" i="34"/>
  <c r="J27" i="34"/>
  <c r="J21" i="34"/>
  <c r="G21" i="34"/>
  <c r="G40" i="34" s="1"/>
  <c r="J20" i="34"/>
  <c r="K19" i="34"/>
  <c r="H19" i="34"/>
  <c r="K15" i="34"/>
  <c r="K14" i="34"/>
  <c r="K12" i="34"/>
  <c r="N5" i="34"/>
  <c r="K4" i="34"/>
  <c r="D10" i="37"/>
  <c r="C7" i="37"/>
  <c r="C19" i="37" s="1"/>
  <c r="N48" i="41"/>
  <c r="N49" i="41" s="1"/>
  <c r="C43" i="41"/>
  <c r="C34" i="41"/>
  <c r="K28" i="41"/>
  <c r="D5" i="41"/>
  <c r="DH58" i="32"/>
  <c r="DH54" i="32"/>
  <c r="IK52" i="32"/>
  <c r="IE57" i="32"/>
  <c r="IE52" i="32"/>
  <c r="IC32" i="32" s="1"/>
  <c r="HY52" i="32"/>
  <c r="IQ50" i="32"/>
  <c r="IK50" i="32"/>
  <c r="AP50" i="32"/>
  <c r="GO49" i="32"/>
  <c r="IQ48" i="32"/>
  <c r="AP48" i="32"/>
  <c r="IP46" i="32"/>
  <c r="IJ46" i="32"/>
  <c r="HY47" i="32"/>
  <c r="AP45" i="32"/>
  <c r="GO44" i="32"/>
  <c r="EY44" i="32"/>
  <c r="AV44" i="32"/>
  <c r="II43" i="32"/>
  <c r="ID43" i="32"/>
  <c r="HA43" i="32"/>
  <c r="DP43" i="32"/>
  <c r="DP56" i="32" s="1"/>
  <c r="EY42" i="32"/>
  <c r="ES42" i="32"/>
  <c r="GO41" i="32"/>
  <c r="GO10" i="32" s="1"/>
  <c r="IO40" i="32"/>
  <c r="IQ36" i="32" s="1"/>
  <c r="X40" i="32"/>
  <c r="IK39" i="32"/>
  <c r="IE39" i="32"/>
  <c r="HA39" i="32"/>
  <c r="FQ39" i="32"/>
  <c r="ES39" i="32"/>
  <c r="CV39" i="32"/>
  <c r="CD39" i="32"/>
  <c r="CD6" i="32" s="1"/>
  <c r="IO38" i="32"/>
  <c r="DT38" i="32"/>
  <c r="X38" i="32"/>
  <c r="IK37" i="32"/>
  <c r="FK37" i="32"/>
  <c r="DN37" i="32"/>
  <c r="BF37" i="32"/>
  <c r="X37" i="32"/>
  <c r="L37" i="32"/>
  <c r="L11" i="32" s="1"/>
  <c r="DZ36" i="32"/>
  <c r="DH36" i="32"/>
  <c r="DF36" i="32"/>
  <c r="CP36" i="32"/>
  <c r="IU29" i="32"/>
  <c r="GU35" i="32"/>
  <c r="DT35" i="32"/>
  <c r="DH35" i="32"/>
  <c r="DF35" i="32"/>
  <c r="CP35" i="32"/>
  <c r="BR35" i="32"/>
  <c r="BF35" i="32"/>
  <c r="BF11" i="32" s="1"/>
  <c r="IQ34" i="32"/>
  <c r="HY35" i="32"/>
  <c r="HS34" i="32"/>
  <c r="HQ34" i="32"/>
  <c r="GC34" i="32"/>
  <c r="DZ34" i="32"/>
  <c r="DH34" i="32"/>
  <c r="DF34" i="32"/>
  <c r="AP34" i="32"/>
  <c r="IW28" i="32"/>
  <c r="IW5" i="32" s="1"/>
  <c r="IU27" i="32"/>
  <c r="IO33" i="32"/>
  <c r="HA33" i="32"/>
  <c r="GI33" i="32"/>
  <c r="FQ33" i="32"/>
  <c r="FQ10" i="32" s="1"/>
  <c r="DH33" i="32"/>
  <c r="IK32" i="32"/>
  <c r="IE32" i="32"/>
  <c r="IC31" i="32" s="1"/>
  <c r="HG32" i="32"/>
  <c r="GU32" i="32"/>
  <c r="FW32" i="32"/>
  <c r="FU32" i="32"/>
  <c r="FA32" i="32"/>
  <c r="DT32" i="32"/>
  <c r="IU25" i="32"/>
  <c r="IK31" i="32"/>
  <c r="HQ31" i="32"/>
  <c r="FU31" i="32"/>
  <c r="FK31" i="32"/>
  <c r="DN31" i="32"/>
  <c r="DH31" i="32"/>
  <c r="CJ31" i="32"/>
  <c r="CJ6" i="32" s="1"/>
  <c r="IU24" i="32"/>
  <c r="II30" i="32"/>
  <c r="HA30" i="32"/>
  <c r="FU30" i="32"/>
  <c r="EM30" i="32"/>
  <c r="CV30" i="32"/>
  <c r="AP30" i="32"/>
  <c r="AP8" i="32" s="1"/>
  <c r="IK29" i="32"/>
  <c r="II29" i="32"/>
  <c r="IC29" i="32"/>
  <c r="HK29" i="32"/>
  <c r="HG29" i="32"/>
  <c r="FU29" i="32"/>
  <c r="FE29" i="32"/>
  <c r="DN29" i="32"/>
  <c r="DF29" i="32"/>
  <c r="CP29" i="32"/>
  <c r="AD29" i="32"/>
  <c r="IK28" i="32"/>
  <c r="IC28" i="32"/>
  <c r="HY29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K26" i="32"/>
  <c r="IE26" i="32"/>
  <c r="IC26" i="32"/>
  <c r="HY27" i="32"/>
  <c r="HW26" i="32"/>
  <c r="HA26" i="32"/>
  <c r="FW26" i="32"/>
  <c r="FU26" i="32"/>
  <c r="FQ26" i="32"/>
  <c r="BL26" i="32"/>
  <c r="BF26" i="32"/>
  <c r="BF8" i="32" s="1"/>
  <c r="L26" i="32"/>
  <c r="HG25" i="32"/>
  <c r="HA25" i="32"/>
  <c r="GU25" i="32"/>
  <c r="FE25" i="32"/>
  <c r="FE9" i="32" s="1"/>
  <c r="EF25" i="32"/>
  <c r="IE24" i="32"/>
  <c r="HY25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IK23" i="32"/>
  <c r="II23" i="32"/>
  <c r="IE23" i="32"/>
  <c r="HY24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IU28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CX22" i="32"/>
  <c r="CX3" i="32" s="1"/>
  <c r="BZ22" i="32"/>
  <c r="BB22" i="32"/>
  <c r="HU21" i="32"/>
  <c r="GU21" i="32"/>
  <c r="GM21" i="32"/>
  <c r="GA21" i="32"/>
  <c r="FW21" i="32"/>
  <c r="FQ21" i="32"/>
  <c r="EO21" i="32"/>
  <c r="DB21" i="32"/>
  <c r="DB10" i="32" s="1"/>
  <c r="BZ21" i="32"/>
  <c r="BF21" i="32"/>
  <c r="BF9" i="32" s="1"/>
  <c r="BB21" i="32"/>
  <c r="IQ20" i="32"/>
  <c r="IK20" i="32"/>
  <c r="II20" i="32"/>
  <c r="HY21" i="32"/>
  <c r="HJ20" i="32"/>
  <c r="HG20" i="32"/>
  <c r="GM20" i="32"/>
  <c r="GA20" i="32"/>
  <c r="FE20" i="32"/>
  <c r="ES20" i="32"/>
  <c r="EO20" i="32"/>
  <c r="EM20" i="32"/>
  <c r="AX20" i="32"/>
  <c r="BB20" i="32" s="1"/>
  <c r="AR20" i="32"/>
  <c r="AR3" i="32" s="1"/>
  <c r="IQ19" i="32"/>
  <c r="IM19" i="32"/>
  <c r="HY20" i="32"/>
  <c r="HS19" i="32"/>
  <c r="HA19" i="32"/>
  <c r="FW19" i="32"/>
  <c r="FK19" i="32"/>
  <c r="FI19" i="32"/>
  <c r="EY19" i="32"/>
  <c r="EM19" i="32"/>
  <c r="CN19" i="32"/>
  <c r="CN3" i="32" s="1"/>
  <c r="BL19" i="32"/>
  <c r="BL9" i="32" s="1"/>
  <c r="BB19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IO17" i="32"/>
  <c r="HM17" i="32"/>
  <c r="FQ17" i="32"/>
  <c r="FQ11" i="32" s="1"/>
  <c r="FI17" i="32"/>
  <c r="DP17" i="32"/>
  <c r="DN17" i="32"/>
  <c r="BB17" i="32"/>
  <c r="IS16" i="32"/>
  <c r="IQ16" i="32"/>
  <c r="IK16" i="32"/>
  <c r="II16" i="32"/>
  <c r="IG16" i="32"/>
  <c r="IC16" i="32"/>
  <c r="HW16" i="32"/>
  <c r="HA16" i="32"/>
  <c r="GU16" i="32"/>
  <c r="GQ38" i="32" s="1"/>
  <c r="FI16" i="32"/>
  <c r="FE16" i="32"/>
  <c r="FE10" i="32" s="1"/>
  <c r="ES16" i="32"/>
  <c r="EM16" i="32"/>
  <c r="EM9" i="32" s="1"/>
  <c r="DB16" i="32"/>
  <c r="DB7" i="32" s="1"/>
  <c r="BB16" i="32"/>
  <c r="IS15" i="32"/>
  <c r="IG15" i="32"/>
  <c r="HY16" i="32"/>
  <c r="HY15" i="32" s="1"/>
  <c r="HM15" i="32"/>
  <c r="FW15" i="32"/>
  <c r="FW8" i="32" s="1"/>
  <c r="EO15" i="32"/>
  <c r="DV15" i="32"/>
  <c r="DV3" i="32" s="1"/>
  <c r="BB15" i="32"/>
  <c r="R15" i="32"/>
  <c r="R8" i="32" s="1"/>
  <c r="F15" i="32"/>
  <c r="F5" i="32" s="1"/>
  <c r="IY7" i="32"/>
  <c r="IY2" i="32" s="1"/>
  <c r="JC2" i="32" s="1"/>
  <c r="IO14" i="32"/>
  <c r="HM14" i="32"/>
  <c r="FS14" i="32"/>
  <c r="EW14" i="32"/>
  <c r="EY28" i="32" s="1"/>
  <c r="EO14" i="32"/>
  <c r="EB14" i="32"/>
  <c r="EB3" i="32" s="1"/>
  <c r="DT14" i="32"/>
  <c r="DT8" i="32" s="1"/>
  <c r="CV14" i="32"/>
  <c r="CV7" i="32" s="1"/>
  <c r="BB14" i="32"/>
  <c r="AP14" i="32"/>
  <c r="AP7" i="32" s="1"/>
  <c r="IQ13" i="32"/>
  <c r="IK13" i="32"/>
  <c r="II44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IO9" i="32"/>
  <c r="IK9" i="32"/>
  <c r="II41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HU6" i="32"/>
  <c r="HK6" i="32"/>
  <c r="GG6" i="32"/>
  <c r="GA6" i="32"/>
  <c r="BX6" i="32"/>
  <c r="BR6" i="32"/>
  <c r="BB6" i="32"/>
  <c r="HU5" i="32"/>
  <c r="BB5" i="32"/>
  <c r="IA3" i="32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IU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AI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C19" i="31"/>
  <c r="E16" i="31"/>
  <c r="E17" i="31" s="1"/>
  <c r="E18" i="31" s="1"/>
  <c r="E39" i="26"/>
  <c r="H37" i="26"/>
  <c r="H34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S3" i="21" s="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10" i="25"/>
  <c r="F7" i="25"/>
  <c r="G6" i="25"/>
  <c r="F6" i="25" s="1"/>
  <c r="G5" i="25"/>
  <c r="F5" i="25" s="1"/>
  <c r="F4" i="25"/>
  <c r="F8" i="24"/>
  <c r="F6" i="24"/>
  <c r="F5" i="24"/>
  <c r="G4" i="24"/>
  <c r="F4" i="24" s="1"/>
  <c r="F3" i="24"/>
  <c r="CU2" i="28" l="1"/>
  <c r="JC4" i="32"/>
  <c r="JC3" i="32"/>
  <c r="AM3" i="21"/>
  <c r="AM2" i="28"/>
  <c r="AO2" i="28" s="1"/>
  <c r="AO3" i="28" s="1"/>
  <c r="M4" i="21"/>
  <c r="M7" i="21" s="1"/>
  <c r="ES8" i="28"/>
  <c r="BM2" i="28"/>
  <c r="BM3" i="28" s="1"/>
  <c r="BM4" i="28" s="1"/>
  <c r="BM5" i="28" s="1"/>
  <c r="CK2" i="28"/>
  <c r="CK3" i="28" s="1"/>
  <c r="CK4" i="28" s="1"/>
  <c r="Q3" i="21"/>
  <c r="BC3" i="21"/>
  <c r="K2" i="28"/>
  <c r="K3" i="28" s="1"/>
  <c r="K4" i="28" s="1"/>
  <c r="AI2" i="28"/>
  <c r="AI3" i="28" s="1"/>
  <c r="AI4" i="28" s="1"/>
  <c r="K3" i="21"/>
  <c r="EQ2" i="28"/>
  <c r="I3" i="21"/>
  <c r="G3" i="21" s="1"/>
  <c r="S5" i="21"/>
  <c r="EO2" i="28"/>
  <c r="FS3" i="32"/>
  <c r="FQ3" i="32" s="1"/>
  <c r="FQ4" i="32" s="1"/>
  <c r="DP3" i="32"/>
  <c r="DN3" i="32" s="1"/>
  <c r="FK8" i="32"/>
  <c r="F7" i="32"/>
  <c r="O3" i="21"/>
  <c r="EK2" i="28"/>
  <c r="AC8" i="28"/>
  <c r="S6" i="21"/>
  <c r="AK5" i="21"/>
  <c r="AK7" i="21" s="1"/>
  <c r="W2" i="28"/>
  <c r="W3" i="28" s="1"/>
  <c r="AO8" i="28"/>
  <c r="AG3" i="21"/>
  <c r="DQ2" i="28"/>
  <c r="DU2" i="28" s="1"/>
  <c r="DU3" i="28" s="1"/>
  <c r="DU4" i="28" s="1"/>
  <c r="BY8" i="28"/>
  <c r="FD31" i="28" s="1"/>
  <c r="GU9" i="32"/>
  <c r="CJ11" i="32"/>
  <c r="IE6" i="32"/>
  <c r="HW28" i="32"/>
  <c r="IC27" i="32"/>
  <c r="HY7" i="32"/>
  <c r="HW29" i="32"/>
  <c r="IG2" i="32"/>
  <c r="EY8" i="32"/>
  <c r="IO37" i="32"/>
  <c r="GC6" i="32"/>
  <c r="DT11" i="32"/>
  <c r="HA11" i="32"/>
  <c r="L3" i="32"/>
  <c r="EW3" i="32"/>
  <c r="X3" i="32"/>
  <c r="X4" i="32" s="1"/>
  <c r="AE5" i="21"/>
  <c r="Y9" i="21"/>
  <c r="S9" i="21"/>
  <c r="AC3" i="21"/>
  <c r="W3" i="21"/>
  <c r="Y3" i="21" s="1"/>
  <c r="Y7" i="21"/>
  <c r="S11" i="21"/>
  <c r="S12" i="21" s="1"/>
  <c r="E19" i="31"/>
  <c r="EA2" i="28"/>
  <c r="EA3" i="28" s="1"/>
  <c r="EA4" i="28" s="1"/>
  <c r="W8" i="28"/>
  <c r="EY2" i="28"/>
  <c r="EY3" i="28" s="1"/>
  <c r="EY8" i="28"/>
  <c r="R6" i="32"/>
  <c r="BF6" i="32"/>
  <c r="EY6" i="32"/>
  <c r="EO3" i="32"/>
  <c r="EM3" i="32" s="1"/>
  <c r="EM4" i="32" s="1"/>
  <c r="HE3" i="32"/>
  <c r="HG2" i="32" s="1"/>
  <c r="IC2" i="32"/>
  <c r="EM10" i="32"/>
  <c r="AQ3" i="21"/>
  <c r="F15" i="24"/>
  <c r="F21" i="25"/>
  <c r="E1" i="19"/>
  <c r="K1" i="19"/>
  <c r="Q1" i="19"/>
  <c r="W1" i="19"/>
  <c r="AC1" i="19"/>
  <c r="AI1" i="19"/>
  <c r="AO1" i="19"/>
  <c r="AU1" i="19"/>
  <c r="BA1" i="19"/>
  <c r="BG1" i="19"/>
  <c r="BM1" i="19"/>
  <c r="BS1" i="19"/>
  <c r="H1" i="19"/>
  <c r="N1" i="19"/>
  <c r="T1" i="19"/>
  <c r="Z1" i="19"/>
  <c r="AF1" i="19"/>
  <c r="AL1" i="19"/>
  <c r="AR1" i="19"/>
  <c r="AX1" i="19"/>
  <c r="BD1" i="19"/>
  <c r="BJ1" i="19"/>
  <c r="BP1" i="19"/>
  <c r="Y6" i="21"/>
  <c r="AQ5" i="21"/>
  <c r="AQ7" i="21" s="1"/>
  <c r="AC2" i="28"/>
  <c r="AC3" i="28" s="1"/>
  <c r="BG2" i="28"/>
  <c r="BG3" i="28" s="1"/>
  <c r="BG4" i="28" s="1"/>
  <c r="BG5" i="28" s="1"/>
  <c r="BS2" i="28"/>
  <c r="BS3" i="28" s="1"/>
  <c r="BS4" i="28" s="1"/>
  <c r="BS5" i="28" s="1"/>
  <c r="CE2" i="28"/>
  <c r="CE3" i="28" s="1"/>
  <c r="CE4" i="28" s="1"/>
  <c r="CE5" i="28" s="1"/>
  <c r="CQ2" i="28"/>
  <c r="CQ3" i="28" s="1"/>
  <c r="CQ4" i="28" s="1"/>
  <c r="DC2" i="28"/>
  <c r="DC3" i="28" s="1"/>
  <c r="DC4" i="28" s="1"/>
  <c r="L5" i="32"/>
  <c r="HU3" i="32"/>
  <c r="HU2" i="32" s="1"/>
  <c r="GA3" i="32"/>
  <c r="GC3" i="32" s="1"/>
  <c r="GG3" i="32"/>
  <c r="GI3" i="32" s="1"/>
  <c r="GI4" i="32" s="1"/>
  <c r="HA3" i="32"/>
  <c r="FA3" i="32"/>
  <c r="FI3" i="32"/>
  <c r="BL6" i="32"/>
  <c r="FU3" i="32"/>
  <c r="CV11" i="32"/>
  <c r="AD6" i="32"/>
  <c r="M12" i="41"/>
  <c r="M19" i="41" s="1"/>
  <c r="M28" i="41" s="1"/>
  <c r="AE10" i="21"/>
  <c r="DI2" i="28"/>
  <c r="DI3" i="28" s="1"/>
  <c r="DI4" i="28" s="1"/>
  <c r="EF3" i="32"/>
  <c r="EF4" i="32" s="1"/>
  <c r="II2" i="32"/>
  <c r="DZ6" i="32"/>
  <c r="GI6" i="32"/>
  <c r="HK25" i="32"/>
  <c r="HM6" i="32"/>
  <c r="DB6" i="32"/>
  <c r="GU3" i="32"/>
  <c r="FK6" i="32"/>
  <c r="BL8" i="32"/>
  <c r="AJ3" i="32"/>
  <c r="AJ5" i="32" s="1"/>
  <c r="FW6" i="32"/>
  <c r="HK3" i="32"/>
  <c r="HM2" i="32" s="1"/>
  <c r="DT7" i="32"/>
  <c r="FG3" i="32"/>
  <c r="HQ32" i="32"/>
  <c r="AV6" i="32"/>
  <c r="GU10" i="32"/>
  <c r="AX3" i="32"/>
  <c r="AV3" i="32" s="1"/>
  <c r="FY2" i="32"/>
  <c r="GE2" i="32" s="1"/>
  <c r="IQ12" i="32"/>
  <c r="IO34" i="32" s="1"/>
  <c r="GU8" i="32"/>
  <c r="DZ10" i="32"/>
  <c r="X6" i="32"/>
  <c r="BR3" i="32"/>
  <c r="BR5" i="32" s="1"/>
  <c r="CJ3" i="32"/>
  <c r="CJ4" i="32" s="1"/>
  <c r="CV3" i="32"/>
  <c r="CV4" i="32" s="1"/>
  <c r="F3" i="32"/>
  <c r="F4" i="32" s="1"/>
  <c r="AD3" i="32"/>
  <c r="BL3" i="32"/>
  <c r="BL4" i="32" s="1"/>
  <c r="DB3" i="32"/>
  <c r="BB3" i="32"/>
  <c r="HW27" i="32"/>
  <c r="GQ2" i="32"/>
  <c r="HK28" i="32"/>
  <c r="IO2" i="32"/>
  <c r="HW3" i="32"/>
  <c r="DN6" i="32"/>
  <c r="EM6" i="32"/>
  <c r="ES8" i="32"/>
  <c r="BZ3" i="32"/>
  <c r="CD3" i="32" s="1"/>
  <c r="FW9" i="32"/>
  <c r="GM3" i="32"/>
  <c r="GO3" i="32" s="1"/>
  <c r="GO4" i="32" s="1"/>
  <c r="GU6" i="32"/>
  <c r="HS6" i="32"/>
  <c r="II46" i="32"/>
  <c r="CV6" i="32"/>
  <c r="GI9" i="32"/>
  <c r="HG10" i="32"/>
  <c r="DN10" i="32"/>
  <c r="DH10" i="32"/>
  <c r="DF3" i="32"/>
  <c r="DH3" i="32" s="1"/>
  <c r="DT12" i="32"/>
  <c r="FD2" i="28"/>
  <c r="FF2" i="28" s="1"/>
  <c r="E2" i="28"/>
  <c r="HW25" i="32"/>
  <c r="N40" i="34"/>
  <c r="K5" i="34"/>
  <c r="K40" i="34" s="1"/>
  <c r="Q2" i="28"/>
  <c r="Q3" i="28" s="1"/>
  <c r="Q4" i="28" s="1"/>
  <c r="BA2" i="28"/>
  <c r="BA3" i="28" s="1"/>
  <c r="BA4" i="28" s="1"/>
  <c r="BA5" i="28" s="1"/>
  <c r="BY2" i="28"/>
  <c r="BY3" i="28" s="1"/>
  <c r="CW2" i="28"/>
  <c r="CW3" i="28" s="1"/>
  <c r="CW4" i="28" s="1"/>
  <c r="EG2" i="28"/>
  <c r="EG3" i="28" s="1"/>
  <c r="EG4" i="28" s="1"/>
  <c r="FC15" i="28"/>
  <c r="AS2" i="28"/>
  <c r="AU2" i="28" s="1"/>
  <c r="AU3" i="28" s="1"/>
  <c r="AU4" i="28" s="1"/>
  <c r="AU5" i="28" s="1"/>
  <c r="FD25" i="28"/>
  <c r="FC24" i="28" s="1"/>
  <c r="IA2" i="32"/>
  <c r="R3" i="32"/>
  <c r="AP3" i="32"/>
  <c r="CP3" i="32"/>
  <c r="DZ3" i="32"/>
  <c r="IK15" i="32"/>
  <c r="II42" i="32" s="1"/>
  <c r="II45" i="32"/>
  <c r="HG16" i="32"/>
  <c r="HG9" i="32"/>
  <c r="DH6" i="32"/>
  <c r="DH7" i="32"/>
  <c r="FQ9" i="32"/>
  <c r="FQ6" i="32"/>
  <c r="FE8" i="32"/>
  <c r="FE6" i="32"/>
  <c r="CP11" i="32"/>
  <c r="CP6" i="32"/>
  <c r="HA10" i="32"/>
  <c r="AP6" i="32"/>
  <c r="AP11" i="32"/>
  <c r="D26" i="35"/>
  <c r="Q26" i="35" s="1"/>
  <c r="Q23" i="35"/>
  <c r="DN7" i="32"/>
  <c r="ES10" i="32"/>
  <c r="ES6" i="32"/>
  <c r="EF10" i="32"/>
  <c r="EF6" i="32"/>
  <c r="HA14" i="32"/>
  <c r="HA9" i="32"/>
  <c r="GO9" i="32"/>
  <c r="GO6" i="32"/>
  <c r="IC30" i="32"/>
  <c r="X12" i="32"/>
  <c r="C30" i="35"/>
  <c r="J40" i="34"/>
  <c r="M40" i="34"/>
  <c r="Q22" i="35"/>
  <c r="B23" i="35"/>
  <c r="H4" i="34"/>
  <c r="H40" i="34" s="1"/>
  <c r="G44" i="34" l="1"/>
  <c r="ES2" i="28"/>
  <c r="ES3" i="28" s="1"/>
  <c r="ES4" i="28" s="1"/>
  <c r="M3" i="21"/>
  <c r="AO4" i="28"/>
  <c r="W4" i="28"/>
  <c r="M29" i="41"/>
  <c r="M39" i="41" s="1"/>
  <c r="EM2" i="28"/>
  <c r="EM3" i="28" s="1"/>
  <c r="EM4" i="28" s="1"/>
  <c r="S3" i="21"/>
  <c r="S4" i="21" s="1"/>
  <c r="AE3" i="21"/>
  <c r="AE4" i="21" s="1"/>
  <c r="FW3" i="32"/>
  <c r="FW4" i="32" s="1"/>
  <c r="AK3" i="21"/>
  <c r="AK4" i="21" s="1"/>
  <c r="BY4" i="28"/>
  <c r="BY5" i="28" s="1"/>
  <c r="S7" i="21"/>
  <c r="IE2" i="32"/>
  <c r="IE5" i="32" s="1"/>
  <c r="DO2" i="28"/>
  <c r="DO3" i="28" s="1"/>
  <c r="DO4" i="28" s="1"/>
  <c r="DT3" i="32"/>
  <c r="DT4" i="32" s="1"/>
  <c r="DT5" i="32" s="1"/>
  <c r="AC4" i="28"/>
  <c r="AE7" i="21"/>
  <c r="EY4" i="28"/>
  <c r="L4" i="32"/>
  <c r="GC5" i="32"/>
  <c r="DB5" i="32"/>
  <c r="CJ5" i="32"/>
  <c r="HY2" i="32"/>
  <c r="HY4" i="32" s="1"/>
  <c r="HY5" i="32" s="1"/>
  <c r="HM3" i="32"/>
  <c r="HM4" i="32" s="1"/>
  <c r="X5" i="32"/>
  <c r="BR4" i="32"/>
  <c r="EY3" i="32"/>
  <c r="EY5" i="32" s="1"/>
  <c r="ES3" i="32"/>
  <c r="ES4" i="32" s="1"/>
  <c r="BL5" i="32"/>
  <c r="EF5" i="32"/>
  <c r="AJ4" i="32"/>
  <c r="FE3" i="32"/>
  <c r="FE4" i="32" s="1"/>
  <c r="IQ5" i="32"/>
  <c r="GC4" i="32"/>
  <c r="GO5" i="32"/>
  <c r="CV5" i="32"/>
  <c r="J44" i="34"/>
  <c r="J27" i="35"/>
  <c r="AQ4" i="21"/>
  <c r="GI5" i="32"/>
  <c r="HS3" i="32"/>
  <c r="HS4" i="32" s="1"/>
  <c r="BX3" i="32"/>
  <c r="BX5" i="32" s="1"/>
  <c r="AD5" i="32"/>
  <c r="GU4" i="32"/>
  <c r="Y4" i="21"/>
  <c r="AV5" i="32"/>
  <c r="AV4" i="32"/>
  <c r="DH4" i="32"/>
  <c r="HM5" i="32"/>
  <c r="GU5" i="32"/>
  <c r="AZ3" i="32"/>
  <c r="FK3" i="32"/>
  <c r="FK5" i="32" s="1"/>
  <c r="FQ5" i="32"/>
  <c r="DN4" i="32"/>
  <c r="IM2" i="32"/>
  <c r="IK2" i="32" s="1"/>
  <c r="CD5" i="32"/>
  <c r="CD4" i="32"/>
  <c r="DH5" i="32"/>
  <c r="BF3" i="32"/>
  <c r="BF5" i="32" s="1"/>
  <c r="EM5" i="32"/>
  <c r="DB4" i="32"/>
  <c r="AD4" i="32"/>
  <c r="DN5" i="32"/>
  <c r="M44" i="34"/>
  <c r="HA6" i="32"/>
  <c r="HA5" i="32" s="1"/>
  <c r="HA8" i="32"/>
  <c r="HA4" i="32" s="1"/>
  <c r="CP4" i="32"/>
  <c r="CP5" i="32"/>
  <c r="AP5" i="32"/>
  <c r="AP4" i="32"/>
  <c r="E3" i="28"/>
  <c r="E4" i="28" s="1"/>
  <c r="HG8" i="32"/>
  <c r="HG3" i="32" s="1"/>
  <c r="HG4" i="32" s="1"/>
  <c r="HG6" i="32"/>
  <c r="HG5" i="32" s="1"/>
  <c r="IK6" i="32"/>
  <c r="DZ5" i="32"/>
  <c r="DZ4" i="32"/>
  <c r="R5" i="32"/>
  <c r="R4" i="32"/>
  <c r="FC20" i="28"/>
  <c r="G43" i="34"/>
  <c r="FW5" i="32" l="1"/>
  <c r="IE3" i="32"/>
  <c r="IE4" i="32" s="1"/>
  <c r="IS2" i="32"/>
  <c r="IQ2" i="32" s="1"/>
  <c r="IQ3" i="32" s="1"/>
  <c r="EY4" i="32"/>
  <c r="FC22" i="28"/>
  <c r="FC21" i="28" s="1"/>
  <c r="HY6" i="32"/>
  <c r="DT6" i="32"/>
  <c r="ES5" i="32"/>
  <c r="HS5" i="32"/>
  <c r="FK4" i="32"/>
  <c r="FE5" i="32"/>
  <c r="BX4" i="32"/>
  <c r="BF4" i="32"/>
  <c r="FC18" i="28"/>
  <c r="IK3" i="32"/>
  <c r="IK4" i="32" s="1"/>
  <c r="IK5" i="32"/>
  <c r="IW2" i="32" l="1"/>
  <c r="FD32" i="28"/>
  <c r="FC7" i="28" s="1"/>
  <c r="FC8" i="28" s="1"/>
  <c r="FC28" i="28"/>
  <c r="FC5" i="28" s="1"/>
  <c r="FC6" i="28" s="1"/>
  <c r="IQ4" i="32"/>
  <c r="IW3" i="32" l="1"/>
  <c r="IW4" i="32"/>
</calcChain>
</file>

<file path=xl/comments1.xml><?xml version="1.0" encoding="utf-8"?>
<comments xmlns="http://schemas.openxmlformats.org/spreadsheetml/2006/main">
  <authors>
    <author>Administratr</author>
  </authors>
  <commentList>
    <comment ref="E2" authorId="0" shapeId="0">
      <text>
        <r>
          <rPr>
            <b/>
            <sz val="8"/>
            <color indexed="81"/>
            <rFont val="Tahoma"/>
            <family val="2"/>
          </rPr>
          <t xml:space="preserve">contingency </t>
        </r>
      </text>
    </comment>
  </commentList>
</comments>
</file>

<file path=xl/comments2.xml><?xml version="1.0" encoding="utf-8"?>
<comments xmlns="http://schemas.openxmlformats.org/spreadsheetml/2006/main">
  <authors>
    <author>a</author>
  </authors>
  <commentList>
    <comment ref="BG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3.xml><?xml version="1.0" encoding="utf-8"?>
<comments xmlns="http://schemas.openxmlformats.org/spreadsheetml/2006/main">
  <authors>
    <author>Administratr</author>
  </authors>
  <commentList>
    <comment ref="R10" authorId="0" shapeId="0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4.xml><?xml version="1.0" encoding="utf-8"?>
<comments xmlns="http://schemas.openxmlformats.org/spreadsheetml/2006/main">
  <authors>
    <author>root</author>
    <author>Tan, Victor</author>
    <author>HP</author>
  </authors>
  <commentList>
    <comment ref="F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HX6" authorId="1" shapeId="0">
      <text>
        <r>
          <rPr>
            <sz val="8"/>
            <color indexed="81"/>
            <rFont val="Tahoma"/>
            <family val="2"/>
          </rPr>
          <t>accept this huge amount, but make sure Residual is small</t>
        </r>
      </text>
    </comment>
    <comment ref="FF10" authorId="2" shapeId="0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IP50" authorId="1" shapeId="0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5.xml><?xml version="1.0" encoding="utf-8"?>
<comments xmlns="http://schemas.openxmlformats.org/spreadsheetml/2006/main">
  <authors>
    <author>Tan, Victor</author>
  </authors>
  <commentList>
    <comment ref="K3" authorId="0" shapeId="0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<sst xmlns="http://schemas.openxmlformats.org/spreadsheetml/2006/main" count="6890" uniqueCount="2751">
  <si>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</si>
  <si>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</si>
  <si>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</si>
  <si>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</si>
  <si>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</si>
  <si>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</si>
  <si>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</si>
  <si>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</si>
  <si>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</si>
  <si>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</si>
  <si>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</si>
  <si>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</si>
  <si>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</si>
  <si>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</si>
  <si>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</si>
  <si>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</si>
  <si>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</si>
  <si>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</si>
  <si>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</si>
  <si>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</si>
  <si>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</si>
  <si>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</si>
  <si>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</si>
  <si>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</si>
  <si>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</si>
  <si>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</si>
  <si>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</si>
  <si>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</si>
  <si>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</si>
  <si>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</si>
  <si>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</si>
  <si>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</si>
  <si>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</si>
  <si>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</si>
  <si>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</si>
  <si>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</si>
  <si>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</si>
  <si>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</si>
  <si>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</si>
  <si>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</si>
  <si>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</si>
  <si>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</si>
  <si>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</si>
  <si>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</si>
  <si>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</si>
  <si>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</si>
  <si>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</si>
  <si>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</si>
  <si>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</si>
  <si>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</si>
  <si>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</si>
  <si>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</si>
  <si>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</si>
  <si>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</si>
  <si>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</si>
  <si>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</si>
  <si>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</si>
  <si>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</si>
  <si>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</si>
  <si>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</si>
  <si>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</si>
  <si>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</si>
  <si>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</si>
  <si>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</si>
  <si>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</si>
  <si>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</si>
  <si>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</si>
  <si>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</si>
  <si>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</si>
  <si>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</si>
  <si>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</si>
  <si>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</si>
  <si>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</si>
  <si>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</si>
  <si>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</si>
  <si>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</si>
  <si>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</si>
  <si>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</si>
  <si>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</si>
  <si>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</si>
  <si>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</si>
  <si>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</si>
  <si>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</si>
  <si>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</si>
  <si>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</si>
  <si>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</si>
  <si>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</si>
  <si>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</si>
  <si>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</si>
  <si>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</si>
  <si>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</si>
  <si>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</si>
  <si>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</si>
  <si>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</si>
  <si>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</si>
  <si>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</si>
  <si>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</si>
  <si>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</si>
  <si>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</si>
  <si>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</si>
  <si>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</si>
  <si>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</si>
  <si>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</si>
  <si>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</si>
  <si>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</si>
  <si>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</si>
  <si>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</si>
  <si>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</si>
  <si>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</si>
  <si>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</si>
  <si>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</si>
  <si>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</si>
  <si>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</si>
  <si>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</si>
  <si>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</si>
  <si>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</si>
  <si>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</si>
  <si>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</si>
  <si>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</si>
  <si>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</si>
  <si>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</si>
  <si>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</si>
  <si>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</si>
  <si>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</si>
  <si>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</si>
  <si>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</si>
  <si>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</si>
  <si>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</si>
  <si>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</si>
  <si>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</si>
  <si>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</si>
  <si>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</si>
  <si>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</si>
  <si>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</si>
  <si>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</si>
  <si>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</si>
  <si>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</si>
  <si>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</si>
  <si>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</si>
  <si>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</si>
  <si>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</si>
  <si>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</si>
  <si>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</si>
  <si>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</si>
  <si>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</si>
  <si>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</si>
  <si>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</si>
  <si>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</si>
  <si>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</si>
  <si>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</si>
  <si>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</si>
  <si>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</si>
  <si>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</si>
  <si>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</si>
  <si>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</si>
  <si>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</si>
  <si>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</si>
  <si>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</si>
  <si>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</si>
  <si>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</si>
  <si>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</si>
  <si>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</si>
  <si>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</si>
  <si>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</si>
  <si>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</si>
  <si>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</si>
  <si>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</si>
  <si>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</si>
  <si>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</si>
  <si>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</si>
  <si>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</si>
  <si>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</si>
  <si>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</si>
  <si>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</si>
  <si>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</si>
  <si>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</si>
  <si>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</si>
  <si>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</si>
  <si>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</si>
  <si>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</si>
  <si>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</si>
  <si>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</si>
  <si>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</si>
  <si>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</si>
  <si>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</si>
  <si>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</si>
  <si>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</si>
  <si>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</si>
  <si>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</si>
  <si>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</si>
  <si>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</si>
  <si>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</si>
  <si>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</si>
  <si>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</si>
  <si>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</si>
  <si>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</si>
  <si>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</si>
  <si>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</si>
  <si>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</si>
  <si>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</si>
  <si>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</si>
  <si>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</si>
  <si>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</si>
  <si>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</si>
  <si>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</si>
  <si>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</si>
  <si>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</si>
  <si>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</si>
  <si>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</si>
  <si>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</si>
  <si>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</si>
  <si>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</si>
  <si>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</si>
  <si>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</si>
  <si>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</si>
  <si>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</si>
  <si>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</si>
  <si>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</si>
  <si>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</si>
  <si>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</si>
  <si>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</si>
  <si>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</si>
  <si>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</si>
  <si>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</si>
  <si>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</si>
  <si>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</si>
  <si>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</si>
  <si>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</si>
  <si>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</si>
  <si>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</si>
  <si>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</si>
  <si>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</si>
  <si>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</si>
  <si>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</si>
  <si>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</si>
  <si>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</si>
  <si>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</si>
  <si>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</si>
  <si>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</si>
  <si>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</si>
  <si>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</si>
  <si>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</si>
  <si>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</si>
  <si>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</si>
  <si>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</si>
  <si>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</si>
  <si>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</si>
  <si>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</si>
  <si>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</si>
  <si>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</si>
  <si>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</si>
  <si>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</si>
  <si>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</si>
  <si>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</si>
  <si>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</si>
  <si>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</si>
  <si>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</si>
  <si>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</si>
  <si>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</si>
  <si>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</si>
  <si>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</si>
  <si>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</si>
  <si>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</si>
  <si>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</si>
  <si>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</si>
  <si>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</si>
  <si>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</si>
  <si>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</si>
  <si>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</si>
  <si>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</si>
  <si>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</si>
  <si>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</si>
  <si>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</si>
  <si>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</si>
  <si>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</si>
  <si>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</si>
  <si>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</si>
  <si>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</si>
  <si>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</si>
  <si>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</si>
  <si>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</si>
  <si>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</si>
  <si>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</si>
  <si>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</si>
  <si>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</si>
  <si>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</si>
  <si>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</si>
  <si>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</si>
  <si>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</si>
  <si>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</si>
  <si>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</si>
  <si>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</si>
  <si>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</si>
  <si>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</si>
  <si>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</si>
  <si>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</si>
  <si>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</si>
  <si>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</si>
  <si>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</si>
  <si>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</si>
  <si>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</si>
  <si>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</si>
  <si>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</si>
  <si>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</si>
  <si>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</si>
  <si>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</si>
  <si>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</si>
  <si>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</si>
  <si>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</si>
  <si>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</si>
  <si>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investment with Jill Lim</t>
  </si>
  <si>
    <t>CPF</t>
  </si>
  <si>
    <t>BGC house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</si>
  <si>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</si>
  <si>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</si>
  <si>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</si>
  <si>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</si>
  <si>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</si>
  <si>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</si>
  <si>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</si>
  <si>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</si>
  <si>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</si>
  <si>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</si>
  <si>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</si>
  <si>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</si>
  <si>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</si>
  <si>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</si>
  <si>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</si>
  <si>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</si>
  <si>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</si>
  <si>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</si>
  <si>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</si>
  <si>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</si>
  <si>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</si>
  <si>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</si>
  <si>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</si>
  <si>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</si>
  <si>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</si>
  <si>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</si>
  <si>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 xml:space="preserve">  less mtg (confirmed)</t>
  </si>
  <si>
    <t xml:space="preserve">  less Grandpa's 30k</t>
  </si>
  <si>
    <t>Willson</t>
  </si>
  <si>
    <t>laptops{simlim</t>
  </si>
  <si>
    <t>-reno after Willson</t>
  </si>
  <si>
    <t>I sent zofia SMS on Xmas</t>
  </si>
  <si>
    <t>-outflow over 7M:</t>
  </si>
  <si>
    <t>USD cash excl FSM (almost)</t>
  </si>
  <si>
    <t>Combined SGD bank accounts (est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</si>
  <si>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</si>
  <si>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</si>
  <si>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</si>
  <si>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</si>
  <si>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</si>
  <si>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</si>
  <si>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</si>
  <si>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</si>
  <si>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</si>
  <si>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</si>
  <si>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</si>
  <si>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</si>
  <si>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</si>
  <si>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</si>
  <si>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</si>
  <si>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</si>
  <si>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</si>
  <si>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</si>
  <si>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</si>
  <si>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</si>
  <si>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</si>
  <si>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</si>
  <si>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</si>
  <si>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</si>
  <si>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</si>
  <si>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</si>
  <si>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</si>
  <si>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</si>
  <si>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</si>
  <si>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</si>
  <si>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</si>
  <si>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</si>
  <si>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</si>
  <si>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</si>
  <si>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</si>
  <si>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</si>
  <si>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</si>
  <si>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</si>
  <si>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</si>
  <si>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</si>
  <si>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</si>
  <si>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</si>
  <si>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</si>
  <si>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</si>
  <si>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</si>
  <si>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</si>
  <si>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</si>
  <si>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</si>
  <si>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</si>
  <si>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</si>
  <si>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</si>
  <si>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</si>
  <si>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</si>
  <si>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</si>
  <si>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</si>
  <si>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</si>
  <si>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</si>
  <si>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</si>
  <si>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</si>
  <si>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</si>
  <si>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</si>
  <si>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</si>
  <si>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</si>
  <si>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</si>
  <si>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</si>
  <si>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</si>
  <si>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</si>
  <si>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</si>
  <si>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</si>
  <si>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</si>
  <si>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</si>
  <si>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</si>
  <si>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</si>
  <si>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</si>
  <si>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</si>
  <si>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</si>
  <si>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</si>
  <si>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</si>
  <si>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</si>
  <si>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</si>
  <si>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</si>
  <si>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</si>
  <si>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</si>
  <si>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</si>
  <si>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</si>
  <si>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</si>
  <si>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</si>
  <si>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</si>
  <si>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</si>
  <si>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</si>
  <si>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</si>
  <si>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</si>
  <si>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</si>
  <si>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</si>
  <si>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</si>
  <si>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</si>
  <si>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</si>
  <si>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</si>
  <si>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</si>
  <si>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</si>
  <si>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</si>
  <si>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</si>
  <si>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</si>
  <si>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</si>
  <si>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</si>
  <si>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</si>
  <si>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</si>
  <si>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</si>
  <si>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</si>
  <si>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</si>
  <si>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</si>
  <si>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</si>
  <si>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</si>
  <si>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</si>
  <si>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</si>
  <si>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</si>
  <si>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</si>
  <si>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</si>
  <si>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</si>
  <si>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</si>
  <si>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</si>
  <si>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</si>
  <si>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</si>
  <si>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</si>
  <si>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</si>
  <si>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</si>
  <si>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</si>
  <si>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</si>
  <si>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</si>
  <si>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</si>
  <si>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</si>
  <si>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</si>
  <si>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</si>
  <si>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</si>
  <si>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</si>
  <si>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</si>
  <si>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</si>
  <si>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</si>
  <si>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</si>
  <si>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</si>
  <si>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</si>
  <si>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</si>
  <si>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</si>
  <si>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</si>
  <si>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</si>
  <si>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</si>
  <si>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</si>
  <si>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</si>
  <si>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</si>
  <si>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</si>
  <si>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</si>
  <si>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</si>
  <si>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</si>
  <si>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</si>
  <si>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</si>
  <si>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</si>
  <si>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</si>
  <si>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</si>
  <si>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</si>
  <si>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</si>
  <si>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</si>
  <si>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</si>
  <si>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</si>
  <si>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</si>
  <si>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</si>
  <si>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</si>
  <si>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</si>
  <si>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</si>
  <si>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</si>
  <si>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</si>
  <si>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</si>
  <si>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</si>
  <si>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</si>
  <si>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</si>
  <si>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</si>
  <si>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</si>
  <si>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</si>
  <si>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</si>
  <si>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</si>
  <si>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</si>
  <si>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</si>
  <si>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</si>
  <si>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</si>
  <si>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</si>
  <si>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</si>
  <si>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</si>
  <si>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</si>
  <si>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</si>
  <si>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</si>
  <si>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</si>
  <si>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</si>
  <si>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</si>
  <si>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</si>
  <si>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</si>
  <si>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</si>
  <si>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</si>
  <si>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</si>
  <si>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</si>
  <si>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</si>
  <si>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</si>
  <si>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</si>
  <si>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</si>
  <si>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</si>
  <si>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</si>
  <si>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</si>
  <si>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</si>
  <si>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</si>
  <si>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</si>
  <si>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</si>
  <si>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</si>
  <si>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</si>
  <si>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</si>
  <si>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</si>
  <si>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</si>
  <si>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</si>
  <si>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</si>
  <si>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</si>
  <si>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</si>
  <si>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</si>
  <si>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</si>
  <si>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</si>
  <si>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</si>
  <si>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</si>
  <si>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</si>
  <si>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</si>
  <si>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</si>
  <si>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</si>
  <si>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</si>
  <si>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</si>
  <si>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</si>
  <si>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</si>
  <si>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</si>
  <si>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</si>
  <si>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</si>
  <si>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</si>
  <si>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</si>
  <si>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</si>
  <si>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</si>
  <si>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</si>
  <si>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</si>
  <si>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</si>
  <si>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</si>
  <si>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</si>
  <si>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</si>
  <si>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</si>
  <si>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</si>
  <si>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</si>
  <si>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</si>
  <si>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</si>
  <si>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</si>
  <si>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</si>
  <si>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</si>
  <si>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</si>
  <si>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</si>
  <si>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</si>
  <si>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</si>
  <si>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</si>
  <si>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</si>
  <si>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</si>
  <si>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</si>
  <si>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</si>
  <si>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</si>
  <si>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</si>
  <si>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</si>
  <si>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</si>
  <si>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</si>
  <si>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</si>
  <si>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</si>
  <si>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</si>
  <si>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</si>
  <si>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</si>
  <si>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</si>
  <si>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</si>
  <si>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</si>
  <si>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</si>
  <si>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</si>
  <si>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</si>
  <si>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</si>
  <si>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</si>
  <si>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</si>
  <si>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</si>
  <si>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</si>
  <si>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</si>
  <si>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</si>
  <si>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</si>
  <si>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</si>
  <si>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</si>
  <si>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</si>
  <si>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</si>
  <si>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</si>
  <si>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</si>
  <si>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</si>
  <si>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</si>
  <si>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</si>
  <si>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</si>
  <si>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</si>
  <si>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</si>
  <si>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</si>
  <si>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</si>
  <si>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</si>
  <si>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</si>
  <si>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</si>
  <si>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</si>
  <si>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</si>
  <si>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</si>
  <si>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</si>
  <si>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</si>
  <si>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</si>
  <si>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</si>
  <si>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</si>
  <si>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</si>
  <si>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</si>
  <si>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</si>
  <si>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</si>
  <si>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</si>
  <si>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</si>
  <si>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</si>
  <si>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</si>
  <si>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</si>
  <si>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</si>
  <si>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</si>
  <si>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</si>
  <si>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</si>
  <si>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</si>
  <si>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</si>
  <si>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</si>
  <si>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</si>
  <si>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</si>
  <si>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</si>
  <si>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</si>
  <si>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</si>
  <si>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</si>
  <si>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</si>
  <si>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</si>
  <si>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</si>
  <si>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</si>
  <si>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</si>
  <si>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</si>
  <si>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</si>
  <si>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</si>
  <si>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</si>
  <si>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</si>
  <si>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</si>
  <si>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</si>
  <si>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</si>
  <si>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</si>
  <si>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</si>
  <si>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</si>
  <si>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</si>
  <si>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</si>
  <si>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</si>
  <si>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</si>
  <si>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</si>
  <si>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</si>
  <si>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</si>
  <si>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</si>
  <si>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</si>
  <si>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</si>
  <si>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</si>
  <si>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</si>
  <si>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</si>
  <si>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</si>
  <si>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</si>
  <si>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</si>
  <si>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</si>
  <si>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</si>
  <si>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</si>
  <si>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</si>
  <si>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</si>
  <si>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</si>
  <si>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</si>
  <si>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</si>
  <si>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</si>
  <si>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</si>
  <si>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</si>
  <si>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</si>
  <si>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</si>
  <si>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</si>
  <si>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</si>
  <si>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</si>
  <si>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</si>
  <si>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</si>
  <si>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</si>
  <si>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</si>
  <si>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</si>
  <si>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</si>
  <si>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</si>
  <si>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</si>
  <si>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</si>
  <si>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</si>
  <si>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</si>
  <si>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</si>
  <si>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</si>
  <si>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</si>
  <si>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</si>
  <si>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</si>
  <si>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</si>
  <si>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</si>
  <si>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</si>
  <si>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</si>
  <si>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</si>
  <si>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</si>
  <si>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</si>
  <si>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</si>
  <si>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</si>
  <si>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</si>
  <si>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</si>
  <si>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</si>
  <si>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</si>
  <si>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</si>
  <si>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</si>
  <si>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</si>
  <si>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</si>
  <si>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</si>
  <si>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</si>
  <si>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</si>
  <si>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</si>
  <si>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</si>
  <si>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</si>
  <si>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</si>
  <si>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</si>
  <si>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</si>
  <si>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</si>
  <si>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</si>
  <si>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</si>
  <si>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</si>
  <si>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</si>
  <si>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</si>
  <si>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</si>
  <si>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</si>
  <si>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</si>
  <si>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</si>
  <si>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</si>
  <si>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</si>
  <si>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</si>
  <si>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</si>
  <si>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</si>
  <si>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</si>
  <si>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</si>
  <si>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</si>
  <si>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</si>
  <si>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</si>
  <si>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</si>
  <si>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</si>
  <si>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</si>
  <si>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</si>
  <si>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</si>
  <si>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</si>
  <si>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</si>
  <si>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</si>
  <si>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</si>
  <si>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</si>
  <si>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</si>
  <si>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</si>
  <si>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</si>
  <si>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</si>
  <si>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</si>
  <si>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</si>
  <si>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</si>
  <si>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</si>
  <si>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</si>
  <si>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</si>
  <si>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</si>
  <si>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</si>
  <si>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</si>
  <si>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</si>
  <si>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</si>
  <si>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</si>
  <si>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</si>
  <si>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</si>
  <si>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</si>
  <si>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</si>
  <si>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</si>
  <si>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</si>
  <si>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</si>
  <si>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</si>
  <si>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</si>
  <si>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</si>
  <si>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</si>
  <si>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</si>
  <si>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</si>
  <si>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</si>
  <si>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</si>
  <si>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</si>
  <si>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</si>
  <si>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</si>
  <si>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</si>
  <si>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</si>
  <si>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</si>
  <si>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</si>
  <si>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</si>
  <si>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</si>
  <si>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</si>
  <si>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</si>
  <si>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</si>
  <si>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</si>
  <si>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</si>
  <si>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</si>
  <si>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</si>
  <si>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</si>
  <si>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</si>
  <si>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</si>
  <si>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</si>
  <si>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</si>
  <si>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</si>
  <si>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</si>
  <si>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</si>
  <si>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</si>
  <si>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</si>
  <si>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</si>
  <si>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</si>
  <si>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</si>
  <si>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</si>
  <si>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</si>
  <si>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</si>
  <si>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</si>
  <si>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</si>
  <si>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</si>
  <si>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</si>
  <si>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</si>
  <si>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</si>
  <si>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</si>
  <si>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</si>
  <si>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</si>
  <si>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</si>
  <si>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</si>
  <si>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</si>
  <si>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</si>
  <si>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</si>
  <si>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</si>
  <si>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</si>
  <si>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</si>
  <si>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</si>
  <si>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</si>
  <si>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</si>
  <si>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</si>
  <si>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</si>
  <si>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</si>
  <si>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</si>
  <si>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</si>
  <si>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</si>
  <si>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</si>
  <si>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</si>
  <si>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</si>
  <si>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</si>
  <si>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</si>
  <si>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</si>
  <si>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</si>
  <si>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</si>
  <si>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</si>
  <si>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</si>
  <si>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</si>
  <si>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</si>
  <si>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</si>
  <si>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</si>
  <si>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</si>
  <si>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</si>
  <si>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</si>
  <si>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</si>
  <si>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</si>
  <si>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</si>
  <si>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</si>
  <si>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</si>
  <si>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</si>
  <si>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</si>
  <si>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</si>
  <si>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</si>
  <si>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</si>
  <si>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</si>
  <si>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</si>
  <si>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see grandpa$$+mine.txt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</si>
  <si>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</si>
  <si>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</si>
  <si>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</si>
  <si>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</si>
  <si>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</si>
  <si>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</si>
  <si>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</si>
  <si>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</si>
  <si>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</si>
  <si>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</si>
  <si>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</si>
  <si>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</si>
  <si>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</si>
  <si>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</si>
  <si>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</si>
  <si>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</si>
  <si>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</si>
  <si>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</si>
  <si>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</si>
  <si>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</si>
  <si>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</si>
  <si>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</si>
  <si>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</si>
  <si>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</si>
  <si>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</si>
  <si>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</si>
  <si>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</si>
  <si>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</si>
  <si>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</si>
  <si>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</si>
  <si>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</si>
  <si>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</si>
  <si>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</si>
  <si>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</si>
  <si>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</si>
  <si>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</si>
  <si>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</si>
  <si>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</si>
  <si>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</si>
  <si>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</si>
  <si>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</si>
  <si>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</si>
  <si>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</si>
  <si>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</si>
  <si>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</si>
  <si>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</si>
  <si>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</si>
  <si>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</si>
  <si>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</si>
  <si>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</si>
  <si>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</si>
  <si>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</si>
  <si>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</si>
  <si>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</si>
  <si>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</si>
  <si>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</si>
  <si>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</si>
  <si>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</si>
  <si>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</si>
  <si>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</si>
  <si>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</si>
  <si>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</si>
  <si>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</si>
  <si>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</si>
  <si>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</si>
  <si>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</si>
  <si>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</si>
  <si>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</si>
  <si>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</si>
  <si>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</si>
  <si>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</si>
  <si>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</si>
  <si>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</si>
  <si>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</si>
  <si>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</si>
  <si>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</si>
  <si>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</si>
  <si>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</si>
  <si>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</si>
  <si>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</si>
  <si>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</si>
  <si>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</si>
  <si>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</si>
  <si>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</si>
  <si>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</si>
  <si>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</si>
  <si>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</si>
  <si>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</si>
  <si>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</si>
  <si>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</si>
  <si>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</si>
  <si>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</si>
  <si>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</si>
  <si>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</si>
  <si>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</si>
  <si>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</si>
  <si>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</si>
  <si>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</si>
  <si>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</si>
  <si>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</si>
  <si>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</si>
  <si>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</si>
  <si>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</si>
  <si>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</si>
  <si>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</si>
  <si>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</si>
  <si>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</si>
  <si>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</si>
  <si>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</si>
  <si>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</si>
  <si>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</si>
  <si>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</si>
  <si>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</si>
  <si>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</si>
  <si>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</si>
  <si>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</si>
  <si>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</si>
  <si>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</si>
  <si>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</si>
  <si>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</si>
  <si>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</si>
  <si>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</si>
  <si>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</si>
  <si>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</si>
  <si>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</si>
  <si>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</si>
  <si>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</si>
  <si>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</si>
  <si>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</si>
  <si>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</si>
  <si>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</si>
  <si>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</si>
  <si>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</si>
  <si>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</si>
  <si>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</si>
  <si>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</si>
  <si>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</si>
  <si>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</si>
  <si>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</si>
  <si>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</si>
  <si>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</si>
  <si>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</si>
  <si>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</si>
  <si>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</si>
  <si>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</si>
  <si>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</si>
  <si>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</si>
  <si>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</si>
  <si>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</si>
  <si>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</si>
  <si>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</si>
  <si>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</si>
  <si>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</si>
  <si>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</si>
  <si>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</si>
  <si>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</si>
  <si>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</si>
  <si>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</si>
  <si>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</si>
  <si>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</si>
  <si>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</si>
  <si>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</si>
  <si>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</si>
  <si>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</si>
  <si>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</si>
  <si>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</si>
  <si>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</si>
  <si>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</si>
  <si>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</si>
  <si>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</si>
  <si>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</si>
  <si>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</si>
  <si>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</si>
  <si>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</si>
  <si>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</si>
  <si>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</si>
  <si>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</si>
  <si>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</si>
  <si>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</si>
  <si>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</si>
  <si>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</si>
  <si>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</si>
  <si>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</si>
  <si>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</si>
  <si>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</si>
  <si>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</si>
  <si>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</si>
  <si>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</si>
  <si>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</si>
  <si>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</si>
  <si>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</si>
  <si>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</si>
  <si>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</si>
  <si>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</si>
  <si>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</si>
  <si>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</si>
  <si>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</si>
  <si>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</si>
  <si>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</si>
  <si>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</si>
  <si>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</si>
  <si>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</si>
  <si>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</si>
  <si>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</si>
  <si>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</si>
  <si>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</si>
  <si>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</si>
  <si>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</si>
  <si>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</si>
  <si>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</si>
  <si>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</si>
  <si>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</si>
  <si>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</si>
  <si>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</si>
  <si>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</si>
  <si>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</si>
  <si>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</si>
  <si>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</si>
  <si>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</si>
  <si>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</si>
  <si>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</si>
  <si>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</si>
  <si>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</si>
  <si>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</si>
  <si>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</si>
  <si>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</si>
  <si>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</si>
  <si>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</si>
  <si>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</si>
  <si>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</si>
  <si>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</si>
  <si>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</si>
  <si>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</si>
  <si>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</si>
  <si>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</si>
  <si>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</si>
  <si>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</si>
  <si>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</si>
  <si>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</si>
  <si>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</si>
  <si>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</si>
  <si>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</si>
  <si>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</si>
  <si>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</si>
  <si>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</si>
  <si>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</si>
  <si>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</si>
  <si>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</si>
  <si>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</si>
  <si>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</si>
  <si>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</si>
  <si>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</si>
  <si>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</si>
  <si>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</si>
  <si>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</si>
  <si>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</si>
  <si>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</si>
  <si>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</si>
  <si>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</si>
  <si>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</si>
  <si>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</si>
  <si>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</si>
  <si>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</si>
  <si>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</si>
  <si>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</si>
  <si>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</si>
  <si>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</si>
  <si>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</si>
  <si>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</si>
  <si>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</si>
  <si>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</si>
  <si>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</si>
  <si>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</si>
  <si>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</si>
  <si>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</si>
  <si>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</si>
  <si>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</si>
  <si>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</si>
  <si>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</si>
  <si>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</si>
  <si>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</si>
  <si>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</si>
  <si>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</si>
  <si>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</si>
  <si>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</si>
  <si>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</si>
  <si>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</si>
  <si>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</si>
  <si>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</si>
  <si>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</si>
  <si>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</si>
  <si>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</si>
  <si>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</si>
  <si>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</si>
  <si>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</si>
  <si>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</si>
  <si>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</si>
  <si>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</si>
  <si>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</si>
  <si>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</si>
  <si>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</si>
  <si>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</si>
  <si>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</si>
  <si>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</si>
  <si>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</si>
  <si>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</si>
  <si>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</si>
  <si>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</si>
  <si>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</si>
  <si>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</si>
  <si>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</si>
  <si>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</si>
  <si>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</si>
  <si>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</si>
  <si>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</si>
  <si>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</si>
  <si>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</si>
  <si>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</si>
  <si>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</si>
  <si>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</si>
  <si>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</si>
  <si>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</si>
  <si>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</si>
  <si>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</si>
  <si>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</si>
  <si>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</si>
  <si>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</si>
  <si>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</si>
  <si>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</si>
  <si>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</si>
  <si>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</si>
  <si>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</si>
  <si>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</si>
  <si>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</si>
  <si>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</si>
  <si>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</si>
  <si>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</si>
  <si>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</si>
  <si>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</si>
  <si>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</si>
  <si>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</si>
  <si>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</si>
  <si>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</si>
  <si>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</si>
  <si>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</si>
  <si>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</si>
  <si>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</si>
  <si>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</si>
  <si>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</si>
  <si>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</si>
  <si>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</si>
  <si>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</si>
  <si>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</si>
  <si>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</si>
  <si>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</si>
  <si>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</si>
  <si>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</si>
  <si>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</si>
  <si>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</si>
  <si>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</si>
  <si>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</si>
  <si>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</si>
  <si>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</si>
  <si>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</si>
  <si>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</si>
  <si>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</si>
  <si>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</si>
  <si>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</si>
  <si>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</si>
  <si>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</si>
  <si>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</si>
  <si>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</si>
  <si>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</si>
  <si>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</si>
  <si>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</si>
  <si>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</si>
  <si>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</si>
  <si>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</si>
  <si>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</si>
  <si>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</si>
  <si>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</si>
  <si>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</si>
  <si>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</si>
  <si>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</si>
  <si>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</si>
  <si>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</si>
  <si>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</si>
  <si>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</si>
  <si>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</si>
  <si>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</si>
  <si>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</si>
  <si>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</si>
  <si>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</si>
  <si>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</si>
  <si>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</si>
  <si>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</si>
  <si>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</si>
  <si>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</si>
  <si>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</si>
  <si>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</si>
  <si>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</si>
  <si>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</si>
  <si>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</si>
  <si>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</si>
  <si>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</si>
  <si>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</si>
  <si>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</si>
  <si>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</si>
  <si>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</si>
  <si>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</si>
  <si>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</si>
  <si>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</si>
  <si>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</si>
  <si>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</si>
  <si>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</si>
  <si>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</si>
  <si>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</si>
  <si>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</si>
  <si>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</si>
  <si>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</si>
  <si>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</si>
  <si>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</si>
  <si>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</si>
  <si>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</si>
  <si>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</si>
  <si>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</si>
  <si>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</si>
  <si>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</si>
  <si>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</si>
  <si>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</si>
  <si>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</si>
  <si>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</si>
  <si>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</si>
  <si>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</si>
  <si>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</si>
  <si>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</si>
  <si>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</si>
  <si>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</si>
  <si>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</si>
  <si>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</si>
  <si>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</si>
  <si>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</si>
  <si>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</si>
  <si>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</si>
  <si>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</si>
  <si>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</si>
  <si>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</si>
  <si>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</si>
  <si>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</si>
  <si>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</si>
  <si>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</si>
  <si>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</si>
  <si>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</si>
  <si>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</si>
  <si>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</si>
  <si>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</si>
  <si>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</si>
  <si>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</si>
  <si>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</si>
  <si>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</si>
  <si>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</si>
  <si>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</si>
  <si>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</si>
  <si>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</si>
  <si>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</si>
  <si>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</si>
  <si>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</si>
  <si>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</si>
  <si>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</si>
  <si>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</si>
  <si>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</si>
  <si>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</si>
  <si>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</si>
  <si>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</si>
  <si>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</si>
  <si>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</si>
  <si>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</si>
  <si>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</si>
  <si>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</si>
  <si>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</si>
  <si>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</si>
  <si>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</si>
  <si>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</si>
  <si>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</si>
  <si>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</si>
  <si>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</si>
  <si>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</si>
  <si>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</si>
  <si>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</si>
  <si>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</si>
  <si>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</si>
  <si>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</si>
  <si>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</si>
  <si>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</si>
  <si>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</si>
  <si>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</si>
  <si>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</si>
  <si>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</si>
  <si>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</si>
  <si>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</si>
  <si>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</si>
  <si>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</si>
  <si>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</si>
  <si>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</si>
  <si>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</si>
  <si>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</si>
  <si>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</si>
  <si>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</si>
  <si>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</si>
  <si>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</si>
  <si>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</si>
  <si>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</si>
  <si>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</si>
  <si>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</si>
  <si>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</si>
  <si>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</si>
  <si>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</si>
  <si>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</si>
  <si>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</si>
  <si>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</si>
  <si>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</si>
  <si>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</si>
  <si>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</si>
  <si>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</si>
  <si>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</si>
  <si>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</si>
  <si>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</si>
  <si>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</si>
  <si>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</si>
  <si>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</si>
  <si>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</si>
  <si>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</si>
  <si>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</si>
  <si>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</si>
  <si>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</si>
  <si>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</si>
  <si>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</si>
  <si>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</si>
  <si>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</si>
  <si>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</si>
  <si>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</si>
  <si>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</si>
  <si>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</si>
  <si>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</si>
  <si>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</si>
  <si>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</si>
  <si>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</si>
  <si>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</si>
  <si>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</si>
  <si>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</si>
  <si>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</si>
  <si>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</si>
  <si>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</si>
  <si>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</si>
  <si>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</si>
  <si>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</si>
  <si>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</si>
  <si>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</si>
  <si>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</si>
  <si>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</si>
  <si>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</si>
  <si>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</si>
  <si>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</si>
  <si>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</si>
  <si>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</si>
  <si>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</si>
  <si>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</si>
  <si>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</si>
  <si>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</si>
  <si>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</si>
  <si>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</si>
  <si>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</si>
  <si>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</si>
  <si>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</si>
  <si>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</si>
  <si>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</si>
  <si>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</si>
  <si>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</si>
  <si>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</si>
  <si>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</si>
  <si>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</si>
  <si>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</si>
  <si>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</si>
  <si>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</si>
  <si>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</si>
  <si>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</si>
  <si>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</si>
  <si>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</si>
  <si>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</si>
  <si>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</si>
  <si>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</si>
  <si>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</si>
  <si>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</si>
  <si>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</si>
  <si>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</si>
  <si>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</si>
  <si>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</si>
  <si>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</si>
  <si>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</si>
  <si>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</si>
  <si>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</si>
  <si>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</si>
  <si>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</si>
  <si>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</si>
  <si>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</si>
  <si>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</si>
  <si>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</si>
  <si>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</si>
  <si>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</si>
  <si>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</si>
  <si>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</si>
  <si>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</si>
  <si>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</si>
  <si>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</si>
  <si>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</si>
  <si>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</si>
  <si>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</si>
  <si>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</si>
  <si>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</si>
  <si>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</si>
  <si>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</si>
  <si>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</si>
  <si>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</si>
  <si>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</si>
  <si>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</si>
  <si>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</si>
  <si>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</si>
  <si>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</si>
  <si>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</si>
  <si>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</si>
  <si>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</si>
  <si>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</si>
  <si>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</si>
  <si>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</si>
  <si>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</si>
  <si>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</si>
  <si>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</si>
  <si>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</si>
  <si>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</si>
  <si>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</si>
  <si>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</si>
  <si>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</si>
  <si>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</si>
  <si>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</si>
  <si>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</si>
  <si>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</si>
  <si>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</si>
  <si>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</si>
  <si>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</si>
  <si>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</si>
  <si>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</si>
  <si>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</si>
  <si>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</si>
  <si>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</si>
  <si>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</si>
  <si>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</si>
  <si>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</si>
  <si>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</si>
  <si>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</si>
  <si>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</si>
  <si>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</si>
  <si>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</si>
  <si>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</si>
  <si>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</si>
  <si>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</si>
  <si>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</si>
  <si>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</si>
  <si>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</si>
  <si>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</si>
  <si>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</si>
  <si>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</si>
  <si>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</si>
  <si>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</si>
  <si>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</si>
  <si>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</si>
  <si>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</si>
  <si>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</si>
  <si>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</si>
  <si>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</si>
  <si>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</si>
  <si>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</si>
  <si>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</si>
  <si>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</si>
  <si>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</si>
  <si>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</si>
  <si>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</si>
  <si>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</si>
  <si>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</si>
  <si>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</si>
  <si>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</si>
  <si>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</si>
  <si>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</si>
  <si>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</si>
  <si>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</si>
  <si>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</si>
  <si>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</si>
  <si>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</si>
  <si>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</si>
  <si>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</si>
  <si>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</si>
  <si>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</si>
  <si>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</si>
  <si>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</si>
  <si>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</si>
  <si>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</si>
  <si>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</si>
  <si>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</si>
  <si>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</si>
  <si>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</si>
  <si>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</si>
  <si>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</si>
  <si>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</si>
  <si>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</si>
  <si>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</si>
  <si>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</si>
  <si>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</si>
  <si>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</si>
  <si>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</si>
  <si>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</si>
  <si>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</si>
  <si>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</si>
  <si>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</si>
  <si>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</si>
  <si>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</si>
  <si>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</si>
  <si>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</si>
  <si>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</si>
  <si>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</si>
  <si>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</si>
  <si>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</si>
  <si>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</si>
  <si>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</si>
  <si>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</si>
  <si>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</si>
  <si>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</si>
  <si>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</si>
  <si>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</si>
  <si>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</si>
  <si>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</si>
  <si>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</si>
  <si>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</si>
  <si>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</si>
  <si>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</si>
  <si>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</si>
  <si>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</si>
  <si>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</si>
  <si>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</si>
  <si>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</si>
  <si>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</si>
  <si>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</si>
  <si>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</si>
  <si>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</si>
  <si>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</si>
  <si>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</si>
  <si>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</si>
  <si>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</si>
  <si>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</si>
  <si>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</si>
  <si>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</si>
  <si>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</si>
  <si>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</si>
  <si>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</si>
  <si>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</si>
  <si>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</si>
  <si>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</si>
  <si>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</si>
  <si>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</si>
  <si>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</si>
  <si>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</si>
  <si>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</si>
  <si>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</si>
  <si>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</si>
  <si>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</si>
  <si>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</si>
  <si>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</si>
  <si>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</si>
  <si>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</si>
  <si>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</si>
  <si>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</si>
  <si>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</si>
  <si>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</si>
  <si>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</si>
  <si>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</si>
  <si>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</si>
  <si>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</si>
  <si>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</si>
  <si>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</si>
  <si>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</si>
  <si>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</si>
  <si>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</si>
  <si>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</si>
  <si>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</si>
  <si>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</si>
  <si>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</si>
  <si>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</si>
  <si>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</si>
  <si>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</si>
  <si>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</si>
  <si>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</si>
  <si>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</si>
  <si>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</si>
  <si>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</si>
  <si>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</si>
  <si>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</si>
  <si>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</si>
  <si>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</si>
  <si>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</si>
  <si>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</si>
  <si>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</si>
  <si>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</si>
  <si>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</si>
  <si>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</si>
  <si>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</si>
  <si>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</si>
  <si>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</si>
  <si>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</si>
  <si>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</si>
  <si>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</si>
  <si>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</si>
  <si>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</si>
  <si>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</si>
  <si>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</si>
  <si>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</si>
  <si>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</si>
  <si>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</si>
  <si>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</si>
  <si>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</si>
  <si>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</si>
  <si>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</si>
  <si>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</si>
  <si>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</si>
  <si>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</si>
  <si>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</si>
  <si>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</si>
  <si>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</si>
  <si>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</si>
  <si>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</si>
  <si>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</si>
  <si>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</si>
  <si>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</si>
  <si>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</si>
  <si>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</si>
  <si>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</si>
  <si>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</si>
  <si>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</si>
  <si>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</si>
  <si>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</si>
  <si>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</si>
  <si>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</si>
  <si>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</si>
  <si>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</si>
  <si>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</si>
  <si>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</si>
  <si>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</si>
  <si>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</si>
  <si>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</si>
  <si>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</si>
  <si>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</si>
  <si>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</si>
  <si>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</si>
  <si>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</si>
  <si>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</si>
  <si>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</si>
  <si>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</si>
  <si>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</si>
  <si>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</si>
  <si>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</si>
  <si>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</si>
  <si>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</si>
  <si>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</si>
  <si>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</si>
  <si>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</si>
  <si>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</si>
  <si>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</si>
  <si>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</si>
  <si>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</si>
  <si>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</si>
  <si>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</si>
  <si>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</si>
  <si>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</si>
  <si>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</si>
  <si>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</si>
  <si>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</si>
  <si>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</si>
  <si>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</si>
  <si>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</si>
  <si>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</si>
  <si>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</si>
  <si>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</si>
  <si>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</si>
  <si>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</si>
  <si>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</si>
  <si>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</si>
  <si>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</si>
  <si>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</si>
  <si>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</si>
  <si>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</si>
  <si>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</si>
  <si>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</si>
  <si>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</si>
  <si>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</si>
  <si>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</si>
  <si>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</si>
  <si>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</si>
  <si>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</si>
  <si>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</si>
  <si>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</si>
  <si>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</si>
  <si>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</si>
  <si>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</si>
  <si>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</si>
  <si>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</si>
  <si>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</si>
  <si>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</si>
  <si>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</si>
  <si>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</si>
  <si>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</si>
  <si>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</si>
  <si>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</si>
  <si>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</si>
  <si>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</si>
  <si>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</si>
  <si>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</si>
  <si>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</si>
  <si>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</si>
  <si>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</si>
  <si>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</si>
  <si>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</si>
  <si>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</si>
  <si>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</si>
  <si>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</si>
  <si>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</si>
  <si>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</si>
  <si>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</si>
  <si>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</si>
  <si>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</si>
  <si>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</si>
  <si>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</si>
  <si>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</si>
  <si>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</si>
  <si>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</si>
  <si>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</si>
  <si>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</si>
  <si>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</si>
  <si>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</si>
  <si>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</si>
  <si>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</si>
  <si>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</si>
  <si>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</si>
  <si>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</si>
  <si>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</si>
  <si>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</si>
  <si>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</si>
  <si>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</si>
  <si>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</si>
  <si>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</si>
  <si>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</si>
  <si>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</si>
  <si>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</si>
  <si>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</si>
  <si>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</si>
  <si>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</si>
  <si>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</si>
  <si>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</si>
  <si>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</si>
  <si>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</si>
  <si>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</si>
  <si>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</si>
  <si>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</si>
  <si>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</si>
  <si>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</si>
  <si>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</si>
  <si>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</si>
  <si>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</si>
  <si>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</si>
  <si>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</si>
  <si>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</si>
  <si>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</si>
  <si>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</si>
  <si>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</si>
  <si>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</si>
  <si>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</si>
  <si>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</si>
  <si>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</si>
  <si>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</si>
  <si>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</si>
  <si>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</si>
  <si>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</si>
  <si>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</si>
  <si>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</si>
  <si>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</si>
  <si>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</si>
  <si>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</si>
  <si>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</si>
  <si>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</si>
  <si>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</si>
  <si>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</si>
  <si>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</si>
  <si>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</si>
  <si>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</si>
  <si>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</si>
  <si>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</si>
  <si>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</si>
  <si>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</si>
  <si>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</si>
  <si>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</si>
  <si>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</si>
  <si>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</si>
  <si>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</si>
  <si>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</si>
  <si>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</si>
  <si>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</si>
  <si>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</si>
  <si>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</si>
  <si>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Saizeriya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</si>
  <si>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</si>
  <si>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</si>
  <si>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</si>
  <si>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</si>
  <si>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</si>
  <si>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</si>
  <si>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</si>
  <si>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</si>
  <si>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</si>
  <si>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</si>
  <si>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</si>
  <si>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</si>
  <si>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</si>
  <si>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</si>
  <si>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</si>
  <si>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</si>
  <si>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</si>
  <si>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</si>
  <si>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</si>
  <si>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</si>
  <si>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</si>
  <si>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</si>
  <si>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</si>
  <si>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</si>
  <si>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</si>
  <si>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</si>
  <si>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</si>
  <si>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</si>
  <si>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</si>
  <si>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</si>
  <si>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</si>
  <si>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</si>
  <si>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</si>
  <si>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</si>
  <si>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</si>
  <si>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</si>
  <si>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</si>
  <si>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</si>
  <si>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</si>
  <si>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</si>
  <si>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</si>
  <si>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</si>
  <si>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</si>
  <si>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</si>
  <si>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</si>
  <si>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</si>
  <si>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</si>
  <si>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</si>
  <si>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</si>
  <si>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</si>
  <si>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</si>
  <si>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</si>
  <si>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</si>
  <si>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</si>
  <si>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</si>
  <si>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</si>
  <si>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</si>
  <si>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</si>
  <si>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</si>
  <si>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</si>
  <si>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</si>
  <si>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</si>
  <si>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</si>
  <si>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</si>
  <si>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</si>
  <si>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</si>
  <si>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</si>
  <si>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</si>
  <si>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</si>
  <si>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</si>
  <si>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</si>
  <si>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</si>
  <si>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</si>
  <si>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</si>
  <si>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</si>
  <si>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</si>
  <si>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</si>
  <si>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</si>
  <si>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</si>
  <si>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</si>
  <si>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</si>
  <si>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</si>
  <si>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</si>
  <si>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</si>
  <si>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</si>
  <si>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</si>
  <si>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</si>
  <si>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</si>
  <si>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</si>
  <si>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</si>
  <si>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</si>
  <si>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</si>
  <si>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</si>
  <si>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</si>
  <si>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</si>
  <si>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</si>
  <si>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</si>
  <si>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</si>
  <si>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</si>
  <si>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</si>
  <si>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</si>
  <si>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</si>
  <si>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</si>
  <si>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</si>
  <si>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</si>
  <si>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</si>
  <si>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</si>
  <si>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</si>
  <si>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</si>
  <si>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</si>
  <si>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</si>
  <si>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</si>
  <si>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</si>
  <si>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</si>
  <si>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</si>
  <si>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</si>
  <si>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</si>
  <si>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</si>
  <si>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</si>
  <si>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</si>
  <si>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</si>
  <si>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</si>
  <si>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</si>
  <si>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</si>
  <si>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</si>
  <si>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</si>
  <si>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</si>
  <si>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</si>
  <si>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</si>
  <si>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</si>
  <si>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</si>
  <si>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</si>
  <si>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</si>
  <si>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</si>
  <si>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</si>
  <si>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</si>
  <si>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</si>
  <si>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</si>
  <si>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</si>
  <si>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</si>
  <si>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</si>
  <si>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</si>
  <si>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</si>
  <si>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</si>
  <si>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</si>
  <si>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</si>
  <si>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</si>
  <si>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</si>
  <si>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</si>
  <si>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</si>
  <si>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</si>
  <si>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</si>
  <si>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</si>
  <si>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</si>
  <si>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</si>
  <si>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</si>
  <si>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</si>
  <si>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</si>
  <si>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</si>
  <si>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</si>
  <si>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</si>
  <si>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</si>
  <si>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</si>
  <si>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</si>
  <si>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</si>
  <si>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</si>
  <si>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</si>
  <si>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</si>
  <si>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</si>
  <si>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</si>
  <si>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</si>
  <si>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</si>
  <si>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</si>
  <si>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</si>
  <si>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</si>
  <si>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</si>
  <si>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</si>
  <si>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</si>
  <si>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</si>
  <si>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</si>
  <si>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</si>
  <si>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</si>
  <si>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</si>
  <si>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</si>
  <si>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</si>
  <si>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</si>
  <si>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</si>
  <si>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</si>
  <si>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</si>
  <si>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</si>
  <si>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</si>
  <si>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</si>
  <si>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</si>
  <si>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</si>
  <si>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</si>
  <si>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</si>
  <si>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</si>
  <si>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</si>
  <si>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</si>
  <si>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</si>
  <si>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</si>
  <si>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</si>
  <si>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</si>
  <si>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</si>
  <si>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</si>
  <si>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</si>
  <si>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</si>
  <si>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</si>
  <si>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</si>
  <si>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</si>
  <si>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</si>
  <si>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</si>
  <si>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</si>
  <si>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</si>
  <si>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</si>
  <si>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</si>
  <si>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</si>
  <si>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</si>
  <si>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</si>
  <si>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</si>
  <si>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</si>
  <si>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</si>
  <si>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</si>
  <si>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</si>
  <si>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</si>
  <si>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</si>
  <si>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</si>
  <si>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</si>
  <si>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</si>
  <si>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</si>
  <si>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</si>
  <si>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</si>
  <si>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</si>
  <si>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</si>
  <si>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</si>
  <si>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</si>
  <si>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</si>
  <si>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</si>
  <si>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</si>
  <si>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</si>
  <si>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</si>
  <si>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</si>
  <si>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</si>
  <si>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</si>
  <si>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</si>
  <si>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</si>
  <si>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</si>
  <si>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</si>
  <si>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</si>
  <si>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</si>
  <si>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</si>
  <si>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</si>
  <si>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</si>
  <si>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</si>
  <si>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</si>
  <si>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</si>
  <si>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</si>
  <si>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</si>
  <si>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</si>
  <si>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</si>
  <si>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</si>
  <si>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</si>
  <si>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</si>
  <si>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</si>
  <si>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</si>
  <si>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</si>
  <si>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</si>
  <si>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</si>
  <si>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</si>
  <si>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</si>
  <si>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</si>
  <si>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</si>
  <si>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</si>
  <si>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</si>
  <si>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</si>
  <si>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</si>
  <si>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</si>
  <si>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</si>
  <si>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</si>
  <si>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</si>
  <si>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</si>
  <si>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</si>
  <si>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</si>
  <si>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</si>
  <si>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</si>
  <si>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</si>
  <si>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</si>
  <si>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</si>
  <si>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</si>
  <si>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NA</t>
  </si>
  <si>
    <t>[15 Jun] first reduction in mtg outstanding, by about 2k</t>
  </si>
  <si>
    <t>before wipe-out</t>
  </si>
  <si>
    <t>Now wife OA+SA&gt;100k</t>
  </si>
  <si>
    <t>calc'd</t>
  </si>
  <si>
    <t>2nd red packet} VC=</t>
  </si>
  <si>
    <t>1st red packet  } VC=</t>
  </si>
  <si>
    <t>comm</t>
  </si>
  <si>
    <t>px-OTP</t>
  </si>
  <si>
    <t>mtg paid off</t>
  </si>
  <si>
    <t>boy uniform</t>
  </si>
  <si>
    <t>boy meal</t>
  </si>
  <si>
    <t>cCard DBS</t>
  </si>
  <si>
    <t>SRS=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</si>
  <si>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</si>
  <si>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</si>
  <si>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</si>
  <si>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</si>
  <si>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</si>
  <si>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</si>
  <si>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</si>
  <si>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</si>
  <si>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</si>
  <si>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</si>
  <si>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</si>
  <si>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</si>
  <si>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next day</t>
  </si>
  <si>
    <t>Anywheel#11Sep</t>
  </si>
  <si>
    <r>
      <rPr>
        <sz val="12"/>
        <color indexed="10"/>
        <rFont val="Calibri"/>
        <family val="2"/>
      </rPr>
      <t>cpfOA-}cash</t>
    </r>
    <r>
      <rPr>
        <sz val="12"/>
        <color indexed="8"/>
        <rFont val="Calibri"/>
        <family val="2"/>
      </rPr>
      <t xml:space="preserve">  wipe-out</t>
    </r>
  </si>
  <si>
    <t>, refund for wife, to earn 4%</t>
  </si>
  <si>
    <t>someday in 2024 or 2025</t>
  </si>
  <si>
    <t>After "depositing a cpf-FD", hous`refund disallowed :(</t>
  </si>
  <si>
    <t>After "withdrawing from cpf-FD",  hous`refund allowed :)</t>
  </si>
  <si>
    <r>
      <rPr>
        <sz val="12"/>
        <color indexed="10"/>
        <rFont val="Calibri"/>
        <family val="2"/>
      </rPr>
      <t xml:space="preserve">cash-}cpfOA </t>
    </r>
    <r>
      <rPr>
        <sz val="12"/>
        <color indexed="8"/>
        <rFont val="Calibri"/>
        <family val="2"/>
      </rPr>
      <t xml:space="preserve">}SA </t>
    </r>
    <r>
      <rPr>
        <sz val="12"/>
        <color indexed="8"/>
        <rFont val="Calibri"/>
        <family val="2"/>
      </rPr>
      <t xml:space="preserve">
</t>
    </r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</si>
  <si>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</si>
  <si>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</si>
  <si>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</si>
  <si>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</si>
  <si>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</si>
  <si>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</si>
  <si>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</si>
  <si>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</si>
  <si>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</si>
  <si>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</si>
  <si>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</si>
  <si>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</si>
  <si>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</si>
  <si>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</si>
  <si>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</si>
  <si>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</si>
  <si>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</si>
  <si>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</si>
  <si>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</si>
  <si>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</si>
  <si>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</si>
  <si>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</si>
  <si>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</si>
  <si>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</si>
  <si>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</si>
  <si>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</si>
  <si>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This sheet is gaining importance, but the HIS19 tab is still more important.</t>
  </si>
  <si>
    <t>misc liq amt</t>
  </si>
  <si>
    <t>.not</t>
  </si>
  <si>
    <t>.tracked</t>
  </si>
  <si>
    <t>HIS19 sheet is more battle-tested, adjusted more, more consistent.</t>
  </si>
  <si>
    <t>The forecast in the lower half of this sheet are hard to validate-in-hindsight. Too time-consuming. I would say LG for the verification, and focus on the snapshot and future forecast</t>
  </si>
  <si>
    <t>some day</t>
  </si>
  <si>
    <t>&lt;- remainder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</si>
  <si>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</si>
  <si>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</si>
  <si>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</si>
  <si>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</si>
  <si>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</si>
  <si>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</si>
  <si>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</si>
  <si>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</si>
  <si>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</si>
  <si>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</si>
  <si>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</si>
  <si>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</si>
  <si>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</si>
  <si>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</si>
  <si>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</si>
  <si>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</si>
  <si>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</si>
  <si>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</si>
  <si>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</si>
  <si>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</si>
  <si>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</si>
  <si>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</si>
  <si>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</si>
  <si>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</si>
  <si>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</si>
  <si>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</si>
  <si>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</si>
  <si>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</si>
  <si>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</si>
  <si>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</si>
  <si>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</si>
  <si>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</si>
  <si>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Saizeriya8+16Oct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</si>
  <si>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</si>
  <si>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</si>
  <si>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</si>
  <si>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</si>
  <si>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</si>
  <si>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</si>
  <si>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</si>
  <si>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</si>
  <si>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</si>
  <si>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</si>
  <si>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</si>
  <si>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</si>
  <si>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</si>
  <si>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</si>
  <si>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</si>
  <si>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</si>
  <si>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</si>
  <si>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</si>
  <si>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</si>
  <si>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</si>
  <si>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</si>
  <si>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</si>
  <si>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</si>
  <si>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</si>
  <si>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</si>
  <si>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</si>
  <si>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</si>
  <si>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</si>
  <si>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</si>
  <si>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</si>
  <si>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</si>
  <si>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</si>
  <si>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</si>
  <si>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</si>
  <si>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</si>
  <si>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</si>
  <si>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</si>
  <si>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</si>
  <si>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</si>
  <si>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</si>
  <si>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</si>
  <si>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</si>
  <si>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</si>
  <si>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</si>
  <si>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</si>
  <si>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</si>
  <si>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</si>
  <si>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</si>
  <si>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</si>
  <si>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</si>
  <si>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</si>
  <si>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</si>
  <si>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</si>
  <si>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</si>
  <si>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</si>
  <si>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</si>
  <si>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</si>
  <si>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</si>
  <si>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</si>
  <si>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</si>
  <si>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</si>
  <si>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</si>
  <si>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</si>
  <si>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</si>
  <si>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</si>
  <si>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</si>
  <si>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</si>
  <si>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</si>
  <si>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</si>
  <si>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</si>
  <si>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</si>
  <si>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</si>
  <si>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</si>
  <si>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</si>
  <si>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</si>
  <si>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</si>
  <si>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</si>
  <si>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</si>
  <si>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</si>
  <si>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</si>
  <si>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</si>
  <si>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</si>
  <si>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</si>
  <si>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</si>
  <si>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</si>
  <si>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</si>
  <si>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</si>
  <si>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</si>
  <si>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</si>
  <si>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</si>
  <si>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</si>
  <si>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</si>
  <si>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</si>
  <si>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</si>
  <si>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</si>
  <si>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</si>
  <si>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</si>
  <si>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</si>
  <si>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</si>
  <si>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</si>
  <si>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</si>
  <si>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</si>
  <si>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</si>
  <si>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</si>
  <si>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</si>
  <si>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</si>
  <si>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</si>
  <si>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</si>
  <si>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Saizeriya 26Nov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</si>
  <si>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</si>
  <si>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</si>
  <si>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</si>
  <si>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</si>
  <si>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</si>
  <si>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</si>
  <si>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</si>
  <si>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</si>
  <si>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</si>
  <si>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</si>
  <si>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</si>
  <si>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</si>
  <si>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</si>
  <si>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</si>
  <si>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</si>
  <si>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</si>
  <si>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</si>
  <si>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</si>
  <si>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</si>
  <si>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</si>
  <si>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</si>
  <si>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</si>
  <si>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</si>
  <si>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</si>
  <si>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</si>
  <si>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</si>
  <si>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</si>
  <si>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</si>
  <si>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</si>
  <si>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</si>
  <si>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</si>
  <si>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</si>
  <si>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</si>
  <si>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</si>
  <si>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</si>
  <si>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</si>
  <si>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</si>
  <si>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</si>
  <si>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</si>
  <si>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</si>
  <si>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</si>
  <si>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</si>
  <si>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</si>
  <si>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</si>
  <si>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</si>
  <si>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</si>
  <si>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</si>
  <si>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</si>
  <si>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</si>
  <si>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</si>
  <si>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</si>
  <si>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</si>
  <si>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</si>
  <si>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</si>
  <si>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</si>
  <si>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</si>
  <si>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</si>
  <si>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</si>
  <si>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</si>
  <si>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</si>
  <si>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</si>
  <si>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</si>
  <si>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</si>
  <si>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</si>
  <si>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</si>
  <si>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</si>
  <si>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</si>
  <si>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</si>
  <si>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</si>
  <si>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</si>
  <si>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</si>
  <si>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</si>
  <si>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</si>
  <si>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</si>
  <si>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</si>
  <si>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</si>
  <si>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</si>
  <si>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</si>
  <si>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</si>
  <si>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</si>
  <si>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</si>
  <si>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</si>
  <si>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</si>
  <si>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</si>
  <si>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</si>
  <si>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</si>
  <si>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</si>
  <si>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</si>
  <si>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</si>
  <si>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</si>
  <si>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</si>
  <si>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</si>
  <si>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</si>
  <si>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</si>
  <si>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</si>
  <si>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</si>
  <si>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</si>
  <si>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</si>
  <si>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</si>
  <si>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</si>
  <si>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</si>
  <si>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FRP</t>
  </si>
  <si>
    <t>cpf+cash</t>
  </si>
  <si>
    <t>cpfOA amount to use</t>
  </si>
  <si>
    <t>BS22125T back to UOB</t>
  </si>
  <si>
    <t>BS22125T back to cpfOA</t>
  </si>
  <si>
    <t>BS22123S back to cpfOA</t>
  </si>
  <si>
    <t>EGA</t>
  </si>
  <si>
    <t>covered by
#high IR</t>
  </si>
  <si>
    <t>133 tBill</t>
  </si>
  <si>
    <t>113 tBill</t>
  </si>
  <si>
    <t>tBill+EGA</t>
  </si>
  <si>
    <t>leave 140k outstanding #cpfOA</t>
  </si>
  <si>
    <t>&lt;&lt;&lt; bonus int</t>
  </si>
  <si>
    <t>&lt;&lt;&lt; welcome reward</t>
  </si>
  <si>
    <t xml:space="preserve">MCS
</t>
  </si>
  <si>
    <t>sushi@Tampines</t>
  </si>
  <si>
    <t>anyWheel 26Dec,1,8Jan</t>
  </si>
  <si>
    <t>cpf-issued deduction</t>
  </si>
  <si>
    <t xml:space="preserve">   cpf OA</t>
  </si>
  <si>
    <t>tBill+MCS+FD</t>
  </si>
  <si>
    <t>transfer most fund from EGA to BOC</t>
  </si>
  <si>
    <t>me</t>
  </si>
  <si>
    <t xml:space="preserve">close EGA 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</si>
  <si>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</si>
  <si>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</si>
  <si>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</si>
  <si>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</si>
  <si>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</si>
  <si>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</si>
  <si>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</si>
  <si>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</si>
  <si>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</si>
  <si>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</si>
  <si>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</si>
  <si>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</si>
  <si>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</si>
  <si>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</si>
  <si>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</si>
  <si>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</si>
  <si>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</si>
  <si>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</si>
  <si>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</si>
  <si>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</si>
  <si>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</si>
  <si>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</si>
  <si>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</si>
  <si>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tuition2kids</t>
  </si>
  <si>
    <t>OC#526 {counter pay17Jan</t>
  </si>
  <si>
    <t>BOC MCS #$200</t>
  </si>
  <si>
    <t>EGA base int</t>
  </si>
  <si>
    <t>tBills #assume illiquid</t>
  </si>
  <si>
    <t>ETF div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</si>
  <si>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</si>
  <si>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</si>
  <si>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</si>
  <si>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</si>
  <si>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</si>
  <si>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</si>
  <si>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</si>
  <si>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</si>
  <si>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PPP12c</t>
  </si>
  <si>
    <t>pay down from 250k to cpfOA capacity</t>
  </si>
  <si>
    <t>early Apr</t>
  </si>
  <si>
    <t>early May</t>
  </si>
  <si>
    <r>
      <t xml:space="preserve">submit PPP20 + </t>
    </r>
    <r>
      <rPr>
        <b/>
        <sz val="10"/>
        <color theme="5" tint="-0.249977111117893"/>
        <rFont val="Calibri"/>
        <family val="2"/>
        <scheme val="minor"/>
      </rPr>
      <t>FRP</t>
    </r>
    <r>
      <rPr>
        <b/>
        <sz val="10"/>
        <color rgb="FF00B0F0"/>
        <rFont val="Calibri"/>
        <family val="2"/>
        <scheme val="minor"/>
      </rPr>
      <t xml:space="preserve"> on OC and cpf sites, by 2May</t>
    </r>
  </si>
  <si>
    <t>leave 115k+ outstanding #cpfOA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</si>
  <si>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</si>
  <si>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</si>
  <si>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</si>
  <si>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</si>
  <si>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</si>
  <si>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</si>
  <si>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</si>
  <si>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</si>
  <si>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</si>
  <si>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</si>
  <si>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</si>
  <si>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</si>
  <si>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</si>
  <si>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</si>
  <si>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</si>
  <si>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</si>
  <si>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</si>
  <si>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</si>
  <si>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</si>
  <si>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</si>
  <si>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</si>
  <si>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</si>
  <si>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</si>
  <si>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</si>
  <si>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</si>
  <si>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</si>
  <si>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</si>
  <si>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</si>
  <si>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</si>
  <si>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</si>
  <si>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</si>
  <si>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</si>
  <si>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</si>
  <si>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submit PPP12x on OC, then call in to fix the date to 28Apr or later</t>
  </si>
  <si>
    <t>PPP12x</t>
  </si>
  <si>
    <t>SRS incl stock+mufu</t>
  </si>
  <si>
    <t>me #0sal</t>
  </si>
  <si>
    <t>locked down 
!! Impulsive</t>
  </si>
  <si>
    <t>&lt; inform HSBC to terminate Premier</t>
  </si>
  <si>
    <t>&lt; HSBC premier to convert to $15k/M mode</t>
  </si>
  <si>
    <t>shopee mosquito</t>
  </si>
  <si>
    <t>submit PPP12c(avoid deduction at EOM) on OC+cpf… decoupled</t>
  </si>
  <si>
    <t xml:space="preserve">cpf </t>
  </si>
  <si>
    <t xml:space="preserve">cash </t>
  </si>
  <si>
    <t>late Apr &gt;</t>
  </si>
  <si>
    <t>B10)ePay SBH</t>
  </si>
  <si>
    <t>SingLife</t>
  </si>
  <si>
    <t>xfer2wife #4k so far</t>
  </si>
  <si>
    <t>SSB int</t>
  </si>
  <si>
    <t>G3piano exam</t>
  </si>
  <si>
    <t>EGA int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</si>
  <si>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</si>
  <si>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</si>
  <si>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</si>
  <si>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</si>
  <si>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</si>
  <si>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</si>
  <si>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</si>
  <si>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</si>
  <si>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</si>
  <si>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&lt;&lt;&lt;BOC FD transferred</t>
  </si>
  <si>
    <t>tBill per CDP</t>
  </si>
  <si>
    <t>HsbcGV</t>
  </si>
  <si>
    <t>earmarked4 new tBill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</si>
  <si>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</si>
  <si>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</si>
  <si>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</si>
  <si>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</si>
  <si>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</si>
  <si>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</si>
  <si>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</si>
  <si>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saizeriya 11Feb</t>
  </si>
  <si>
    <t>PacLight#Nov+Jan</t>
  </si>
  <si>
    <t>saizeriya 5 Feb</t>
  </si>
  <si>
    <t>cpf both</t>
  </si>
  <si>
    <t>PNB courier</t>
  </si>
  <si>
    <t>mufu div</t>
  </si>
  <si>
    <t>mtg-P #3175.47</t>
  </si>
  <si>
    <t>MB kids</t>
  </si>
  <si>
    <t>NTUC #MB</t>
  </si>
  <si>
    <t>Starhub#EOM</t>
  </si>
  <si>
    <t>Popular #DCS</t>
  </si>
  <si>
    <t>115.37 not yet</t>
  </si>
  <si>
    <t>Starhub#$5refund</t>
  </si>
  <si>
    <t>BOC
 TD</t>
  </si>
  <si>
    <t>BOC-TD</t>
  </si>
  <si>
    <t>PPP12:  two requests</t>
  </si>
  <si>
    <t>fruits, nuts</t>
  </si>
  <si>
    <t>EGA-RBFT</t>
  </si>
  <si>
    <t>PPP2</t>
  </si>
  <si>
    <t>submit PPP2, to let 8k sit in cpfOA for one full month. Deduction date Monday 3 Apr</t>
  </si>
  <si>
    <t>see PPP12x event documented a few lines below</t>
  </si>
  <si>
    <t>Saizeriya 19Feb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</si>
  <si>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</si>
  <si>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</si>
  <si>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</si>
  <si>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</si>
  <si>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</si>
  <si>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</si>
  <si>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</si>
  <si>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av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</si>
  <si>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</si>
  <si>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</si>
  <si>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</si>
  <si>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</si>
  <si>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</si>
  <si>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</si>
  <si>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</si>
  <si>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</si>
  <si>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</si>
  <si>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</si>
  <si>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</si>
  <si>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</si>
  <si>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</si>
  <si>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</si>
  <si>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</si>
  <si>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</si>
  <si>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</si>
  <si>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</si>
  <si>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</si>
  <si>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</si>
  <si>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</si>
  <si>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Citi #4RBFT</t>
  </si>
  <si>
    <t>EOD 15 Feb 2023</t>
  </si>
  <si>
    <t>EOD 16 Jan 2023</t>
  </si>
  <si>
    <t>kids meal</t>
  </si>
  <si>
    <t>EOD 2023</t>
  </si>
  <si>
    <t>boy}MCS #taxi</t>
  </si>
  <si>
    <t>.. IRAS Giro</t>
  </si>
  <si>
    <t>RBFT.MB int</t>
  </si>
  <si>
    <t>sushiEx#MB</t>
  </si>
  <si>
    <t>tiny credit bal</t>
  </si>
  <si>
    <t>total converted to USD:</t>
  </si>
  <si>
    <t>total converted to SGD:</t>
  </si>
  <si>
    <t>book val</t>
  </si>
  <si>
    <t>late Mar &gt;</t>
  </si>
  <si>
    <t>dental 24Feb#MB</t>
  </si>
  <si>
    <t>RBFT保守est</t>
  </si>
  <si>
    <t>Feb23{bonus</t>
  </si>
  <si>
    <t>Mar20{bonus</t>
  </si>
  <si>
    <t>46k givens2kids</t>
  </si>
  <si>
    <t>3 bill-pay</t>
  </si>
  <si>
    <t>charge $500 to BOC dCard</t>
  </si>
  <si>
    <t>SingPow</t>
  </si>
  <si>
    <t>&lt; 12k tBill</t>
  </si>
  <si>
    <t>&lt; 100k tBill</t>
  </si>
  <si>
    <t>&lt; 33k tBill</t>
  </si>
  <si>
    <t>&lt; 31k tBill</t>
  </si>
  <si>
    <t>mid Mar &gt;</t>
  </si>
  <si>
    <t>&lt; inform Jeremy: PPP2 to be 4 Apr</t>
  </si>
  <si>
    <t>MyCarePlus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</si>
</sst>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4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m/d/yy;@"/>
    <numFmt numFmtId="178" formatCode="ddd\,d/mmm"/>
    <numFmt numFmtId="179" formatCode="[$USD]\ #,##0"/>
    <numFmt numFmtId="180" formatCode="#,##0.000"/>
    <numFmt numFmtId="181" formatCode="mmm/d/yyyy"/>
  </numFmts>
  <fonts count="91" x14ac:knownFonts="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20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2"/>
      <color indexed="10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9" tint="-0.249977111117893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rgb="FF00B05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00B0F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b/>
      <sz val="10"/>
      <color theme="9" tint="-0.249977111117893"/>
      <name val="Calibri"/>
      <family val="2"/>
      <scheme val="minor"/>
    </font>
    <font>
      <sz val="10"/>
      <color theme="0" tint="-0.14999847407452621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b/>
      <sz val="8"/>
      <color theme="0"/>
      <name val="Arial"/>
      <family val="2"/>
    </font>
    <font>
      <sz val="10"/>
      <color theme="0" tint="-0.34998626667073579"/>
      <name val="Calibri"/>
      <family val="2"/>
      <scheme val="minor"/>
    </font>
    <font>
      <b/>
      <sz val="10"/>
      <color theme="7" tint="0.39997558519241921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821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24" fillId="6" borderId="0" xfId="0" applyFont="1" applyFill="1"/>
    <xf numFmtId="166" fontId="24" fillId="6" borderId="0" xfId="0" applyNumberFormat="1" applyFont="1" applyFill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166" fontId="0" fillId="0" borderId="0" xfId="0" applyNumberFormat="1" applyFill="1"/>
    <xf numFmtId="49" fontId="25" fillId="0" borderId="0" xfId="0" applyNumberFormat="1" applyFont="1" applyAlignment="1">
      <alignment vertical="top"/>
    </xf>
    <xf numFmtId="49" fontId="25" fillId="0" borderId="0" xfId="0" quotePrefix="1" applyNumberFormat="1" applyFont="1" applyAlignment="1">
      <alignment vertical="top"/>
    </xf>
    <xf numFmtId="0" fontId="25" fillId="0" borderId="0" xfId="0" applyFont="1" applyAlignment="1">
      <alignment vertical="top"/>
    </xf>
    <xf numFmtId="0" fontId="25" fillId="0" borderId="0" xfId="0" applyNumberFormat="1" applyFont="1" applyAlignment="1">
      <alignment vertical="top"/>
    </xf>
    <xf numFmtId="1" fontId="25" fillId="0" borderId="0" xfId="0" applyNumberFormat="1" applyFont="1" applyAlignment="1">
      <alignment vertical="top"/>
    </xf>
    <xf numFmtId="49" fontId="25" fillId="0" borderId="0" xfId="0" applyNumberFormat="1" applyFont="1" applyAlignment="1">
      <alignment vertical="top" wrapText="1"/>
    </xf>
    <xf numFmtId="0" fontId="25" fillId="0" borderId="1" xfId="0" quotePrefix="1" applyFont="1" applyBorder="1" applyAlignment="1">
      <alignment vertical="top" wrapText="1"/>
    </xf>
    <xf numFmtId="0" fontId="25" fillId="0" borderId="3" xfId="0" applyNumberFormat="1" applyFont="1" applyBorder="1" applyAlignment="1">
      <alignment vertical="top"/>
    </xf>
    <xf numFmtId="49" fontId="25" fillId="0" borderId="2" xfId="0" quotePrefix="1" applyNumberFormat="1" applyFont="1" applyBorder="1" applyAlignment="1">
      <alignment vertical="top"/>
    </xf>
    <xf numFmtId="0" fontId="25" fillId="0" borderId="4" xfId="0" applyNumberFormat="1" applyFont="1" applyBorder="1" applyAlignment="1">
      <alignment vertical="top"/>
    </xf>
    <xf numFmtId="0" fontId="25" fillId="0" borderId="2" xfId="0" quotePrefix="1" applyFont="1" applyBorder="1" applyAlignment="1">
      <alignment vertical="top"/>
    </xf>
    <xf numFmtId="0" fontId="25" fillId="0" borderId="4" xfId="0" applyNumberFormat="1" applyFont="1" applyFill="1" applyBorder="1" applyAlignment="1">
      <alignment vertical="top"/>
    </xf>
    <xf numFmtId="0" fontId="25" fillId="0" borderId="5" xfId="0" applyFont="1" applyBorder="1" applyAlignment="1">
      <alignment vertical="top"/>
    </xf>
    <xf numFmtId="0" fontId="25" fillId="0" borderId="6" xfId="0" applyNumberFormat="1" applyFont="1" applyBorder="1" applyAlignment="1">
      <alignment vertical="top"/>
    </xf>
    <xf numFmtId="0" fontId="25" fillId="0" borderId="0" xfId="0" quotePrefix="1" applyFont="1" applyBorder="1" applyAlignment="1">
      <alignment vertical="top"/>
    </xf>
    <xf numFmtId="0" fontId="25" fillId="0" borderId="0" xfId="0" quotePrefix="1" applyFont="1" applyAlignment="1">
      <alignment vertical="top"/>
    </xf>
    <xf numFmtId="0" fontId="25" fillId="0" borderId="0" xfId="0" applyNumberFormat="1" applyFont="1" applyBorder="1" applyAlignment="1">
      <alignment vertical="top"/>
    </xf>
    <xf numFmtId="0" fontId="25" fillId="0" borderId="0" xfId="0" applyFont="1" applyBorder="1" applyAlignment="1">
      <alignment vertical="top"/>
    </xf>
    <xf numFmtId="0" fontId="25" fillId="0" borderId="0" xfId="0" applyNumberFormat="1" applyFont="1" applyBorder="1" applyAlignment="1">
      <alignment horizontal="right" vertical="top"/>
    </xf>
    <xf numFmtId="0" fontId="25" fillId="0" borderId="0" xfId="0" quotePrefix="1" applyFont="1" applyFill="1" applyBorder="1" applyAlignment="1">
      <alignment vertical="top"/>
    </xf>
    <xf numFmtId="0" fontId="25" fillId="0" borderId="0" xfId="0" applyNumberFormat="1" applyFont="1" applyFill="1" applyBorder="1" applyAlignment="1">
      <alignment horizontal="right" vertical="top"/>
    </xf>
    <xf numFmtId="15" fontId="25" fillId="0" borderId="0" xfId="0" applyNumberFormat="1" applyFont="1" applyAlignment="1">
      <alignment horizontal="right" vertical="top"/>
    </xf>
    <xf numFmtId="0" fontId="25" fillId="0" borderId="0" xfId="0" applyFont="1" applyAlignment="1">
      <alignment horizontal="right" vertical="top"/>
    </xf>
    <xf numFmtId="0" fontId="0" fillId="0" borderId="0" xfId="0" applyFont="1"/>
    <xf numFmtId="0" fontId="26" fillId="0" borderId="0" xfId="0" applyFont="1"/>
    <xf numFmtId="49" fontId="26" fillId="0" borderId="12" xfId="0" applyNumberFormat="1" applyFont="1" applyBorder="1"/>
    <xf numFmtId="0" fontId="26" fillId="0" borderId="12" xfId="0" applyNumberFormat="1" applyFont="1" applyBorder="1"/>
    <xf numFmtId="49" fontId="26" fillId="0" borderId="7" xfId="0" applyNumberFormat="1" applyFont="1" applyBorder="1"/>
    <xf numFmtId="0" fontId="26" fillId="0" borderId="7" xfId="0" applyFont="1" applyBorder="1"/>
    <xf numFmtId="49" fontId="26" fillId="0" borderId="7" xfId="0" applyNumberFormat="1" applyFont="1" applyFill="1" applyBorder="1"/>
    <xf numFmtId="0" fontId="0" fillId="4" borderId="0" xfId="0" applyFill="1" applyBorder="1"/>
    <xf numFmtId="49" fontId="27" fillId="0" borderId="0" xfId="0" quotePrefix="1" applyNumberFormat="1" applyFont="1" applyAlignment="1">
      <alignment vertical="top"/>
    </xf>
    <xf numFmtId="0" fontId="27" fillId="0" borderId="0" xfId="0" applyNumberFormat="1" applyFont="1" applyAlignment="1">
      <alignment vertical="top"/>
    </xf>
    <xf numFmtId="0" fontId="27" fillId="0" borderId="0" xfId="0" quotePrefix="1" applyFont="1" applyBorder="1" applyAlignment="1">
      <alignment vertical="top"/>
    </xf>
    <xf numFmtId="49" fontId="27" fillId="0" borderId="0" xfId="0" applyNumberFormat="1" applyFont="1" applyAlignment="1">
      <alignment vertical="top"/>
    </xf>
    <xf numFmtId="0" fontId="25" fillId="0" borderId="0" xfId="0" applyFont="1"/>
    <xf numFmtId="42" fontId="25" fillId="0" borderId="0" xfId="0" applyNumberFormat="1" applyFont="1"/>
    <xf numFmtId="0" fontId="27" fillId="0" borderId="0" xfId="0" applyFont="1"/>
    <xf numFmtId="0" fontId="28" fillId="0" borderId="0" xfId="0" applyFont="1"/>
    <xf numFmtId="0" fontId="28" fillId="0" borderId="0" xfId="0" quotePrefix="1" applyFont="1"/>
    <xf numFmtId="0" fontId="25" fillId="0" borderId="0" xfId="0" quotePrefix="1" applyFont="1"/>
    <xf numFmtId="0" fontId="27" fillId="0" borderId="0" xfId="0" quotePrefix="1" applyFont="1"/>
    <xf numFmtId="49" fontId="25" fillId="0" borderId="0" xfId="0" quotePrefix="1" applyNumberFormat="1" applyFont="1" applyAlignment="1">
      <alignment vertical="top" wrapText="1"/>
    </xf>
    <xf numFmtId="0" fontId="25" fillId="0" borderId="0" xfId="0" applyNumberFormat="1" applyFont="1"/>
    <xf numFmtId="49" fontId="26" fillId="0" borderId="7" xfId="0" applyNumberFormat="1" applyFont="1" applyBorder="1" applyAlignment="1">
      <alignment wrapText="1"/>
    </xf>
    <xf numFmtId="49" fontId="29" fillId="0" borderId="0" xfId="0" quotePrefix="1" applyNumberFormat="1" applyFont="1" applyAlignment="1">
      <alignment vertical="top"/>
    </xf>
    <xf numFmtId="0" fontId="29" fillId="0" borderId="0" xfId="0" quotePrefix="1" applyFont="1"/>
    <xf numFmtId="0" fontId="29" fillId="0" borderId="0" xfId="0" applyFont="1"/>
    <xf numFmtId="0" fontId="30" fillId="0" borderId="0" xfId="0" quotePrefix="1" applyFont="1"/>
    <xf numFmtId="0" fontId="31" fillId="0" borderId="0" xfId="0" applyFont="1"/>
    <xf numFmtId="0" fontId="31" fillId="0" borderId="0" xfId="0" quotePrefix="1" applyFont="1"/>
    <xf numFmtId="0" fontId="32" fillId="0" borderId="0" xfId="0" applyFont="1"/>
    <xf numFmtId="49" fontId="32" fillId="0" borderId="0" xfId="0" applyNumberFormat="1" applyFont="1" applyAlignment="1">
      <alignment vertical="top"/>
    </xf>
    <xf numFmtId="0" fontId="32" fillId="0" borderId="0" xfId="0" quotePrefix="1" applyFont="1"/>
    <xf numFmtId="16" fontId="31" fillId="0" borderId="0" xfId="0" applyNumberFormat="1" applyFont="1"/>
    <xf numFmtId="4" fontId="32" fillId="0" borderId="0" xfId="0" applyNumberFormat="1" applyFont="1"/>
    <xf numFmtId="3" fontId="31" fillId="0" borderId="0" xfId="0" applyNumberFormat="1" applyFont="1"/>
    <xf numFmtId="49" fontId="31" fillId="0" borderId="7" xfId="0" applyNumberFormat="1" applyFont="1" applyBorder="1"/>
    <xf numFmtId="0" fontId="31" fillId="0" borderId="7" xfId="0" applyFont="1" applyBorder="1"/>
    <xf numFmtId="49" fontId="31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6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3" fillId="0" borderId="0" xfId="0" applyFont="1"/>
    <xf numFmtId="0" fontId="34" fillId="0" borderId="0" xfId="0" applyFont="1"/>
    <xf numFmtId="0" fontId="34" fillId="0" borderId="0" xfId="0" quotePrefix="1" applyFont="1"/>
    <xf numFmtId="49" fontId="32" fillId="0" borderId="0" xfId="0" quotePrefix="1" applyNumberFormat="1" applyFont="1" applyAlignment="1">
      <alignment vertical="top"/>
    </xf>
    <xf numFmtId="49" fontId="32" fillId="0" borderId="0" xfId="0" quotePrefix="1" applyNumberFormat="1" applyFont="1" applyAlignment="1">
      <alignment vertical="top" wrapText="1"/>
    </xf>
    <xf numFmtId="0" fontId="32" fillId="0" borderId="0" xfId="0" quotePrefix="1" applyFont="1" applyAlignment="1">
      <alignment wrapText="1"/>
    </xf>
    <xf numFmtId="0" fontId="31" fillId="0" borderId="0" xfId="0" applyFont="1" applyAlignment="1">
      <alignment wrapText="1"/>
    </xf>
    <xf numFmtId="49" fontId="25" fillId="0" borderId="0" xfId="0" quotePrefix="1" applyNumberFormat="1" applyFont="1" applyAlignment="1">
      <alignment wrapText="1"/>
    </xf>
    <xf numFmtId="0" fontId="35" fillId="0" borderId="0" xfId="0" applyFont="1"/>
    <xf numFmtId="0" fontId="36" fillId="0" borderId="0" xfId="0" quotePrefix="1" applyFont="1"/>
    <xf numFmtId="0" fontId="36" fillId="0" borderId="0" xfId="0" applyFont="1"/>
    <xf numFmtId="0" fontId="37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8" fillId="0" borderId="0" xfId="0" applyNumberFormat="1" applyFont="1"/>
    <xf numFmtId="0" fontId="38" fillId="0" borderId="0" xfId="0" applyFont="1"/>
    <xf numFmtId="0" fontId="39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40" fillId="0" borderId="0" xfId="0" applyFont="1" applyFill="1"/>
    <xf numFmtId="0" fontId="32" fillId="0" borderId="7" xfId="0" applyFont="1" applyFill="1" applyBorder="1"/>
    <xf numFmtId="0" fontId="32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0" fontId="12" fillId="0" borderId="0" xfId="0" applyFont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41" fillId="0" borderId="0" xfId="0" applyNumberFormat="1" applyFont="1"/>
    <xf numFmtId="3" fontId="41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2" fillId="0" borderId="0" xfId="0" applyFont="1"/>
    <xf numFmtId="0" fontId="43" fillId="0" borderId="0" xfId="0" applyFont="1"/>
    <xf numFmtId="0" fontId="45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6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7" fillId="0" borderId="0" xfId="0" applyFont="1"/>
    <xf numFmtId="0" fontId="47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4" fillId="6" borderId="7" xfId="0" applyFont="1" applyFill="1" applyBorder="1"/>
    <xf numFmtId="166" fontId="24" fillId="6" borderId="7" xfId="0" applyNumberFormat="1" applyFont="1" applyFill="1" applyBorder="1"/>
    <xf numFmtId="3" fontId="24" fillId="6" borderId="7" xfId="0" applyNumberFormat="1" applyFont="1" applyFill="1" applyBorder="1"/>
    <xf numFmtId="0" fontId="0" fillId="0" borderId="9" xfId="0" applyFill="1" applyBorder="1" applyAlignment="1"/>
    <xf numFmtId="49" fontId="32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2" fillId="0" borderId="0" xfId="0" applyFont="1" applyFill="1"/>
    <xf numFmtId="0" fontId="35" fillId="0" borderId="0" xfId="0" applyFont="1" applyFill="1"/>
    <xf numFmtId="0" fontId="29" fillId="0" borderId="0" xfId="0" applyFont="1" applyFill="1"/>
    <xf numFmtId="0" fontId="43" fillId="0" borderId="0" xfId="0" applyFont="1" applyFill="1"/>
    <xf numFmtId="0" fontId="26" fillId="0" borderId="0" xfId="0" applyFont="1" applyFill="1"/>
    <xf numFmtId="0" fontId="47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4" fillId="0" borderId="0" xfId="0" applyFont="1" applyFill="1"/>
    <xf numFmtId="0" fontId="1" fillId="0" borderId="0" xfId="0" applyFont="1"/>
    <xf numFmtId="0" fontId="48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2" fillId="0" borderId="0" xfId="0" applyFont="1" applyFill="1"/>
    <xf numFmtId="0" fontId="46" fillId="0" borderId="0" xfId="0" applyFont="1" applyFill="1"/>
    <xf numFmtId="0" fontId="49" fillId="0" borderId="0" xfId="0" applyFont="1" applyFill="1"/>
    <xf numFmtId="0" fontId="50" fillId="0" borderId="0" xfId="0" applyFont="1" applyFill="1"/>
    <xf numFmtId="0" fontId="45" fillId="0" borderId="0" xfId="0" applyFont="1" applyFill="1"/>
    <xf numFmtId="49" fontId="0" fillId="0" borderId="0" xfId="0" applyNumberFormat="1" applyFont="1" applyFill="1" applyAlignment="1">
      <alignment vertical="top"/>
    </xf>
    <xf numFmtId="0" fontId="24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40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5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50" fillId="0" borderId="0" xfId="0" applyFont="1"/>
    <xf numFmtId="0" fontId="49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51" fillId="0" borderId="0" xfId="0" applyFont="1"/>
    <xf numFmtId="0" fontId="4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0" fontId="56" fillId="0" borderId="0" xfId="0" applyFont="1"/>
    <xf numFmtId="0" fontId="57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2" fillId="10" borderId="0" xfId="0" quotePrefix="1" applyFont="1" applyFill="1" applyAlignment="1">
      <alignment horizontal="center"/>
    </xf>
    <xf numFmtId="0" fontId="58" fillId="0" borderId="0" xfId="0" applyFont="1"/>
    <xf numFmtId="3" fontId="1" fillId="0" borderId="0" xfId="0" applyNumberFormat="1" applyFont="1"/>
    <xf numFmtId="0" fontId="59" fillId="0" borderId="0" xfId="3" applyFont="1"/>
    <xf numFmtId="0" fontId="59" fillId="0" borderId="0" xfId="3" applyNumberFormat="1" applyFont="1"/>
    <xf numFmtId="0" fontId="59" fillId="0" borderId="0" xfId="3" applyFont="1" applyBorder="1"/>
    <xf numFmtId="0" fontId="59" fillId="0" borderId="0" xfId="3" applyNumberFormat="1" applyFont="1" applyBorder="1"/>
    <xf numFmtId="0" fontId="59" fillId="0" borderId="7" xfId="3" applyFont="1" applyBorder="1"/>
    <xf numFmtId="0" fontId="59" fillId="0" borderId="7" xfId="3" applyNumberFormat="1" applyFont="1" applyBorder="1"/>
    <xf numFmtId="0" fontId="59" fillId="12" borderId="7" xfId="3" applyFont="1" applyFill="1" applyBorder="1"/>
    <xf numFmtId="0" fontId="59" fillId="12" borderId="7" xfId="3" applyNumberFormat="1" applyFont="1" applyFill="1" applyBorder="1"/>
    <xf numFmtId="0" fontId="59" fillId="0" borderId="0" xfId="3" applyFont="1" applyAlignment="1">
      <alignment horizontal="right"/>
    </xf>
    <xf numFmtId="0" fontId="59" fillId="0" borderId="7" xfId="3" applyFont="1" applyBorder="1" applyAlignment="1">
      <alignment horizontal="right"/>
    </xf>
    <xf numFmtId="0" fontId="59" fillId="0" borderId="21" xfId="3" applyFont="1" applyBorder="1" applyAlignment="1">
      <alignment wrapText="1"/>
    </xf>
    <xf numFmtId="0" fontId="59" fillId="0" borderId="21" xfId="3" applyFont="1" applyBorder="1" applyAlignment="1"/>
    <xf numFmtId="0" fontId="22" fillId="0" borderId="0" xfId="3"/>
    <xf numFmtId="0" fontId="22" fillId="0" borderId="12" xfId="3" applyBorder="1"/>
    <xf numFmtId="0" fontId="59" fillId="15" borderId="11" xfId="3" applyFont="1" applyFill="1" applyBorder="1" applyAlignment="1">
      <alignment vertical="top" wrapText="1"/>
    </xf>
    <xf numFmtId="3" fontId="22" fillId="0" borderId="12" xfId="3" applyNumberFormat="1" applyBorder="1"/>
    <xf numFmtId="174" fontId="59" fillId="0" borderId="0" xfId="3" applyNumberFormat="1" applyFont="1"/>
    <xf numFmtId="174" fontId="59" fillId="0" borderId="10" xfId="3" applyNumberFormat="1" applyFont="1" applyBorder="1"/>
    <xf numFmtId="174" fontId="59" fillId="0" borderId="10" xfId="3" applyNumberFormat="1" applyFont="1" applyBorder="1" applyAlignment="1">
      <alignment horizontal="right"/>
    </xf>
    <xf numFmtId="174" fontId="59" fillId="0" borderId="7" xfId="3" applyNumberFormat="1" applyFont="1" applyBorder="1" applyAlignment="1">
      <alignment horizontal="right"/>
    </xf>
    <xf numFmtId="174" fontId="59" fillId="12" borderId="7" xfId="3" applyNumberFormat="1" applyFont="1" applyFill="1" applyBorder="1" applyAlignment="1">
      <alignment horizontal="right"/>
    </xf>
    <xf numFmtId="174" fontId="59" fillId="0" borderId="0" xfId="3" applyNumberFormat="1" applyFont="1" applyBorder="1"/>
    <xf numFmtId="0" fontId="0" fillId="0" borderId="0" xfId="0" quotePrefix="1" applyFill="1" applyBorder="1"/>
    <xf numFmtId="166" fontId="22" fillId="0" borderId="0" xfId="3" applyNumberFormat="1"/>
    <xf numFmtId="166" fontId="22" fillId="0" borderId="12" xfId="3" applyNumberFormat="1" applyBorder="1"/>
    <xf numFmtId="3" fontId="22" fillId="0" borderId="0" xfId="3" applyNumberFormat="1"/>
    <xf numFmtId="3" fontId="59" fillId="12" borderId="7" xfId="3" applyNumberFormat="1" applyFont="1" applyFill="1" applyBorder="1"/>
    <xf numFmtId="170" fontId="59" fillId="12" borderId="7" xfId="3" applyNumberFormat="1" applyFont="1" applyFill="1" applyBorder="1"/>
    <xf numFmtId="0" fontId="0" fillId="0" borderId="7" xfId="0" applyBorder="1" applyAlignment="1"/>
    <xf numFmtId="166" fontId="60" fillId="0" borderId="0" xfId="3" applyNumberFormat="1" applyFont="1"/>
    <xf numFmtId="0" fontId="61" fillId="0" borderId="0" xfId="0" applyFont="1"/>
    <xf numFmtId="0" fontId="58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41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2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2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9" fillId="0" borderId="0" xfId="3" applyFont="1"/>
    <xf numFmtId="0" fontId="59" fillId="0" borderId="0" xfId="3" applyFont="1" applyAlignment="1">
      <alignment horizontal="left"/>
    </xf>
    <xf numFmtId="170" fontId="59" fillId="0" borderId="7" xfId="3" applyNumberFormat="1" applyFont="1" applyBorder="1"/>
    <xf numFmtId="0" fontId="59" fillId="0" borderId="0" xfId="3" applyFont="1" applyBorder="1" applyAlignment="1">
      <alignment horizontal="righ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9" fillId="0" borderId="0" xfId="3" applyFont="1" applyAlignment="1">
      <alignment horizontal="left"/>
    </xf>
    <xf numFmtId="0" fontId="59" fillId="0" borderId="0" xfId="3" applyFont="1"/>
    <xf numFmtId="0" fontId="59" fillId="0" borderId="7" xfId="3" applyFont="1" applyBorder="1" applyAlignment="1">
      <alignment horizontal="center"/>
    </xf>
    <xf numFmtId="3" fontId="59" fillId="0" borderId="7" xfId="3" applyNumberFormat="1" applyFont="1" applyBorder="1"/>
    <xf numFmtId="0" fontId="62" fillId="0" borderId="0" xfId="3" applyFont="1" applyBorder="1"/>
    <xf numFmtId="0" fontId="59" fillId="0" borderId="7" xfId="3" applyFont="1" applyBorder="1" applyAlignment="1">
      <alignment wrapText="1"/>
    </xf>
    <xf numFmtId="0" fontId="59" fillId="0" borderId="7" xfId="3" applyNumberFormat="1" applyFont="1" applyBorder="1" applyAlignment="1">
      <alignment horizontal="right"/>
    </xf>
    <xf numFmtId="0" fontId="59" fillId="0" borderId="21" xfId="3" applyNumberFormat="1" applyFont="1" applyBorder="1" applyAlignment="1">
      <alignment horizontal="right"/>
    </xf>
    <xf numFmtId="0" fontId="59" fillId="0" borderId="0" xfId="3" applyFont="1" applyBorder="1" applyAlignment="1">
      <alignment horizontal="center"/>
    </xf>
    <xf numFmtId="0" fontId="59" fillId="15" borderId="4" xfId="3" applyFont="1" applyFill="1" applyBorder="1" applyAlignment="1">
      <alignment horizontal="center" wrapText="1"/>
    </xf>
    <xf numFmtId="0" fontId="59" fillId="0" borderId="11" xfId="3" applyNumberFormat="1" applyFont="1" applyBorder="1" applyAlignment="1">
      <alignment wrapText="1"/>
    </xf>
    <xf numFmtId="0" fontId="59" fillId="0" borderId="5" xfId="3" applyNumberFormat="1" applyFont="1" applyBorder="1" applyAlignment="1">
      <alignment wrapText="1"/>
    </xf>
    <xf numFmtId="0" fontId="59" fillId="15" borderId="5" xfId="3" applyFont="1" applyFill="1" applyBorder="1" applyAlignment="1">
      <alignment horizontal="center" wrapText="1"/>
    </xf>
    <xf numFmtId="0" fontId="63" fillId="0" borderId="0" xfId="3" applyFont="1"/>
    <xf numFmtId="0" fontId="59" fillId="0" borderId="0" xfId="3" applyFont="1" applyAlignment="1">
      <alignment horizontal="center"/>
    </xf>
    <xf numFmtId="177" fontId="59" fillId="0" borderId="7" xfId="3" applyNumberFormat="1" applyFont="1" applyBorder="1" applyAlignment="1">
      <alignment horizontal="right"/>
    </xf>
    <xf numFmtId="177" fontId="59" fillId="12" borderId="7" xfId="3" applyNumberFormat="1" applyFont="1" applyFill="1" applyBorder="1" applyAlignment="1">
      <alignment horizontal="right"/>
    </xf>
    <xf numFmtId="0" fontId="59" fillId="12" borderId="7" xfId="3" applyNumberFormat="1" applyFont="1" applyFill="1" applyBorder="1" applyAlignment="1">
      <alignment horizontal="right"/>
    </xf>
    <xf numFmtId="0" fontId="59" fillId="12" borderId="21" xfId="3" applyNumberFormat="1" applyFont="1" applyFill="1" applyBorder="1" applyAlignment="1">
      <alignment horizontal="right"/>
    </xf>
    <xf numFmtId="0" fontId="59" fillId="12" borderId="7" xfId="3" applyFont="1" applyFill="1" applyBorder="1" applyAlignment="1"/>
    <xf numFmtId="177" fontId="59" fillId="12" borderId="7" xfId="3" applyNumberFormat="1" applyFont="1" applyFill="1" applyBorder="1" applyAlignment="1">
      <alignment horizontal="left"/>
    </xf>
    <xf numFmtId="177" fontId="59" fillId="0" borderId="7" xfId="3" applyNumberFormat="1" applyFont="1" applyFill="1" applyBorder="1" applyAlignment="1">
      <alignment horizontal="right"/>
    </xf>
    <xf numFmtId="0" fontId="59" fillId="12" borderId="2" xfId="3" applyFont="1" applyFill="1" applyBorder="1" applyAlignment="1"/>
    <xf numFmtId="0" fontId="59" fillId="12" borderId="0" xfId="3" applyFont="1" applyFill="1" applyBorder="1" applyAlignment="1"/>
    <xf numFmtId="0" fontId="59" fillId="0" borderId="12" xfId="3" applyFont="1" applyBorder="1"/>
    <xf numFmtId="0" fontId="59" fillId="0" borderId="6" xfId="3" applyFont="1" applyBorder="1"/>
    <xf numFmtId="0" fontId="59" fillId="0" borderId="21" xfId="3" applyFont="1" applyBorder="1"/>
    <xf numFmtId="0" fontId="59" fillId="12" borderId="21" xfId="3" applyFont="1" applyFill="1" applyBorder="1"/>
    <xf numFmtId="0" fontId="62" fillId="0" borderId="4" xfId="3" applyFont="1" applyBorder="1"/>
    <xf numFmtId="0" fontId="59" fillId="0" borderId="7" xfId="3" applyFont="1" applyFill="1" applyBorder="1" applyAlignment="1">
      <alignment horizontal="center" wrapText="1"/>
    </xf>
    <xf numFmtId="0" fontId="59" fillId="0" borderId="7" xfId="3" applyFont="1" applyFill="1" applyBorder="1" applyAlignment="1">
      <alignment vertical="top" wrapText="1"/>
    </xf>
    <xf numFmtId="0" fontId="64" fillId="0" borderId="0" xfId="3" applyFont="1"/>
    <xf numFmtId="0" fontId="59" fillId="0" borderId="21" xfId="3" applyNumberFormat="1" applyFont="1" applyBorder="1"/>
    <xf numFmtId="0" fontId="59" fillId="12" borderId="0" xfId="3" applyFont="1" applyFill="1" applyBorder="1" applyAlignment="1">
      <alignment vertical="center"/>
    </xf>
    <xf numFmtId="170" fontId="59" fillId="0" borderId="10" xfId="3" applyNumberFormat="1" applyFont="1" applyBorder="1"/>
    <xf numFmtId="0" fontId="59" fillId="0" borderId="10" xfId="3" applyFont="1" applyBorder="1"/>
    <xf numFmtId="0" fontId="59" fillId="12" borderId="8" xfId="3" applyFont="1" applyFill="1" applyBorder="1"/>
    <xf numFmtId="0" fontId="59" fillId="0" borderId="9" xfId="3" applyFont="1" applyBorder="1"/>
    <xf numFmtId="0" fontId="59" fillId="0" borderId="1" xfId="3" applyFont="1" applyBorder="1"/>
    <xf numFmtId="0" fontId="59" fillId="0" borderId="2" xfId="3" applyFont="1" applyBorder="1"/>
    <xf numFmtId="0" fontId="59" fillId="0" borderId="0" xfId="3" applyFont="1" applyFill="1" applyBorder="1" applyAlignment="1">
      <alignment vertical="center"/>
    </xf>
    <xf numFmtId="0" fontId="65" fillId="12" borderId="2" xfId="3" applyFont="1" applyFill="1" applyBorder="1" applyAlignment="1"/>
    <xf numFmtId="0" fontId="65" fillId="12" borderId="0" xfId="3" applyFont="1" applyFill="1" applyBorder="1" applyAlignment="1">
      <alignment horizontal="left" vertical="top"/>
    </xf>
    <xf numFmtId="0" fontId="59" fillId="12" borderId="0" xfId="3" applyFont="1" applyFill="1" applyAlignment="1"/>
    <xf numFmtId="0" fontId="66" fillId="0" borderId="0" xfId="3" applyFont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7" fillId="0" borderId="0" xfId="3" applyFont="1"/>
    <xf numFmtId="0" fontId="67" fillId="5" borderId="7" xfId="3" applyFont="1" applyFill="1" applyBorder="1"/>
    <xf numFmtId="174" fontId="67" fillId="5" borderId="7" xfId="3" applyNumberFormat="1" applyFont="1" applyFill="1" applyBorder="1" applyAlignment="1">
      <alignment horizontal="right"/>
    </xf>
    <xf numFmtId="0" fontId="67" fillId="5" borderId="7" xfId="3" applyNumberFormat="1" applyFont="1" applyFill="1" applyBorder="1"/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right"/>
    </xf>
    <xf numFmtId="0" fontId="67" fillId="0" borderId="0" xfId="3" applyFont="1" applyFill="1"/>
    <xf numFmtId="0" fontId="67" fillId="0" borderId="7" xfId="3" applyFont="1" applyBorder="1"/>
    <xf numFmtId="174" fontId="67" fillId="0" borderId="7" xfId="3" applyNumberFormat="1" applyFont="1" applyBorder="1"/>
    <xf numFmtId="0" fontId="67" fillId="0" borderId="7" xfId="3" applyNumberFormat="1" applyFont="1" applyBorder="1"/>
    <xf numFmtId="0" fontId="67" fillId="0" borderId="11" xfId="3" applyNumberFormat="1" applyFont="1" applyBorder="1"/>
    <xf numFmtId="0" fontId="67" fillId="0" borderId="11" xfId="3" applyFont="1" applyBorder="1"/>
    <xf numFmtId="3" fontId="67" fillId="0" borderId="11" xfId="3" applyNumberFormat="1" applyFont="1" applyBorder="1"/>
    <xf numFmtId="0" fontId="67" fillId="0" borderId="0" xfId="3" applyFont="1" applyBorder="1"/>
    <xf numFmtId="0" fontId="67" fillId="0" borderId="0" xfId="3" applyFont="1" applyAlignment="1">
      <alignment horizontal="right"/>
    </xf>
    <xf numFmtId="0" fontId="67" fillId="0" borderId="0" xfId="3" applyFont="1" applyAlignment="1">
      <alignment horizontal="left"/>
    </xf>
    <xf numFmtId="0" fontId="67" fillId="0" borderId="7" xfId="3" applyFont="1" applyFill="1" applyBorder="1"/>
    <xf numFmtId="174" fontId="67" fillId="0" borderId="7" xfId="3" applyNumberFormat="1" applyFont="1" applyFill="1" applyBorder="1"/>
    <xf numFmtId="0" fontId="67" fillId="0" borderId="7" xfId="3" applyNumberFormat="1" applyFont="1" applyFill="1" applyBorder="1"/>
    <xf numFmtId="0" fontId="68" fillId="0" borderId="7" xfId="3" applyFont="1" applyFill="1" applyBorder="1"/>
    <xf numFmtId="0" fontId="67" fillId="0" borderId="0" xfId="3" applyFont="1" applyFill="1" applyAlignment="1">
      <alignment horizontal="left"/>
    </xf>
    <xf numFmtId="174" fontId="67" fillId="0" borderId="7" xfId="3" applyNumberFormat="1" applyFont="1" applyFill="1" applyBorder="1" applyAlignment="1">
      <alignment horizontal="right"/>
    </xf>
    <xf numFmtId="0" fontId="67" fillId="0" borderId="0" xfId="3" applyFont="1" applyFill="1" applyAlignment="1">
      <alignment horizontal="left" vertical="center"/>
    </xf>
    <xf numFmtId="170" fontId="67" fillId="0" borderId="0" xfId="3" applyNumberFormat="1" applyFont="1" applyFill="1"/>
    <xf numFmtId="3" fontId="67" fillId="0" borderId="7" xfId="3" applyNumberFormat="1" applyFont="1" applyFill="1" applyBorder="1"/>
    <xf numFmtId="170" fontId="67" fillId="0" borderId="7" xfId="3" applyNumberFormat="1" applyFont="1" applyFill="1" applyBorder="1"/>
    <xf numFmtId="0" fontId="59" fillId="0" borderId="21" xfId="3" applyFont="1" applyFill="1" applyBorder="1" applyAlignment="1">
      <alignment horizontal="center" wrapText="1"/>
    </xf>
    <xf numFmtId="3" fontId="59" fillId="0" borderId="21" xfId="3" applyNumberFormat="1" applyFont="1" applyBorder="1" applyAlignment="1">
      <alignment horizontal="right"/>
    </xf>
    <xf numFmtId="0" fontId="59" fillId="0" borderId="10" xfId="3" applyFont="1" applyBorder="1" applyAlignment="1">
      <alignment horizontal="center"/>
    </xf>
    <xf numFmtId="0" fontId="69" fillId="15" borderId="12" xfId="3" applyFont="1" applyFill="1" applyBorder="1" applyAlignment="1">
      <alignment horizontal="center" wrapText="1"/>
    </xf>
    <xf numFmtId="0" fontId="70" fillId="0" borderId="0" xfId="3" applyFont="1"/>
    <xf numFmtId="0" fontId="59" fillId="12" borderId="21" xfId="3" applyNumberFormat="1" applyFont="1" applyFill="1" applyBorder="1" applyAlignment="1">
      <alignment horizontal="left"/>
    </xf>
    <xf numFmtId="170" fontId="67" fillId="0" borderId="7" xfId="3" applyNumberFormat="1" applyFont="1" applyBorder="1"/>
    <xf numFmtId="3" fontId="67" fillId="0" borderId="7" xfId="3" applyNumberFormat="1" applyFont="1" applyBorder="1"/>
    <xf numFmtId="0" fontId="71" fillId="15" borderId="12" xfId="3" applyFont="1" applyFill="1" applyBorder="1" applyAlignment="1">
      <alignment horizontal="center" wrapText="1"/>
    </xf>
    <xf numFmtId="174" fontId="67" fillId="0" borderId="7" xfId="3" applyNumberFormat="1" applyFont="1" applyBorder="1" applyAlignment="1">
      <alignment horizontal="right"/>
    </xf>
    <xf numFmtId="0" fontId="72" fillId="0" borderId="0" xfId="3" applyFont="1" applyFill="1" applyBorder="1"/>
    <xf numFmtId="0" fontId="73" fillId="0" borderId="0" xfId="3" applyFont="1"/>
    <xf numFmtId="0" fontId="73" fillId="0" borderId="7" xfId="3" applyFont="1" applyBorder="1"/>
    <xf numFmtId="174" fontId="73" fillId="0" borderId="7" xfId="3" applyNumberFormat="1" applyFont="1" applyBorder="1" applyAlignment="1">
      <alignment horizontal="right"/>
    </xf>
    <xf numFmtId="0" fontId="73" fillId="0" borderId="7" xfId="3" applyNumberFormat="1" applyFont="1" applyBorder="1"/>
    <xf numFmtId="3" fontId="73" fillId="0" borderId="7" xfId="3" applyNumberFormat="1" applyFont="1" applyBorder="1"/>
    <xf numFmtId="170" fontId="73" fillId="0" borderId="7" xfId="3" applyNumberFormat="1" applyFont="1" applyBorder="1"/>
    <xf numFmtId="0" fontId="73" fillId="0" borderId="0" xfId="3" applyFont="1" applyAlignment="1">
      <alignment horizontal="right"/>
    </xf>
    <xf numFmtId="0" fontId="73" fillId="0" borderId="0" xfId="3" applyFont="1" applyAlignment="1">
      <alignment horizontal="left"/>
    </xf>
    <xf numFmtId="0" fontId="74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41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5" fillId="0" borderId="8" xfId="0" applyFont="1" applyBorder="1"/>
    <xf numFmtId="0" fontId="45" fillId="0" borderId="22" xfId="0" applyFont="1" applyBorder="1"/>
    <xf numFmtId="0" fontId="45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6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9" fillId="12" borderId="21" xfId="3" applyFont="1" applyFill="1" applyBorder="1" applyAlignment="1">
      <alignment horizontal="center"/>
    </xf>
    <xf numFmtId="0" fontId="59" fillId="0" borderId="7" xfId="3" applyFont="1" applyBorder="1" applyAlignment="1">
      <alignment horizontal="left" wrapText="1"/>
    </xf>
    <xf numFmtId="0" fontId="59" fillId="0" borderId="10" xfId="3" applyFont="1" applyBorder="1" applyAlignment="1">
      <alignment horizontal="right" wrapText="1"/>
    </xf>
    <xf numFmtId="0" fontId="59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9" fillId="0" borderId="0" xfId="3" applyFont="1"/>
    <xf numFmtId="0" fontId="69" fillId="0" borderId="0" xfId="3" applyNumberFormat="1" applyFont="1"/>
    <xf numFmtId="0" fontId="69" fillId="0" borderId="7" xfId="3" applyFont="1" applyBorder="1" applyAlignment="1">
      <alignment horizontal="center"/>
    </xf>
    <xf numFmtId="0" fontId="69" fillId="0" borderId="7" xfId="3" applyFont="1" applyBorder="1" applyAlignment="1">
      <alignment horizontal="right"/>
    </xf>
    <xf numFmtId="0" fontId="69" fillId="0" borderId="7" xfId="3" applyFont="1" applyBorder="1" applyAlignment="1">
      <alignment horizontal="left"/>
    </xf>
    <xf numFmtId="0" fontId="69" fillId="0" borderId="5" xfId="3" applyNumberFormat="1" applyFont="1" applyBorder="1" applyAlignment="1"/>
    <xf numFmtId="0" fontId="69" fillId="0" borderId="7" xfId="3" applyNumberFormat="1" applyFont="1" applyBorder="1" applyAlignment="1"/>
    <xf numFmtId="0" fontId="69" fillId="0" borderId="0" xfId="3" applyFont="1" applyAlignment="1"/>
    <xf numFmtId="0" fontId="77" fillId="0" borderId="0" xfId="3" applyFont="1"/>
    <xf numFmtId="0" fontId="78" fillId="0" borderId="0" xfId="3" applyFont="1"/>
    <xf numFmtId="0" fontId="80" fillId="0" borderId="0" xfId="3" applyFont="1"/>
    <xf numFmtId="0" fontId="81" fillId="0" borderId="0" xfId="3" applyFont="1"/>
    <xf numFmtId="0" fontId="69" fillId="0" borderId="0" xfId="3" applyFont="1" applyFill="1"/>
    <xf numFmtId="0" fontId="69" fillId="0" borderId="7" xfId="3" applyFont="1" applyBorder="1" applyAlignment="1">
      <alignment horizontal="center"/>
    </xf>
    <xf numFmtId="0" fontId="82" fillId="0" borderId="0" xfId="3" applyFont="1"/>
    <xf numFmtId="0" fontId="69" fillId="0" borderId="7" xfId="3" applyFont="1" applyBorder="1" applyAlignment="1">
      <alignment horizontal="left" vertical="top"/>
    </xf>
    <xf numFmtId="178" fontId="69" fillId="0" borderId="0" xfId="3" applyNumberFormat="1" applyFont="1" applyAlignment="1"/>
    <xf numFmtId="178" fontId="69" fillId="0" borderId="7" xfId="3" applyNumberFormat="1" applyFont="1" applyBorder="1" applyAlignment="1"/>
    <xf numFmtId="178" fontId="69" fillId="0" borderId="10" xfId="3" applyNumberFormat="1" applyFont="1" applyBorder="1" applyAlignment="1"/>
    <xf numFmtId="178" fontId="69" fillId="0" borderId="0" xfId="3" applyNumberFormat="1" applyFont="1" applyAlignment="1">
      <alignment vertical="center"/>
    </xf>
    <xf numFmtId="178" fontId="69" fillId="0" borderId="7" xfId="3" applyNumberFormat="1" applyFont="1" applyBorder="1" applyAlignment="1">
      <alignment horizontal="center"/>
    </xf>
    <xf numFmtId="0" fontId="69" fillId="0" borderId="7" xfId="3" applyNumberFormat="1" applyFont="1" applyBorder="1" applyAlignment="1">
      <alignment horizontal="center" wrapText="1"/>
    </xf>
    <xf numFmtId="0" fontId="69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9" fillId="20" borderId="0" xfId="3" quotePrefix="1" applyFont="1" applyFill="1"/>
    <xf numFmtId="0" fontId="69" fillId="20" borderId="0" xfId="3" applyFont="1" applyFill="1"/>
    <xf numFmtId="0" fontId="79" fillId="20" borderId="0" xfId="3" applyFont="1" applyFill="1" applyAlignment="1">
      <alignment horizontal="center"/>
    </xf>
    <xf numFmtId="0" fontId="69" fillId="0" borderId="7" xfId="3" applyFont="1" applyFill="1" applyBorder="1"/>
    <xf numFmtId="42" fontId="69" fillId="0" borderId="7" xfId="4" applyNumberFormat="1" applyFont="1" applyFill="1" applyBorder="1"/>
    <xf numFmtId="10" fontId="69" fillId="0" borderId="7" xfId="5" applyNumberFormat="1" applyFont="1" applyFill="1" applyBorder="1"/>
    <xf numFmtId="44" fontId="69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7" fillId="0" borderId="12" xfId="3" applyFont="1" applyBorder="1"/>
    <xf numFmtId="178" fontId="81" fillId="0" borderId="0" xfId="3" applyNumberFormat="1" applyFont="1" applyAlignment="1"/>
    <xf numFmtId="178" fontId="81" fillId="0" borderId="0" xfId="3" applyNumberFormat="1" applyFont="1" applyAlignment="1">
      <alignment vertical="center"/>
    </xf>
    <xf numFmtId="0" fontId="83" fillId="0" borderId="0" xfId="3" applyFont="1"/>
    <xf numFmtId="0" fontId="82" fillId="0" borderId="0" xfId="3" applyFont="1" applyAlignment="1">
      <alignment horizontal="right" vertical="center"/>
    </xf>
    <xf numFmtId="0" fontId="0" fillId="0" borderId="0" xfId="0"/>
    <xf numFmtId="0" fontId="0" fillId="0" borderId="0" xfId="0"/>
    <xf numFmtId="0" fontId="0" fillId="0" borderId="0" xfId="0"/>
    <xf numFmtId="0" fontId="24" fillId="6" borderId="7" xfId="0" applyNumberFormat="1" applyFont="1" applyFill="1" applyBorder="1" applyAlignment="1">
      <alignment horizontal="center"/>
    </xf>
    <xf numFmtId="179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5" fillId="0" borderId="7" xfId="0" applyNumberFormat="1" applyFont="1" applyBorder="1"/>
    <xf numFmtId="166" fontId="0" fillId="0" borderId="7" xfId="0" applyNumberFormat="1" applyFont="1" applyFill="1" applyBorder="1"/>
    <xf numFmtId="3" fontId="39" fillId="0" borderId="7" xfId="0" applyNumberFormat="1" applyFont="1" applyBorder="1"/>
    <xf numFmtId="166" fontId="39" fillId="0" borderId="7" xfId="0" applyNumberFormat="1" applyFont="1" applyFill="1" applyBorder="1"/>
    <xf numFmtId="0" fontId="82" fillId="0" borderId="0" xfId="3" applyFont="1" applyAlignment="1">
      <alignment horizontal="right" vertical="center"/>
    </xf>
    <xf numFmtId="0" fontId="82" fillId="20" borderId="0" xfId="3" applyFont="1" applyFill="1"/>
    <xf numFmtId="178" fontId="69" fillId="0" borderId="0" xfId="3" applyNumberFormat="1" applyFont="1" applyAlignment="1">
      <alignment horizontal="right" vertical="center"/>
    </xf>
    <xf numFmtId="178" fontId="69" fillId="0" borderId="0" xfId="3" applyNumberFormat="1" applyFont="1" applyAlignment="1">
      <alignment horizontal="right"/>
    </xf>
    <xf numFmtId="6" fontId="0" fillId="0" borderId="0" xfId="0" applyNumberFormat="1" applyBorder="1" applyAlignment="1">
      <alignment horizontal="center"/>
    </xf>
    <xf numFmtId="0" fontId="0" fillId="0" borderId="0" xfId="0"/>
    <xf numFmtId="6" fontId="38" fillId="0" borderId="0" xfId="0" applyNumberFormat="1" applyFont="1" applyBorder="1" applyAlignment="1">
      <alignment horizontal="left"/>
    </xf>
    <xf numFmtId="6" fontId="38" fillId="0" borderId="0" xfId="0" applyNumberFormat="1" applyFont="1" applyFill="1" applyBorder="1" applyAlignment="1">
      <alignment horizontal="left"/>
    </xf>
    <xf numFmtId="0" fontId="0" fillId="0" borderId="0" xfId="0"/>
    <xf numFmtId="3" fontId="41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0" fontId="69" fillId="0" borderId="9" xfId="3" applyFont="1" applyBorder="1" applyAlignment="1">
      <alignment horizontal="center"/>
    </xf>
    <xf numFmtId="180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85" fillId="0" borderId="0" xfId="3" applyFont="1"/>
    <xf numFmtId="0" fontId="0" fillId="0" borderId="0" xfId="0" applyFill="1" applyBorder="1" applyAlignment="1"/>
    <xf numFmtId="175" fontId="38" fillId="0" borderId="0" xfId="0" applyNumberFormat="1" applyFont="1" applyBorder="1"/>
    <xf numFmtId="0" fontId="0" fillId="0" borderId="0" xfId="0" applyBorder="1" applyAlignment="1">
      <alignment wrapText="1"/>
    </xf>
    <xf numFmtId="3" fontId="38" fillId="0" borderId="0" xfId="0" applyNumberFormat="1" applyFont="1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86" fillId="0" borderId="0" xfId="3" applyFont="1"/>
    <xf numFmtId="0" fontId="87" fillId="0" borderId="0" xfId="3" applyFont="1" applyFill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4" fillId="8" borderId="7" xfId="0" applyFont="1" applyFill="1" applyBorder="1"/>
    <xf numFmtId="0" fontId="24" fillId="21" borderId="7" xfId="0" applyFont="1" applyFill="1" applyBorder="1"/>
    <xf numFmtId="0" fontId="24" fillId="22" borderId="7" xfId="0" applyFont="1" applyFill="1" applyBorder="1"/>
    <xf numFmtId="0" fontId="88" fillId="22" borderId="7" xfId="0" applyFont="1" applyFill="1" applyBorder="1"/>
    <xf numFmtId="0" fontId="0" fillId="0" borderId="0" xfId="0"/>
    <xf numFmtId="181" fontId="10" fillId="0" borderId="0" xfId="0" applyNumberFormat="1" applyFont="1"/>
    <xf numFmtId="181" fontId="24" fillId="22" borderId="7" xfId="0" applyNumberFormat="1" applyFont="1" applyFill="1" applyBorder="1"/>
    <xf numFmtId="181" fontId="0" fillId="0" borderId="7" xfId="0" applyNumberFormat="1" applyBorder="1"/>
    <xf numFmtId="181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4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84" fillId="0" borderId="7" xfId="0" applyNumberFormat="1" applyFont="1" applyBorder="1"/>
    <xf numFmtId="3" fontId="84" fillId="0" borderId="7" xfId="0" applyNumberFormat="1" applyFont="1" applyBorder="1"/>
    <xf numFmtId="166" fontId="39" fillId="0" borderId="7" xfId="0" applyNumberFormat="1" applyFont="1" applyBorder="1"/>
    <xf numFmtId="0" fontId="89" fillId="20" borderId="0" xfId="3" quotePrefix="1" applyFont="1" applyFill="1"/>
    <xf numFmtId="0" fontId="89" fillId="0" borderId="0" xfId="3" applyFont="1"/>
    <xf numFmtId="0" fontId="89" fillId="0" borderId="0" xfId="3" applyFont="1" applyFill="1"/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25" fillId="10" borderId="0" xfId="0" quotePrefix="1" applyFont="1" applyFill="1" applyAlignment="1">
      <alignment horizontal="center"/>
    </xf>
    <xf numFmtId="0" fontId="0" fillId="17" borderId="0" xfId="0" quotePrefix="1" applyFill="1" applyAlignment="1">
      <alignment horizontal="center"/>
    </xf>
    <xf numFmtId="0" fontId="26" fillId="17" borderId="0" xfId="0" quotePrefix="1" applyFont="1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2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31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" fontId="24" fillId="6" borderId="7" xfId="0" applyNumberFormat="1" applyFont="1" applyFill="1" applyBorder="1" applyAlignment="1">
      <alignment horizontal="center"/>
    </xf>
    <xf numFmtId="0" fontId="24" fillId="6" borderId="7" xfId="0" applyNumberFormat="1" applyFont="1" applyFill="1" applyBorder="1" applyAlignment="1">
      <alignment horizontal="center"/>
    </xf>
    <xf numFmtId="172" fontId="0" fillId="0" borderId="0" xfId="0" applyNumberFormat="1" applyAlignment="1">
      <alignment horizontal="center"/>
    </xf>
    <xf numFmtId="179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75" fillId="10" borderId="0" xfId="0" quotePrefix="1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76" fillId="17" borderId="0" xfId="0" quotePrefix="1" applyFont="1" applyFill="1" applyAlignment="1">
      <alignment horizontal="center"/>
    </xf>
    <xf numFmtId="0" fontId="0" fillId="0" borderId="0" xfId="0" applyAlignment="1">
      <alignment horizontal="left" vertical="center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9" xfId="0" applyBorder="1"/>
    <xf numFmtId="0" fontId="0" fillId="0" borderId="0" xfId="0" applyFill="1" applyBorder="1" applyAlignment="1">
      <alignment wrapText="1"/>
    </xf>
    <xf numFmtId="0" fontId="79" fillId="20" borderId="0" xfId="3" applyFont="1" applyFill="1" applyAlignment="1">
      <alignment horizontal="center"/>
    </xf>
    <xf numFmtId="0" fontId="69" fillId="0" borderId="7" xfId="3" applyNumberFormat="1" applyFont="1" applyBorder="1" applyAlignment="1">
      <alignment horizontal="center" wrapText="1"/>
    </xf>
    <xf numFmtId="0" fontId="69" fillId="0" borderId="8" xfId="3" applyFont="1" applyFill="1" applyBorder="1" applyAlignment="1">
      <alignment horizontal="center" vertical="top" wrapText="1"/>
    </xf>
    <xf numFmtId="0" fontId="69" fillId="0" borderId="11" xfId="3" applyFont="1" applyFill="1" applyBorder="1" applyAlignment="1">
      <alignment horizontal="center" vertical="top" wrapText="1"/>
    </xf>
    <xf numFmtId="0" fontId="82" fillId="0" borderId="0" xfId="3" applyFont="1" applyAlignment="1">
      <alignment horizontal="right" vertical="center" wrapText="1"/>
    </xf>
    <xf numFmtId="0" fontId="82" fillId="0" borderId="0" xfId="3" applyFont="1" applyAlignment="1">
      <alignment horizontal="right" vertical="center"/>
    </xf>
    <xf numFmtId="0" fontId="69" fillId="0" borderId="0" xfId="3" applyFont="1" applyAlignment="1">
      <alignment horizontal="center"/>
    </xf>
    <xf numFmtId="178" fontId="69" fillId="0" borderId="9" xfId="3" applyNumberFormat="1" applyFont="1" applyBorder="1" applyAlignment="1">
      <alignment horizontal="center" vertical="center"/>
    </xf>
    <xf numFmtId="178" fontId="69" fillId="0" borderId="0" xfId="3" applyNumberFormat="1" applyFont="1" applyBorder="1" applyAlignment="1">
      <alignment horizontal="center" vertical="center"/>
    </xf>
    <xf numFmtId="0" fontId="69" fillId="0" borderId="7" xfId="3" applyFont="1" applyBorder="1" applyAlignment="1">
      <alignment horizontal="center"/>
    </xf>
    <xf numFmtId="0" fontId="69" fillId="0" borderId="7" xfId="3" applyFont="1" applyFill="1" applyBorder="1" applyAlignment="1">
      <alignment horizontal="center" wrapText="1"/>
    </xf>
    <xf numFmtId="0" fontId="69" fillId="0" borderId="8" xfId="3" applyFont="1" applyBorder="1" applyAlignment="1">
      <alignment horizontal="center" wrapText="1"/>
    </xf>
    <xf numFmtId="0" fontId="69" fillId="0" borderId="11" xfId="3" applyFont="1" applyBorder="1" applyAlignment="1">
      <alignment horizontal="center" wrapText="1"/>
    </xf>
    <xf numFmtId="0" fontId="69" fillId="0" borderId="7" xfId="3" applyFont="1" applyBorder="1" applyAlignment="1">
      <alignment horizontal="center" wrapText="1"/>
    </xf>
    <xf numFmtId="0" fontId="69" fillId="0" borderId="8" xfId="3" applyFont="1" applyBorder="1" applyAlignment="1">
      <alignment horizontal="center" vertical="top"/>
    </xf>
    <xf numFmtId="0" fontId="69" fillId="0" borderId="11" xfId="3" applyFont="1" applyBorder="1" applyAlignment="1">
      <alignment horizontal="center" vertical="top"/>
    </xf>
    <xf numFmtId="0" fontId="69" fillId="0" borderId="8" xfId="3" applyFont="1" applyFill="1" applyBorder="1" applyAlignment="1">
      <alignment horizontal="center" wrapText="1"/>
    </xf>
    <xf numFmtId="0" fontId="69" fillId="0" borderId="11" xfId="3" applyFont="1" applyFill="1" applyBorder="1" applyAlignment="1">
      <alignment horizontal="center" wrapText="1"/>
    </xf>
    <xf numFmtId="166" fontId="22" fillId="0" borderId="0" xfId="3" applyNumberFormat="1" applyAlignment="1">
      <alignment horizontal="center"/>
    </xf>
    <xf numFmtId="0" fontId="59" fillId="12" borderId="10" xfId="3" applyFont="1" applyFill="1" applyBorder="1" applyAlignment="1">
      <alignment horizontal="center"/>
    </xf>
    <xf numFmtId="0" fontId="59" fillId="12" borderId="21" xfId="3" applyFont="1" applyFill="1" applyBorder="1" applyAlignment="1">
      <alignment horizontal="center"/>
    </xf>
    <xf numFmtId="0" fontId="59" fillId="0" borderId="0" xfId="3" applyFont="1" applyAlignment="1">
      <alignment horizontal="center"/>
    </xf>
    <xf numFmtId="0" fontId="59" fillId="0" borderId="7" xfId="3" applyFont="1" applyBorder="1" applyAlignment="1">
      <alignment horizontal="center"/>
    </xf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left" vertical="center"/>
    </xf>
    <xf numFmtId="0" fontId="59" fillId="15" borderId="1" xfId="3" applyFont="1" applyFill="1" applyBorder="1" applyAlignment="1">
      <alignment horizontal="center" wrapText="1"/>
    </xf>
    <xf numFmtId="0" fontId="59" fillId="15" borderId="9" xfId="3" applyFont="1" applyFill="1" applyBorder="1" applyAlignment="1">
      <alignment horizontal="center" wrapText="1"/>
    </xf>
    <xf numFmtId="0" fontId="59" fillId="15" borderId="3" xfId="3" applyFont="1" applyFill="1" applyBorder="1" applyAlignment="1">
      <alignment horizontal="center" wrapText="1"/>
    </xf>
    <xf numFmtId="0" fontId="63" fillId="0" borderId="7" xfId="3" applyFont="1" applyBorder="1" applyAlignment="1">
      <alignment horizontal="center" vertical="top" wrapText="1"/>
    </xf>
    <xf numFmtId="0" fontId="63" fillId="0" borderId="7" xfId="3" applyFont="1" applyBorder="1" applyAlignment="1">
      <alignment horizontal="center" vertical="top"/>
    </xf>
    <xf numFmtId="0" fontId="71" fillId="15" borderId="10" xfId="3" applyFont="1" applyFill="1" applyBorder="1" applyAlignment="1">
      <alignment horizontal="center" wrapText="1"/>
    </xf>
    <xf numFmtId="0" fontId="71" fillId="15" borderId="23" xfId="3" applyFont="1" applyFill="1" applyBorder="1" applyAlignment="1">
      <alignment horizontal="center" wrapText="1"/>
    </xf>
    <xf numFmtId="0" fontId="71" fillId="15" borderId="21" xfId="3" applyFont="1" applyFill="1" applyBorder="1" applyAlignment="1">
      <alignment horizontal="center" wrapText="1"/>
    </xf>
    <xf numFmtId="0" fontId="59" fillId="0" borderId="10" xfId="3" applyFont="1" applyBorder="1" applyAlignment="1">
      <alignment horizontal="center"/>
    </xf>
    <xf numFmtId="0" fontId="59" fillId="0" borderId="21" xfId="3" applyFont="1" applyBorder="1" applyAlignment="1">
      <alignment horizontal="center"/>
    </xf>
    <xf numFmtId="0" fontId="77" fillId="0" borderId="0" xfId="3" applyFont="1" applyFill="1"/>
    <xf numFmtId="178" fontId="82" fillId="0" borderId="0" xfId="3" applyNumberFormat="1" applyFont="1" applyAlignment="1">
      <alignment vertical="center"/>
    </xf>
    <xf numFmtId="178" fontId="86" fillId="0" borderId="0" xfId="3" applyNumberFormat="1" applyFont="1" applyAlignment="1"/>
    <xf numFmtId="0" fontId="86" fillId="0" borderId="0" xfId="3" applyFont="1" applyFill="1"/>
    <xf numFmtId="0" fontId="90" fillId="0" borderId="0" xfId="3" applyFont="1" applyFill="1"/>
    <xf numFmtId="0" fontId="82" fillId="23" borderId="0" xfId="3" applyFont="1" applyFill="1"/>
    <xf numFmtId="0" fontId="69" fillId="23" borderId="0" xfId="3" applyFont="1" applyFill="1"/>
  </cellXfs>
  <cellStyles count="6">
    <cellStyle name="Comma" xfId="1" builtinId="3"/>
    <cellStyle name="Currency" xfId="4" builtinId="4"/>
    <cellStyle name="Hyperlink 2" xfId="2"/>
    <cellStyle name="Normal" xfId="0" builtinId="0"/>
    <cellStyle name="Normal 2" xfId="3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5"/>
  <sheetViews>
    <sheetView workbookViewId="0">
      <selection activeCell="D8" sqref="D8"/>
    </sheetView>
  </sheetViews>
  <sheetFormatPr defaultRowHeight="12.75" x14ac:dyDescent="0.2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t="s">
        <v>326</v>
      </c>
      <c r="D2" t="s">
        <v>336</v>
      </c>
      <c r="E2" t="s">
        <v>335</v>
      </c>
      <c r="F2" s="114" t="s">
        <v>319</v>
      </c>
      <c r="G2" t="s">
        <v>318</v>
      </c>
      <c r="H2">
        <v>1.4</v>
      </c>
    </row>
    <row r="3" spans="2:8" x14ac:dyDescent="0.2">
      <c r="B3" t="s">
        <v>327</v>
      </c>
      <c r="C3" t="s">
        <v>309</v>
      </c>
      <c r="D3" t="s">
        <v>324</v>
      </c>
      <c r="E3" t="s">
        <v>316</v>
      </c>
      <c r="F3" s="114">
        <f>$H$2*G3</f>
        <v>28000</v>
      </c>
      <c r="G3" s="2">
        <v>20000</v>
      </c>
    </row>
    <row r="4" spans="2:8" x14ac:dyDescent="0.2">
      <c r="B4" t="s">
        <v>327</v>
      </c>
      <c r="C4" t="s">
        <v>322</v>
      </c>
      <c r="D4" t="s">
        <v>324</v>
      </c>
      <c r="E4" t="s">
        <v>317</v>
      </c>
      <c r="F4" s="114">
        <f>$H$2*G4</f>
        <v>1428</v>
      </c>
      <c r="G4" s="2">
        <f>170*6</f>
        <v>1020</v>
      </c>
    </row>
    <row r="5" spans="2:8" x14ac:dyDescent="0.2">
      <c r="B5" t="s">
        <v>329</v>
      </c>
      <c r="C5" t="s">
        <v>323</v>
      </c>
      <c r="D5" t="s">
        <v>317</v>
      </c>
      <c r="E5" t="s">
        <v>317</v>
      </c>
      <c r="F5" s="114">
        <f>$H$2*G5</f>
        <v>378000</v>
      </c>
      <c r="G5">
        <v>270000</v>
      </c>
    </row>
    <row r="6" spans="2:8" x14ac:dyDescent="0.2">
      <c r="B6" t="s">
        <v>327</v>
      </c>
      <c r="C6" t="s">
        <v>314</v>
      </c>
      <c r="D6" t="s">
        <v>331</v>
      </c>
      <c r="E6" t="s">
        <v>316</v>
      </c>
      <c r="F6" s="114">
        <f>$H$2*G6</f>
        <v>125999.99999999999</v>
      </c>
      <c r="G6">
        <v>90000</v>
      </c>
    </row>
    <row r="7" spans="2:8" x14ac:dyDescent="0.2">
      <c r="B7" t="s">
        <v>329</v>
      </c>
      <c r="C7" t="s">
        <v>315</v>
      </c>
      <c r="D7" t="s">
        <v>324</v>
      </c>
      <c r="E7" t="s">
        <v>316</v>
      </c>
      <c r="F7" s="114">
        <v>420000</v>
      </c>
    </row>
    <row r="8" spans="2:8" x14ac:dyDescent="0.2">
      <c r="B8" t="s">
        <v>327</v>
      </c>
      <c r="C8" t="s">
        <v>334</v>
      </c>
      <c r="D8" t="s">
        <v>317</v>
      </c>
      <c r="E8" t="s">
        <v>317</v>
      </c>
      <c r="F8">
        <f>22400-1050*4-500</f>
        <v>17700</v>
      </c>
    </row>
    <row r="9" spans="2:8" x14ac:dyDescent="0.2">
      <c r="B9" t="s">
        <v>328</v>
      </c>
      <c r="C9" t="s">
        <v>311</v>
      </c>
      <c r="D9" t="s">
        <v>317</v>
      </c>
      <c r="E9" t="s">
        <v>316</v>
      </c>
      <c r="F9" s="114" t="s">
        <v>321</v>
      </c>
    </row>
    <row r="10" spans="2:8" x14ac:dyDescent="0.2">
      <c r="B10" t="s">
        <v>327</v>
      </c>
      <c r="C10" t="s">
        <v>338</v>
      </c>
      <c r="D10" t="s">
        <v>324</v>
      </c>
      <c r="E10" t="s">
        <v>337</v>
      </c>
      <c r="F10" s="114">
        <v>5000</v>
      </c>
    </row>
    <row r="11" spans="2:8" x14ac:dyDescent="0.2">
      <c r="B11" t="s">
        <v>329</v>
      </c>
      <c r="C11" t="s">
        <v>333</v>
      </c>
      <c r="D11" t="s">
        <v>317</v>
      </c>
      <c r="E11" t="s">
        <v>317</v>
      </c>
      <c r="F11" s="114">
        <v>5000</v>
      </c>
    </row>
    <row r="12" spans="2:8" x14ac:dyDescent="0.2">
      <c r="B12" t="s">
        <v>328</v>
      </c>
      <c r="C12" t="s">
        <v>325</v>
      </c>
      <c r="D12" t="s">
        <v>317</v>
      </c>
      <c r="E12" t="s">
        <v>317</v>
      </c>
      <c r="F12" s="114" t="s">
        <v>332</v>
      </c>
    </row>
    <row r="13" spans="2:8" x14ac:dyDescent="0.2">
      <c r="B13" t="s">
        <v>328</v>
      </c>
      <c r="C13" t="s">
        <v>330</v>
      </c>
      <c r="D13" t="s">
        <v>317</v>
      </c>
      <c r="E13" t="s">
        <v>317</v>
      </c>
      <c r="F13" s="114" t="s">
        <v>332</v>
      </c>
    </row>
    <row r="14" spans="2:8" x14ac:dyDescent="0.2">
      <c r="C14" t="s">
        <v>320</v>
      </c>
      <c r="D14" t="s">
        <v>324</v>
      </c>
      <c r="E14" t="s">
        <v>316</v>
      </c>
      <c r="F14" s="114" t="s">
        <v>321</v>
      </c>
    </row>
    <row r="15" spans="2:8" x14ac:dyDescent="0.2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G77"/>
  <sheetViews>
    <sheetView tabSelected="1" topLeftCell="IS1" zoomScaleNormal="100" workbookViewId="0">
      <selection activeCell="JE27" sqref="JE27"/>
    </sheetView>
  </sheetViews>
  <sheetFormatPr defaultColWidth="14.5703125" defaultRowHeight="12.75" x14ac:dyDescent="0.2"/>
  <cols>
    <col min="1" max="1" width="13.42578125" customWidth="1"/>
    <col min="2" max="2" width="8.7109375" style="61" bestFit="1" customWidth="1"/>
    <col min="3" max="4" width="1.140625" customWidth="1"/>
    <col min="5" max="5" width="19.5703125" style="145" bestFit="1" customWidth="1"/>
    <col min="6" max="6" width="9.140625" style="145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5" bestFit="1" customWidth="1"/>
    <col min="12" max="12" width="8.140625" style="145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5" bestFit="1" customWidth="1"/>
    <col min="18" max="18" width="8.140625" style="145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5" bestFit="1" customWidth="1"/>
    <col min="24" max="24" width="10.28515625" style="145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5" bestFit="1" customWidth="1"/>
    <col min="30" max="30" width="10.28515625" style="145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5" bestFit="1" customWidth="1"/>
    <col min="36" max="36" width="8.140625" style="145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5" bestFit="1" customWidth="1"/>
    <col min="42" max="42" width="10.42578125" style="145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5" bestFit="1" customWidth="1"/>
    <col min="48" max="48" width="10.5703125" style="145" customWidth="1"/>
    <col min="49" max="49" width="16" customWidth="1"/>
    <col min="50" max="50" width="9.140625" style="61" bestFit="1" customWidth="1"/>
    <col min="51" max="51" width="10.28515625" style="145" bestFit="1" customWidth="1"/>
    <col min="52" max="52" width="6.5703125" style="145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5" bestFit="1" customWidth="1"/>
    <col min="58" max="58" width="9.140625" style="145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21" bestFit="1" customWidth="1"/>
    <col min="64" max="64" width="9.140625" style="221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21" bestFit="1" customWidth="1"/>
    <col min="70" max="70" width="9.140625" style="221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21" bestFit="1" customWidth="1"/>
    <col min="76" max="76" width="9.140625" style="221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21" bestFit="1" customWidth="1"/>
    <col min="82" max="82" width="10.5703125" style="221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21" bestFit="1" customWidth="1"/>
    <col min="88" max="88" width="9" style="221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21" bestFit="1" customWidth="1"/>
    <col min="94" max="94" width="12" style="221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21" bestFit="1" customWidth="1"/>
    <col min="100" max="100" width="12" style="221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21" bestFit="1" customWidth="1"/>
    <col min="106" max="106" width="12" style="221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21" bestFit="1" customWidth="1"/>
    <col min="112" max="112" width="12" style="306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21" bestFit="1" customWidth="1"/>
    <col min="118" max="118" width="11.85546875" style="306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21" bestFit="1" customWidth="1"/>
    <col min="124" max="124" width="11.85546875" style="306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5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623" customWidth="1"/>
    <col min="255" max="255" width="9.140625" style="623" bestFit="1" customWidth="1"/>
    <col min="256" max="256" width="15.85546875" style="623" customWidth="1"/>
    <col min="257" max="257" width="11.85546875" style="623" bestFit="1" customWidth="1"/>
    <col min="258" max="258" width="18.28515625" style="623" customWidth="1"/>
    <col min="259" max="259" width="10.28515625" style="623" customWidth="1"/>
    <col min="260" max="260" width="14.5703125" style="679" customWidth="1"/>
    <col min="261" max="261" width="11.85546875" style="679" bestFit="1" customWidth="1"/>
    <col min="262" max="262" width="15.85546875" style="679" customWidth="1"/>
    <col min="263" max="263" width="11.85546875" style="679" bestFit="1" customWidth="1"/>
    <col min="264" max="264" width="18.28515625" style="679" customWidth="1"/>
    <col min="265" max="265" width="12.42578125" style="679" customWidth="1"/>
    <col min="266" max="266" width="7.140625" style="679" customWidth="1"/>
    <col min="267" max="267" width="6.140625" customWidth="1"/>
  </cols>
  <sheetData>
    <row r="1" spans="1:267" s="145" customFormat="1" x14ac:dyDescent="0.2">
      <c r="A1" s="767" t="s">
        <v>1216</v>
      </c>
      <c r="B1" s="767"/>
      <c r="C1" s="735" t="s">
        <v>292</v>
      </c>
      <c r="D1" s="735"/>
      <c r="E1" s="733" t="s">
        <v>1017</v>
      </c>
      <c r="F1" s="733"/>
      <c r="G1" s="767" t="s">
        <v>1217</v>
      </c>
      <c r="H1" s="767"/>
      <c r="I1" s="735" t="s">
        <v>292</v>
      </c>
      <c r="J1" s="735"/>
      <c r="K1" s="733" t="s">
        <v>1018</v>
      </c>
      <c r="L1" s="733"/>
      <c r="M1" s="767" t="s">
        <v>1218</v>
      </c>
      <c r="N1" s="767"/>
      <c r="O1" s="735" t="s">
        <v>292</v>
      </c>
      <c r="P1" s="735"/>
      <c r="Q1" s="733" t="s">
        <v>1064</v>
      </c>
      <c r="R1" s="733"/>
      <c r="S1" s="767" t="s">
        <v>1219</v>
      </c>
      <c r="T1" s="767"/>
      <c r="U1" s="735" t="s">
        <v>292</v>
      </c>
      <c r="V1" s="735"/>
      <c r="W1" s="733" t="s">
        <v>633</v>
      </c>
      <c r="X1" s="733"/>
      <c r="Y1" s="767" t="s">
        <v>1220</v>
      </c>
      <c r="Z1" s="767"/>
      <c r="AA1" s="735" t="s">
        <v>292</v>
      </c>
      <c r="AB1" s="735"/>
      <c r="AC1" s="733" t="s">
        <v>1091</v>
      </c>
      <c r="AD1" s="733"/>
      <c r="AE1" s="767" t="s">
        <v>1221</v>
      </c>
      <c r="AF1" s="767"/>
      <c r="AG1" s="735" t="s">
        <v>292</v>
      </c>
      <c r="AH1" s="735"/>
      <c r="AI1" s="733" t="s">
        <v>1141</v>
      </c>
      <c r="AJ1" s="733"/>
      <c r="AK1" s="767" t="s">
        <v>1224</v>
      </c>
      <c r="AL1" s="767"/>
      <c r="AM1" s="735" t="s">
        <v>1139</v>
      </c>
      <c r="AN1" s="735"/>
      <c r="AO1" s="733" t="s">
        <v>1140</v>
      </c>
      <c r="AP1" s="733"/>
      <c r="AQ1" s="767" t="s">
        <v>1225</v>
      </c>
      <c r="AR1" s="767"/>
      <c r="AS1" s="735" t="s">
        <v>1139</v>
      </c>
      <c r="AT1" s="735"/>
      <c r="AU1" s="733" t="s">
        <v>1185</v>
      </c>
      <c r="AV1" s="733"/>
      <c r="AW1" s="767" t="s">
        <v>1222</v>
      </c>
      <c r="AX1" s="767"/>
      <c r="AY1" s="733" t="s">
        <v>1248</v>
      </c>
      <c r="AZ1" s="733"/>
      <c r="BA1" s="767" t="s">
        <v>1222</v>
      </c>
      <c r="BB1" s="767"/>
      <c r="BC1" s="735" t="s">
        <v>822</v>
      </c>
      <c r="BD1" s="735"/>
      <c r="BE1" s="733" t="s">
        <v>1215</v>
      </c>
      <c r="BF1" s="733"/>
      <c r="BG1" s="767" t="s">
        <v>1223</v>
      </c>
      <c r="BH1" s="767"/>
      <c r="BI1" s="735" t="s">
        <v>822</v>
      </c>
      <c r="BJ1" s="735"/>
      <c r="BK1" s="733" t="s">
        <v>1215</v>
      </c>
      <c r="BL1" s="733"/>
      <c r="BM1" s="767" t="s">
        <v>1233</v>
      </c>
      <c r="BN1" s="767"/>
      <c r="BO1" s="735" t="s">
        <v>822</v>
      </c>
      <c r="BP1" s="735"/>
      <c r="BQ1" s="733" t="s">
        <v>1251</v>
      </c>
      <c r="BR1" s="733"/>
      <c r="BS1" s="767" t="s">
        <v>1250</v>
      </c>
      <c r="BT1" s="767"/>
      <c r="BU1" s="735" t="s">
        <v>822</v>
      </c>
      <c r="BV1" s="735"/>
      <c r="BW1" s="733" t="s">
        <v>1255</v>
      </c>
      <c r="BX1" s="733"/>
      <c r="BY1" s="767" t="s">
        <v>1277</v>
      </c>
      <c r="BZ1" s="767"/>
      <c r="CA1" s="735" t="s">
        <v>822</v>
      </c>
      <c r="CB1" s="735"/>
      <c r="CC1" s="733" t="s">
        <v>1251</v>
      </c>
      <c r="CD1" s="733"/>
      <c r="CE1" s="767" t="s">
        <v>1298</v>
      </c>
      <c r="CF1" s="767"/>
      <c r="CG1" s="735" t="s">
        <v>822</v>
      </c>
      <c r="CH1" s="735"/>
      <c r="CI1" s="733" t="s">
        <v>1255</v>
      </c>
      <c r="CJ1" s="733"/>
      <c r="CK1" s="767" t="s">
        <v>1314</v>
      </c>
      <c r="CL1" s="767"/>
      <c r="CM1" s="735" t="s">
        <v>822</v>
      </c>
      <c r="CN1" s="735"/>
      <c r="CO1" s="733" t="s">
        <v>1251</v>
      </c>
      <c r="CP1" s="733"/>
      <c r="CQ1" s="767" t="s">
        <v>1342</v>
      </c>
      <c r="CR1" s="767"/>
      <c r="CS1" s="758" t="s">
        <v>822</v>
      </c>
      <c r="CT1" s="758"/>
      <c r="CU1" s="733" t="s">
        <v>1398</v>
      </c>
      <c r="CV1" s="733"/>
      <c r="CW1" s="767" t="s">
        <v>1381</v>
      </c>
      <c r="CX1" s="767"/>
      <c r="CY1" s="758" t="s">
        <v>822</v>
      </c>
      <c r="CZ1" s="758"/>
      <c r="DA1" s="733" t="s">
        <v>1604</v>
      </c>
      <c r="DB1" s="733"/>
      <c r="DC1" s="767" t="s">
        <v>1401</v>
      </c>
      <c r="DD1" s="767"/>
      <c r="DE1" s="758" t="s">
        <v>822</v>
      </c>
      <c r="DF1" s="758"/>
      <c r="DG1" s="733" t="s">
        <v>1498</v>
      </c>
      <c r="DH1" s="733"/>
      <c r="DI1" s="767" t="s">
        <v>1601</v>
      </c>
      <c r="DJ1" s="767"/>
      <c r="DK1" s="758" t="s">
        <v>822</v>
      </c>
      <c r="DL1" s="758"/>
      <c r="DM1" s="733" t="s">
        <v>1398</v>
      </c>
      <c r="DN1" s="733"/>
      <c r="DO1" s="767" t="s">
        <v>1602</v>
      </c>
      <c r="DP1" s="767"/>
      <c r="DQ1" s="758" t="s">
        <v>822</v>
      </c>
      <c r="DR1" s="758"/>
      <c r="DS1" s="733" t="s">
        <v>1597</v>
      </c>
      <c r="DT1" s="733"/>
      <c r="DU1" s="767" t="s">
        <v>1603</v>
      </c>
      <c r="DV1" s="767"/>
      <c r="DW1" s="758" t="s">
        <v>822</v>
      </c>
      <c r="DX1" s="758"/>
      <c r="DY1" s="733" t="s">
        <v>1623</v>
      </c>
      <c r="DZ1" s="733"/>
      <c r="EA1" s="757" t="s">
        <v>1618</v>
      </c>
      <c r="EB1" s="757"/>
      <c r="EC1" s="758" t="s">
        <v>822</v>
      </c>
      <c r="ED1" s="758"/>
      <c r="EE1" s="733" t="s">
        <v>1597</v>
      </c>
      <c r="EF1" s="733"/>
      <c r="EG1" s="365"/>
      <c r="EH1" s="757" t="s">
        <v>1648</v>
      </c>
      <c r="EI1" s="757"/>
      <c r="EJ1" s="758" t="s">
        <v>822</v>
      </c>
      <c r="EK1" s="758"/>
      <c r="EL1" s="733" t="s">
        <v>1682</v>
      </c>
      <c r="EM1" s="733"/>
      <c r="EN1" s="757" t="s">
        <v>1673</v>
      </c>
      <c r="EO1" s="757"/>
      <c r="EP1" s="758" t="s">
        <v>822</v>
      </c>
      <c r="EQ1" s="758"/>
      <c r="ER1" s="733" t="s">
        <v>1722</v>
      </c>
      <c r="ES1" s="733"/>
      <c r="ET1" s="757" t="s">
        <v>1715</v>
      </c>
      <c r="EU1" s="757"/>
      <c r="EV1" s="758" t="s">
        <v>822</v>
      </c>
      <c r="EW1" s="758"/>
      <c r="EX1" s="733" t="s">
        <v>1623</v>
      </c>
      <c r="EY1" s="733"/>
      <c r="EZ1" s="757" t="s">
        <v>1750</v>
      </c>
      <c r="FA1" s="757"/>
      <c r="FB1" s="758" t="s">
        <v>822</v>
      </c>
      <c r="FC1" s="758"/>
      <c r="FD1" s="733" t="s">
        <v>1604</v>
      </c>
      <c r="FE1" s="733"/>
      <c r="FF1" s="757" t="s">
        <v>1789</v>
      </c>
      <c r="FG1" s="757"/>
      <c r="FH1" s="758" t="s">
        <v>822</v>
      </c>
      <c r="FI1" s="758"/>
      <c r="FJ1" s="733" t="s">
        <v>1398</v>
      </c>
      <c r="FK1" s="733"/>
      <c r="FL1" s="757" t="s">
        <v>1824</v>
      </c>
      <c r="FM1" s="757"/>
      <c r="FN1" s="758" t="s">
        <v>822</v>
      </c>
      <c r="FO1" s="758"/>
      <c r="FP1" s="733" t="s">
        <v>1871</v>
      </c>
      <c r="FQ1" s="733"/>
      <c r="FR1" s="757" t="s">
        <v>1860</v>
      </c>
      <c r="FS1" s="757"/>
      <c r="FT1" s="758" t="s">
        <v>822</v>
      </c>
      <c r="FU1" s="758"/>
      <c r="FV1" s="733" t="s">
        <v>1871</v>
      </c>
      <c r="FW1" s="733"/>
      <c r="FX1" s="757" t="s">
        <v>2004</v>
      </c>
      <c r="FY1" s="757"/>
      <c r="FZ1" s="758" t="s">
        <v>822</v>
      </c>
      <c r="GA1" s="758"/>
      <c r="GB1" s="733" t="s">
        <v>1623</v>
      </c>
      <c r="GC1" s="733"/>
      <c r="GD1" s="757" t="s">
        <v>2005</v>
      </c>
      <c r="GE1" s="757"/>
      <c r="GF1" s="758" t="s">
        <v>822</v>
      </c>
      <c r="GG1" s="758"/>
      <c r="GH1" s="733" t="s">
        <v>1597</v>
      </c>
      <c r="GI1" s="733"/>
      <c r="GJ1" s="757" t="s">
        <v>2014</v>
      </c>
      <c r="GK1" s="757"/>
      <c r="GL1" s="758" t="s">
        <v>822</v>
      </c>
      <c r="GM1" s="758"/>
      <c r="GN1" s="733" t="s">
        <v>1597</v>
      </c>
      <c r="GO1" s="733"/>
      <c r="GP1" s="757" t="s">
        <v>2056</v>
      </c>
      <c r="GQ1" s="757"/>
      <c r="GR1" s="758" t="s">
        <v>822</v>
      </c>
      <c r="GS1" s="758"/>
      <c r="GT1" s="733" t="s">
        <v>1682</v>
      </c>
      <c r="GU1" s="733"/>
      <c r="GV1" s="757" t="s">
        <v>2090</v>
      </c>
      <c r="GW1" s="757"/>
      <c r="GX1" s="758" t="s">
        <v>822</v>
      </c>
      <c r="GY1" s="758"/>
      <c r="GZ1" s="733" t="s">
        <v>2129</v>
      </c>
      <c r="HA1" s="733"/>
      <c r="HB1" s="757" t="s">
        <v>2149</v>
      </c>
      <c r="HC1" s="757"/>
      <c r="HD1" s="758" t="s">
        <v>822</v>
      </c>
      <c r="HE1" s="758"/>
      <c r="HF1" s="733" t="s">
        <v>1722</v>
      </c>
      <c r="HG1" s="733"/>
      <c r="HH1" s="757" t="s">
        <v>2162</v>
      </c>
      <c r="HI1" s="757"/>
      <c r="HJ1" s="758" t="s">
        <v>822</v>
      </c>
      <c r="HK1" s="758"/>
      <c r="HL1" s="733" t="s">
        <v>1398</v>
      </c>
      <c r="HM1" s="733"/>
      <c r="HN1" s="757" t="s">
        <v>2208</v>
      </c>
      <c r="HO1" s="757"/>
      <c r="HP1" s="758" t="s">
        <v>822</v>
      </c>
      <c r="HQ1" s="758"/>
      <c r="HR1" s="733" t="s">
        <v>1398</v>
      </c>
      <c r="HS1" s="733"/>
      <c r="HT1" s="757" t="s">
        <v>2264</v>
      </c>
      <c r="HU1" s="757"/>
      <c r="HV1" s="758" t="s">
        <v>822</v>
      </c>
      <c r="HW1" s="758"/>
      <c r="HX1" s="733" t="s">
        <v>1623</v>
      </c>
      <c r="HY1" s="733"/>
      <c r="HZ1" s="757" t="s">
        <v>2326</v>
      </c>
      <c r="IA1" s="757"/>
      <c r="IB1" s="758" t="s">
        <v>822</v>
      </c>
      <c r="IC1" s="758"/>
      <c r="ID1" s="733" t="s">
        <v>1722</v>
      </c>
      <c r="IE1" s="733"/>
      <c r="IF1" s="757" t="s">
        <v>2393</v>
      </c>
      <c r="IG1" s="757"/>
      <c r="IH1" s="758" t="s">
        <v>822</v>
      </c>
      <c r="II1" s="758"/>
      <c r="IJ1" s="733" t="s">
        <v>1597</v>
      </c>
      <c r="IK1" s="733"/>
      <c r="IL1" s="757" t="s">
        <v>2469</v>
      </c>
      <c r="IM1" s="757"/>
      <c r="IN1" s="758" t="s">
        <v>822</v>
      </c>
      <c r="IO1" s="758"/>
      <c r="IP1" s="733" t="s">
        <v>1623</v>
      </c>
      <c r="IQ1" s="733"/>
      <c r="IR1" s="757" t="s">
        <v>2724</v>
      </c>
      <c r="IS1" s="757"/>
      <c r="IT1" s="758" t="s">
        <v>822</v>
      </c>
      <c r="IU1" s="758"/>
      <c r="IV1" s="733" t="s">
        <v>1755</v>
      </c>
      <c r="IW1" s="733"/>
      <c r="IX1" s="757" t="s">
        <v>2723</v>
      </c>
      <c r="IY1" s="757"/>
      <c r="IZ1" s="758" t="s">
        <v>822</v>
      </c>
      <c r="JA1" s="758"/>
      <c r="JB1" s="733" t="s">
        <v>1755</v>
      </c>
      <c r="JC1" s="733"/>
      <c r="JD1" s="757" t="s">
        <v>2726</v>
      </c>
      <c r="JE1" s="757"/>
      <c r="JF1" s="633"/>
    </row>
    <row r="2" spans="1:267" x14ac:dyDescent="0.2">
      <c r="BI2" s="273"/>
      <c r="BO2" s="273"/>
      <c r="BU2" s="273"/>
      <c r="CA2" s="273"/>
      <c r="CG2" s="273"/>
      <c r="CM2" s="273"/>
      <c r="CS2" s="273"/>
      <c r="CY2" s="273"/>
      <c r="DE2" s="273"/>
      <c r="DK2" s="273"/>
      <c r="DQ2" s="273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1984</v>
      </c>
      <c r="FY2" s="2">
        <f>FY3+FW15</f>
        <v>201710.53</v>
      </c>
      <c r="FZ2" s="60"/>
      <c r="GD2" t="s">
        <v>1984</v>
      </c>
      <c r="GE2" s="2">
        <f>GE3+(FY2-FY3+GC15)</f>
        <v>232108.07</v>
      </c>
      <c r="GF2" s="60"/>
      <c r="GL2" s="60"/>
      <c r="GP2" t="s">
        <v>2192</v>
      </c>
      <c r="GQ2" s="2">
        <f>GQ3-SUM(GQ38:GQ40)</f>
        <v>4523.6810000000114</v>
      </c>
      <c r="GR2" s="60"/>
      <c r="GV2" t="s">
        <v>2192</v>
      </c>
      <c r="GW2" s="2">
        <f>GW3-SUM(GQ39:GQ40)</f>
        <v>16070.489999999998</v>
      </c>
      <c r="GX2" s="60"/>
      <c r="HB2" t="s">
        <v>2192</v>
      </c>
      <c r="HC2" s="2">
        <f>HC3-SUM(GQ39:GQ40)</f>
        <v>19295.060000000005</v>
      </c>
      <c r="HD2" s="60"/>
      <c r="HF2" s="338" t="s">
        <v>296</v>
      </c>
      <c r="HG2" s="290">
        <f>HE3+HC3-HI3</f>
        <v>27435.939999999995</v>
      </c>
      <c r="HH2" t="s">
        <v>2192</v>
      </c>
      <c r="HI2" s="2">
        <f>HI3-(GQ39-HG38-HG37)</f>
        <v>27194.290000000005</v>
      </c>
      <c r="HJ2" s="60"/>
      <c r="HL2" s="338" t="s">
        <v>296</v>
      </c>
      <c r="HM2" s="277">
        <f>HK3+HI3-HO3</f>
        <v>27357.541000000012</v>
      </c>
      <c r="HN2" t="s">
        <v>2192</v>
      </c>
      <c r="HO2" s="2">
        <f>HO3-(GQ39-HG38-HG37-HM36)</f>
        <v>34567.509999999995</v>
      </c>
      <c r="HP2" s="60"/>
      <c r="HT2" t="s">
        <v>2192</v>
      </c>
      <c r="HU2" s="2">
        <f>HU3-(GQ39-HG38-HG37-HM36)</f>
        <v>40329.19</v>
      </c>
      <c r="HV2" s="60"/>
      <c r="HX2" s="338" t="s">
        <v>296</v>
      </c>
      <c r="HY2" s="277">
        <f>HW3+HU3-IA3</f>
        <v>618929.12000000011</v>
      </c>
      <c r="HZ2" t="s">
        <v>2192</v>
      </c>
      <c r="IA2" s="2">
        <f>IA3-($GQ$39-$HG$38-$HG$37-$HM$36)</f>
        <v>115434.10000000002</v>
      </c>
      <c r="IB2" t="s">
        <v>295</v>
      </c>
      <c r="IC2" s="534">
        <f>SUM(IC3:IC22)</f>
        <v>16754.070999999996</v>
      </c>
      <c r="ID2" s="338" t="s">
        <v>296</v>
      </c>
      <c r="IE2" s="277">
        <f>IC2+IA3-IG2</f>
        <v>59936.531000000017</v>
      </c>
      <c r="IF2" t="s">
        <v>1918</v>
      </c>
      <c r="IG2" s="367">
        <f>SUM(IG3:IG33)</f>
        <v>76124.19</v>
      </c>
      <c r="IH2" t="s">
        <v>295</v>
      </c>
      <c r="II2" s="534">
        <f>SUM(II3:II30)</f>
        <v>15115.660000000002</v>
      </c>
      <c r="IJ2" s="338" t="s">
        <v>296</v>
      </c>
      <c r="IK2" s="277">
        <f>II2+IG2-IM2</f>
        <v>13100.419999999984</v>
      </c>
      <c r="IL2" t="s">
        <v>1918</v>
      </c>
      <c r="IM2" s="367">
        <f>SUM(IM3:IM29)</f>
        <v>78139.430000000022</v>
      </c>
      <c r="IN2" t="s">
        <v>295</v>
      </c>
      <c r="IO2" s="534">
        <f>SUM(IO3:IO26)</f>
        <v>14255.219999999998</v>
      </c>
      <c r="IP2" s="338" t="s">
        <v>296</v>
      </c>
      <c r="IQ2" s="277">
        <f>IO2+IM2-IS2</f>
        <v>11408.650000000023</v>
      </c>
      <c r="IR2" t="s">
        <v>1918</v>
      </c>
      <c r="IS2" s="367">
        <f>SUM(IS3:IS31)</f>
        <v>80986</v>
      </c>
      <c r="IT2" s="623" t="s">
        <v>295</v>
      </c>
      <c r="IU2" s="534">
        <f>SUM(IU3:IU19)</f>
        <v>42025.250000000007</v>
      </c>
      <c r="IV2" s="338" t="s">
        <v>296</v>
      </c>
      <c r="IW2" s="277">
        <f>IU2+IS2-IY2</f>
        <v>11439.987000000023</v>
      </c>
      <c r="IX2" s="623" t="s">
        <v>1918</v>
      </c>
      <c r="IY2" s="367">
        <f>SUM(IY3:IY23)</f>
        <v>111571.26299999998</v>
      </c>
      <c r="IZ2" s="679" t="s">
        <v>295</v>
      </c>
      <c r="JA2" s="534">
        <f>SUM(JA3:JA20)</f>
        <v>29637.35</v>
      </c>
      <c r="JB2" s="338" t="s">
        <v>296</v>
      </c>
      <c r="JC2" s="277">
        <f>JA2+IY2-JE2</f>
        <v>3887.0529999999853</v>
      </c>
      <c r="JD2" s="679" t="s">
        <v>1918</v>
      </c>
      <c r="JE2" s="367">
        <f>SUM(JE3:JE23)</f>
        <v>137321.56</v>
      </c>
      <c r="JF2" s="665"/>
    </row>
    <row r="3" spans="1:267" x14ac:dyDescent="0.2">
      <c r="A3" s="1" t="s">
        <v>161</v>
      </c>
      <c r="B3" s="245">
        <f>SUM(B6:B24)</f>
        <v>22455.002</v>
      </c>
      <c r="E3" s="174" t="s">
        <v>296</v>
      </c>
      <c r="F3" s="177">
        <f>D3+B3-H3</f>
        <v>12767</v>
      </c>
      <c r="G3" s="1" t="s">
        <v>161</v>
      </c>
      <c r="H3" s="245">
        <f>SUM(H6:H24)</f>
        <v>9688.0020000000004</v>
      </c>
      <c r="I3" t="s">
        <v>1016</v>
      </c>
      <c r="J3">
        <f>J6</f>
        <v>12933</v>
      </c>
      <c r="K3" s="174" t="s">
        <v>296</v>
      </c>
      <c r="L3" s="246">
        <f>J3+H3-N3</f>
        <v>3782.0010000000002</v>
      </c>
      <c r="M3" s="1" t="s">
        <v>161</v>
      </c>
      <c r="N3" s="245">
        <f>SUM(N4:N22)</f>
        <v>18839.001</v>
      </c>
      <c r="O3" t="s">
        <v>1016</v>
      </c>
      <c r="P3">
        <f>SUM(P6:P20)</f>
        <v>1486</v>
      </c>
      <c r="Q3" s="174" t="s">
        <v>296</v>
      </c>
      <c r="R3" s="246">
        <f>P3+N3-T3</f>
        <v>7491</v>
      </c>
      <c r="S3" s="1" t="s">
        <v>161</v>
      </c>
      <c r="T3" s="245">
        <f>SUM(T4:T22)</f>
        <v>12834.001</v>
      </c>
      <c r="U3" t="s">
        <v>1016</v>
      </c>
      <c r="V3">
        <f>SUM(V6:V20)</f>
        <v>13831</v>
      </c>
      <c r="W3" s="174" t="s">
        <v>296</v>
      </c>
      <c r="X3" s="246">
        <f>V3+T3-Z3</f>
        <v>5763.6589999999997</v>
      </c>
      <c r="Y3" s="1" t="s">
        <v>161</v>
      </c>
      <c r="Z3" s="245">
        <f>SUM(Z4:Z23)</f>
        <v>20901.342000000001</v>
      </c>
      <c r="AA3" t="s">
        <v>1016</v>
      </c>
      <c r="AB3">
        <f>SUM(AB6:AB20)</f>
        <v>13819.29</v>
      </c>
      <c r="AC3" s="174" t="s">
        <v>296</v>
      </c>
      <c r="AD3" s="246">
        <f>AB3+Z3-AF3</f>
        <v>3988.9609999999993</v>
      </c>
      <c r="AE3" s="1" t="s">
        <v>161</v>
      </c>
      <c r="AF3" s="245">
        <f>SUM(AF4:AF24)</f>
        <v>30731.670999999998</v>
      </c>
      <c r="AG3" t="s">
        <v>1016</v>
      </c>
      <c r="AH3">
        <f>SUM(AH6:AH18)</f>
        <v>13747</v>
      </c>
      <c r="AI3" s="174" t="s">
        <v>296</v>
      </c>
      <c r="AJ3" s="246">
        <f>AH3+AF3-AL3</f>
        <v>1545.6700000000055</v>
      </c>
      <c r="AK3" s="1" t="s">
        <v>161</v>
      </c>
      <c r="AL3" s="245">
        <f>SUM(AL4:AL24)</f>
        <v>42933.000999999997</v>
      </c>
      <c r="AM3" t="s">
        <v>1016</v>
      </c>
      <c r="AN3">
        <f>SUM(AN6:AN22)</f>
        <v>19929.09</v>
      </c>
      <c r="AO3" s="174" t="s">
        <v>296</v>
      </c>
      <c r="AP3" s="246">
        <f>AN3+AL3-AR3</f>
        <v>15355.050999999999</v>
      </c>
      <c r="AQ3" s="1" t="s">
        <v>161</v>
      </c>
      <c r="AR3" s="245">
        <f>SUM(AR4:AR24)</f>
        <v>47507.040000000001</v>
      </c>
      <c r="AS3" t="s">
        <v>1016</v>
      </c>
      <c r="AT3">
        <f>SUM(AT6:AT19)</f>
        <v>15836.49</v>
      </c>
      <c r="AU3" s="174" t="s">
        <v>296</v>
      </c>
      <c r="AV3" s="246">
        <f>AT3+AR3-AX3</f>
        <v>6705.9489999999932</v>
      </c>
      <c r="AW3" s="1" t="s">
        <v>161</v>
      </c>
      <c r="AX3" s="245">
        <f>SUM(AX4:AX24)</f>
        <v>56637.581000000006</v>
      </c>
      <c r="AY3" s="174" t="s">
        <v>1249</v>
      </c>
      <c r="AZ3" s="272">
        <f>AX3-BB3</f>
        <v>30000</v>
      </c>
      <c r="BA3" s="1" t="s">
        <v>161</v>
      </c>
      <c r="BB3" s="245">
        <f>SUM(BB4:BB24)</f>
        <v>26637.581000000006</v>
      </c>
      <c r="BC3" t="s">
        <v>295</v>
      </c>
      <c r="BD3">
        <f>SUM(BD6:BD21)</f>
        <v>13776.8</v>
      </c>
      <c r="BE3" s="174" t="s">
        <v>296</v>
      </c>
      <c r="BF3" s="246">
        <f>BD3+BB3-BH3</f>
        <v>3946.3210000000108</v>
      </c>
      <c r="BG3" s="1" t="s">
        <v>161</v>
      </c>
      <c r="BH3" s="245">
        <f>SUM(BH4:BH24)</f>
        <v>36468.06</v>
      </c>
      <c r="BI3" s="9" t="s">
        <v>295</v>
      </c>
      <c r="BJ3" s="9">
        <f>SUM(BJ6:BJ20)</f>
        <v>13774.51</v>
      </c>
      <c r="BK3" s="264" t="s">
        <v>296</v>
      </c>
      <c r="BL3" s="265">
        <f>BJ3+BH3-BN3</f>
        <v>3886.3999999999869</v>
      </c>
      <c r="BM3" s="1" t="s">
        <v>161</v>
      </c>
      <c r="BN3" s="245">
        <f>SUM(BN4:BN24)</f>
        <v>46356.170000000013</v>
      </c>
      <c r="BO3" s="9" t="s">
        <v>295</v>
      </c>
      <c r="BP3" s="9">
        <f>SUM(BP6:BP22)</f>
        <v>13783.86</v>
      </c>
      <c r="BQ3" s="264" t="s">
        <v>296</v>
      </c>
      <c r="BR3" s="265">
        <f>BP3+BN3-BT3</f>
        <v>4541.1800000000076</v>
      </c>
      <c r="BS3" s="1" t="s">
        <v>161</v>
      </c>
      <c r="BT3" s="278">
        <f>SUM(BT4:BT24)</f>
        <v>55598.850000000006</v>
      </c>
      <c r="BU3" s="9" t="s">
        <v>295</v>
      </c>
      <c r="BV3" s="9">
        <f>SUM(BV6:BV22)</f>
        <v>13745.42</v>
      </c>
      <c r="BW3" s="264" t="s">
        <v>296</v>
      </c>
      <c r="BX3" s="265">
        <f>BV3+BT3-BZ3</f>
        <v>4667.6990000000078</v>
      </c>
      <c r="BY3" s="1" t="s">
        <v>161</v>
      </c>
      <c r="BZ3" s="278">
        <f>SUM(BZ4:BZ24)</f>
        <v>64676.570999999996</v>
      </c>
      <c r="CA3" s="9" t="s">
        <v>295</v>
      </c>
      <c r="CB3" s="9">
        <f>SUM(CB6:CB22)</f>
        <v>14087.22</v>
      </c>
      <c r="CC3" s="264" t="s">
        <v>296</v>
      </c>
      <c r="CD3" s="265">
        <f>CB3+BZ3-CF3</f>
        <v>4796.3099999999977</v>
      </c>
      <c r="CE3" s="1" t="s">
        <v>161</v>
      </c>
      <c r="CF3" s="278">
        <f>SUM(CF4:CF24)</f>
        <v>73967.481</v>
      </c>
      <c r="CG3" s="9" t="s">
        <v>295</v>
      </c>
      <c r="CH3" s="9">
        <f>SUM(CH5:CH20)</f>
        <v>13822.76</v>
      </c>
      <c r="CI3" s="264" t="s">
        <v>296</v>
      </c>
      <c r="CJ3" s="265">
        <f>CH3+CF3-CL3</f>
        <v>6338.7909999999829</v>
      </c>
      <c r="CK3" s="1" t="s">
        <v>161</v>
      </c>
      <c r="CL3" s="278">
        <f>SUM(CL4:CL24)</f>
        <v>81451.450000000012</v>
      </c>
      <c r="CM3" s="9" t="s">
        <v>295</v>
      </c>
      <c r="CN3" s="9">
        <f>SUM(CN5:CN20)</f>
        <v>13794.119999999999</v>
      </c>
      <c r="CO3" s="264" t="s">
        <v>296</v>
      </c>
      <c r="CP3" s="265">
        <f>CN3+CL3-CR3</f>
        <v>3995.7600000000093</v>
      </c>
      <c r="CQ3" s="1" t="s">
        <v>161</v>
      </c>
      <c r="CR3" s="278">
        <f>SUM(CR4:CR24)</f>
        <v>91249.81</v>
      </c>
      <c r="CS3" s="9" t="s">
        <v>295</v>
      </c>
      <c r="CT3" s="289">
        <f>SUM(CT5:CT21)</f>
        <v>13942.35</v>
      </c>
      <c r="CU3" s="264" t="s">
        <v>296</v>
      </c>
      <c r="CV3" s="265">
        <f>CT3+CR3-CX3</f>
        <v>5106.9500000000116</v>
      </c>
      <c r="CW3" s="1" t="s">
        <v>161</v>
      </c>
      <c r="CX3" s="278">
        <f>SUM(CX4:CX28)</f>
        <v>100085.20999999999</v>
      </c>
      <c r="CY3" s="9" t="s">
        <v>295</v>
      </c>
      <c r="CZ3" s="289">
        <f>SUM(CZ5:CZ19)</f>
        <v>13786.04</v>
      </c>
      <c r="DA3" s="302" t="s">
        <v>296</v>
      </c>
      <c r="DB3" s="265">
        <f>CZ3+CX3-DD3</f>
        <v>6534.8800000000047</v>
      </c>
      <c r="DC3" s="1" t="s">
        <v>161</v>
      </c>
      <c r="DD3" s="278">
        <f>SUM(DD4:DD29)</f>
        <v>107336.37</v>
      </c>
      <c r="DE3" s="9" t="s">
        <v>295</v>
      </c>
      <c r="DF3" s="289">
        <f>SUM(DF5:DF38)</f>
        <v>52018.07</v>
      </c>
      <c r="DG3" s="302" t="s">
        <v>296</v>
      </c>
      <c r="DH3" s="265">
        <f>DF3+DD3-DJ3</f>
        <v>13857.098999999987</v>
      </c>
      <c r="DI3" s="1" t="s">
        <v>161</v>
      </c>
      <c r="DJ3" s="278">
        <f>SUM(DJ4:DJ43)</f>
        <v>145497.34100000001</v>
      </c>
      <c r="DK3" s="9" t="s">
        <v>295</v>
      </c>
      <c r="DL3" s="289">
        <f>SUM(DL5:DL33)</f>
        <v>25874</v>
      </c>
      <c r="DM3" s="302" t="s">
        <v>296</v>
      </c>
      <c r="DN3" s="265">
        <f>DL3+DJ3-DP3</f>
        <v>21543</v>
      </c>
      <c r="DO3" s="1" t="s">
        <v>161</v>
      </c>
      <c r="DP3" s="278">
        <f>SUM(DP4:DP33)</f>
        <v>149828.34100000001</v>
      </c>
      <c r="DQ3" s="9" t="s">
        <v>295</v>
      </c>
      <c r="DR3" s="289">
        <f>SUM(DR5:DR33)</f>
        <v>14337.81</v>
      </c>
      <c r="DS3" s="335" t="s">
        <v>296</v>
      </c>
      <c r="DT3" s="290">
        <f>DR3+DP3-DV3</f>
        <v>49619.180000000022</v>
      </c>
      <c r="DU3" s="1" t="s">
        <v>161</v>
      </c>
      <c r="DV3" s="278">
        <f>SUM(DV4:DV34)</f>
        <v>114546.97099999999</v>
      </c>
      <c r="DW3" t="s">
        <v>295</v>
      </c>
      <c r="DX3" s="52">
        <f>SUM(DX5:DX33)</f>
        <v>14150.08</v>
      </c>
      <c r="DY3" s="338" t="s">
        <v>296</v>
      </c>
      <c r="DZ3" s="290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8" t="s">
        <v>296</v>
      </c>
      <c r="EF3" s="290">
        <f>ED3+EB3-EI3</f>
        <v>5256.4699999999721</v>
      </c>
      <c r="EG3" s="290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8" t="s">
        <v>296</v>
      </c>
      <c r="EM3" s="290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8" t="s">
        <v>296</v>
      </c>
      <c r="ES3" s="290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8" t="s">
        <v>296</v>
      </c>
      <c r="EY3" s="290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8" t="s">
        <v>296</v>
      </c>
      <c r="FE3" s="290">
        <f>FC3+FA3-FG3</f>
        <v>5303.0210000000079</v>
      </c>
      <c r="FF3" t="s">
        <v>161</v>
      </c>
      <c r="FG3" s="367">
        <f>SUM(FG4:FG41)</f>
        <v>168327.4</v>
      </c>
      <c r="FH3" t="s">
        <v>295</v>
      </c>
      <c r="FI3" s="52">
        <f>SUM(FI5:FI33)</f>
        <v>14233.909999999996</v>
      </c>
      <c r="FJ3" s="338" t="s">
        <v>296</v>
      </c>
      <c r="FK3" s="290">
        <f>FI3+FG3-FM3</f>
        <v>5095.3099999999977</v>
      </c>
      <c r="FL3" t="s">
        <v>161</v>
      </c>
      <c r="FM3" s="367">
        <f>SUM(FM4:FM44)</f>
        <v>177466</v>
      </c>
      <c r="FN3" t="s">
        <v>295</v>
      </c>
      <c r="FO3" s="52">
        <f>SUM(FO5:FO38)</f>
        <v>40737.85</v>
      </c>
      <c r="FP3" s="338" t="s">
        <v>296</v>
      </c>
      <c r="FQ3" s="290">
        <f>FO3+FM3-FS3</f>
        <v>17561.820000000007</v>
      </c>
      <c r="FR3" t="s">
        <v>161</v>
      </c>
      <c r="FS3" s="367">
        <f>SUM(FS4:FS36)</f>
        <v>200642.03</v>
      </c>
      <c r="FT3" t="s">
        <v>295</v>
      </c>
      <c r="FU3" s="52">
        <f>SUM(FU5:FU32)</f>
        <v>17790.670999999998</v>
      </c>
      <c r="FV3" s="338" t="s">
        <v>296</v>
      </c>
      <c r="FW3" s="290">
        <f>FU3+FS3-FY3</f>
        <v>76722.171000000002</v>
      </c>
      <c r="FX3" t="s">
        <v>1918</v>
      </c>
      <c r="FY3" s="367">
        <f>SUM(FY4:FY33)</f>
        <v>141710.53</v>
      </c>
      <c r="FZ3" t="s">
        <v>295</v>
      </c>
      <c r="GA3" s="52">
        <f>SUM(GA6:GA27)</f>
        <v>35944.74</v>
      </c>
      <c r="GB3" s="338" t="s">
        <v>296</v>
      </c>
      <c r="GC3" s="290">
        <f>GA3+FY3-GE3</f>
        <v>69024.739999999991</v>
      </c>
      <c r="GD3" t="s">
        <v>1918</v>
      </c>
      <c r="GE3" s="367">
        <f>SUM(GE4:GE33)</f>
        <v>108630.53</v>
      </c>
      <c r="GF3" t="s">
        <v>295</v>
      </c>
      <c r="GG3" s="52">
        <f>SUM(GG6:GG25)</f>
        <v>25255.31</v>
      </c>
      <c r="GH3" s="338" t="s">
        <v>296</v>
      </c>
      <c r="GI3" s="290">
        <f>GG3+GE3-GK3</f>
        <v>9655.138999999981</v>
      </c>
      <c r="GJ3" t="s">
        <v>1918</v>
      </c>
      <c r="GK3" s="367">
        <f>SUM(GK4:GK37)</f>
        <v>124230.70100000002</v>
      </c>
      <c r="GL3" t="s">
        <v>295</v>
      </c>
      <c r="GM3" s="52">
        <f>SUM(GM5:GM22)</f>
        <v>16267.070000000002</v>
      </c>
      <c r="GN3" s="338" t="s">
        <v>296</v>
      </c>
      <c r="GO3" s="290">
        <f>GM3+GK3-GQ3</f>
        <v>5724.0899999999965</v>
      </c>
      <c r="GP3" t="s">
        <v>2189</v>
      </c>
      <c r="GQ3" s="367">
        <f>SUM(GQ4:GQ34)</f>
        <v>134773.68100000001</v>
      </c>
      <c r="GR3" t="s">
        <v>295</v>
      </c>
      <c r="GS3" s="52">
        <f>SUM(GS5:GS26)</f>
        <v>18281.170000000002</v>
      </c>
      <c r="GT3" s="338" t="s">
        <v>296</v>
      </c>
      <c r="GU3" s="290">
        <f>GS3+GQ3-GW3</f>
        <v>90984.361000000034</v>
      </c>
      <c r="GV3" t="s">
        <v>2189</v>
      </c>
      <c r="GW3" s="367">
        <f>SUM(GW4:GW32)</f>
        <v>62070.49</v>
      </c>
      <c r="GX3" t="s">
        <v>295</v>
      </c>
      <c r="GY3" s="52">
        <f>SUM(GY5:GY22)</f>
        <v>13970.54</v>
      </c>
      <c r="GZ3" s="338" t="s">
        <v>296</v>
      </c>
      <c r="HA3" s="290">
        <f>GY3+GW3-HC3</f>
        <v>10745.969999999994</v>
      </c>
      <c r="HB3" t="s">
        <v>2189</v>
      </c>
      <c r="HC3" s="367">
        <f>SUM(HC4:HC37)</f>
        <v>65295.060000000005</v>
      </c>
      <c r="HD3" t="s">
        <v>295</v>
      </c>
      <c r="HE3" s="52">
        <f>SUM(HE5:HE25)</f>
        <v>13967.72</v>
      </c>
      <c r="HF3" t="s">
        <v>2409</v>
      </c>
      <c r="HG3" s="52">
        <f>HG2-HG8-HG7</f>
        <v>22350.936666666661</v>
      </c>
      <c r="HH3" t="s">
        <v>2189</v>
      </c>
      <c r="HI3" s="367">
        <f>SUM(HI4:HI33)</f>
        <v>51826.840000000004</v>
      </c>
      <c r="HJ3" t="s">
        <v>295</v>
      </c>
      <c r="HK3" s="52">
        <f>SUM(HK4:HK13)</f>
        <v>13970.761</v>
      </c>
      <c r="HL3" t="s">
        <v>2409</v>
      </c>
      <c r="HM3" s="2">
        <f>HM2-HK25-HK24</f>
        <v>23006.927666666677</v>
      </c>
      <c r="HN3" t="s">
        <v>2209</v>
      </c>
      <c r="HO3" s="367">
        <f>SUM(HO4:HO29)</f>
        <v>38440.06</v>
      </c>
      <c r="HP3" t="s">
        <v>295</v>
      </c>
      <c r="HQ3" s="52">
        <f>SUM(HQ4:HQ13)</f>
        <v>14028.39</v>
      </c>
      <c r="HR3" s="338" t="s">
        <v>296</v>
      </c>
      <c r="HS3" s="277">
        <f>HQ3+HO3-HU3</f>
        <v>8266.7099999999919</v>
      </c>
      <c r="HT3" t="s">
        <v>2189</v>
      </c>
      <c r="HU3" s="367">
        <f>SUM(HU4:HU32)</f>
        <v>44201.740000000005</v>
      </c>
      <c r="HV3" t="s">
        <v>295</v>
      </c>
      <c r="HW3" s="52">
        <f>SUM(HW4:HW20)</f>
        <v>694034.03000000014</v>
      </c>
      <c r="HX3" t="s">
        <v>2405</v>
      </c>
      <c r="HY3" s="277"/>
      <c r="HZ3" t="s">
        <v>2370</v>
      </c>
      <c r="IA3" s="367">
        <f>SUM(IA6:IA39)</f>
        <v>119306.65000000002</v>
      </c>
      <c r="IB3" t="s">
        <v>639</v>
      </c>
      <c r="IC3" s="534">
        <v>15104.63</v>
      </c>
      <c r="ID3" s="338" t="s">
        <v>2409</v>
      </c>
      <c r="IE3" s="277">
        <f>IE2-IC26-IC27</f>
        <v>6802.6743333333507</v>
      </c>
      <c r="IF3" t="s">
        <v>2371</v>
      </c>
      <c r="IG3" s="272">
        <f>$IA$6</f>
        <v>-420000</v>
      </c>
      <c r="IH3" t="s">
        <v>639</v>
      </c>
      <c r="II3" s="534">
        <v>15104.63</v>
      </c>
      <c r="IJ3" t="s">
        <v>2423</v>
      </c>
      <c r="IK3" s="277">
        <f>IK2-II42-II41</f>
        <v>9220.5533333333187</v>
      </c>
      <c r="IL3" t="s">
        <v>2371</v>
      </c>
      <c r="IM3" s="272">
        <f>$IA$6</f>
        <v>-420000</v>
      </c>
      <c r="IN3" t="s">
        <v>639</v>
      </c>
      <c r="IO3" s="584">
        <v>15104.63</v>
      </c>
      <c r="IP3" t="s">
        <v>2423</v>
      </c>
      <c r="IQ3" s="277">
        <f>IQ2-IO34-IO33-IQ57</f>
        <v>5631.8933333333571</v>
      </c>
      <c r="IR3" t="s">
        <v>2371</v>
      </c>
      <c r="IS3" s="272">
        <f>$IA$6</f>
        <v>-420000</v>
      </c>
      <c r="IT3" s="623" t="s">
        <v>639</v>
      </c>
      <c r="IU3" s="584">
        <v>43151.3</v>
      </c>
      <c r="IV3" s="623" t="s">
        <v>2423</v>
      </c>
      <c r="IW3" s="277">
        <f>IW2-IU25-IU24-IW44</f>
        <v>5412.0003333333552</v>
      </c>
      <c r="IX3" s="623" t="s">
        <v>2371</v>
      </c>
      <c r="IY3" s="272">
        <f>$IA$6</f>
        <v>-420000</v>
      </c>
      <c r="IZ3" s="679" t="s">
        <v>639</v>
      </c>
      <c r="JA3" s="584">
        <v>30921.3</v>
      </c>
      <c r="JB3" s="679" t="s">
        <v>2423</v>
      </c>
      <c r="JC3" s="277">
        <f>JC2-JA26-JA25-JC47</f>
        <v>1987.0229999999854</v>
      </c>
      <c r="JD3" s="679" t="s">
        <v>2371</v>
      </c>
      <c r="JE3" s="272">
        <f>$IA$6</f>
        <v>-420000</v>
      </c>
      <c r="JF3" s="665"/>
    </row>
    <row r="4" spans="1:267" ht="12.75" customHeight="1" thickBot="1" x14ac:dyDescent="0.25">
      <c r="A4" s="717" t="s">
        <v>998</v>
      </c>
      <c r="B4" s="717"/>
      <c r="E4" s="173" t="s">
        <v>233</v>
      </c>
      <c r="F4" s="177">
        <f>F3-F5</f>
        <v>17</v>
      </c>
      <c r="G4" s="717" t="s">
        <v>998</v>
      </c>
      <c r="H4" s="717"/>
      <c r="K4" s="173" t="s">
        <v>233</v>
      </c>
      <c r="L4" s="246">
        <f>L3-L5</f>
        <v>43.980999999999767</v>
      </c>
      <c r="M4" s="186" t="s">
        <v>1001</v>
      </c>
      <c r="N4" s="64"/>
      <c r="Q4" s="174" t="s">
        <v>1186</v>
      </c>
      <c r="R4" s="246">
        <f>R3-R8</f>
        <v>1290.8099999999995</v>
      </c>
      <c r="S4" s="186" t="s">
        <v>1001</v>
      </c>
      <c r="T4" s="64"/>
      <c r="W4" s="174" t="s">
        <v>1186</v>
      </c>
      <c r="X4" s="246">
        <f>X3-X8</f>
        <v>3163.5489999999995</v>
      </c>
      <c r="Y4" s="186" t="s">
        <v>1001</v>
      </c>
      <c r="Z4" s="64"/>
      <c r="AC4" s="174" t="s">
        <v>1186</v>
      </c>
      <c r="AD4" s="246">
        <f>AD3-AD7</f>
        <v>1487.7609999999995</v>
      </c>
      <c r="AE4" s="186" t="s">
        <v>1001</v>
      </c>
      <c r="AF4" s="64"/>
      <c r="AI4" s="174" t="s">
        <v>1186</v>
      </c>
      <c r="AJ4" s="246">
        <f>AJ3-AJ7</f>
        <v>1545.6700000000055</v>
      </c>
      <c r="AK4" s="186" t="s">
        <v>1001</v>
      </c>
      <c r="AL4" s="64"/>
      <c r="AO4" s="174" t="s">
        <v>1186</v>
      </c>
      <c r="AP4" s="246">
        <f>AP3-AP7</f>
        <v>7455.0509999999995</v>
      </c>
      <c r="AQ4" s="186" t="s">
        <v>1001</v>
      </c>
      <c r="AR4" s="64"/>
      <c r="AU4" s="173" t="s">
        <v>1186</v>
      </c>
      <c r="AV4" s="246">
        <f>AV3-AV7</f>
        <v>2205.8789999999935</v>
      </c>
      <c r="AW4" s="186" t="s">
        <v>1001</v>
      </c>
      <c r="AX4" s="64"/>
      <c r="AY4" s="173"/>
      <c r="AZ4" s="246"/>
      <c r="BA4" s="186" t="s">
        <v>1001</v>
      </c>
      <c r="BB4" s="64"/>
      <c r="BE4" s="173" t="s">
        <v>1186</v>
      </c>
      <c r="BF4" s="246">
        <f>BF3-BF7</f>
        <v>3846.3210000000108</v>
      </c>
      <c r="BG4" s="186" t="s">
        <v>1001</v>
      </c>
      <c r="BH4" s="64"/>
      <c r="BK4" s="266" t="s">
        <v>1186</v>
      </c>
      <c r="BL4" s="265">
        <f>BL3-BL7</f>
        <v>1986.3499999999869</v>
      </c>
      <c r="BM4" s="186" t="s">
        <v>1001</v>
      </c>
      <c r="BN4" s="64"/>
      <c r="BQ4" s="266" t="s">
        <v>1186</v>
      </c>
      <c r="BR4" s="265">
        <f>BR3-BR7</f>
        <v>2641.1200000000076</v>
      </c>
      <c r="BS4" s="186" t="s">
        <v>1001</v>
      </c>
      <c r="BT4" s="231"/>
      <c r="BW4" s="266" t="s">
        <v>1186</v>
      </c>
      <c r="BX4" s="265">
        <f>BX3-BX7</f>
        <v>2767.6290000000081</v>
      </c>
      <c r="BY4" s="186" t="s">
        <v>1001</v>
      </c>
      <c r="BZ4" s="64"/>
      <c r="CC4" s="266" t="s">
        <v>1186</v>
      </c>
      <c r="CD4" s="265">
        <f>CD3-CD7</f>
        <v>2896.2299999999977</v>
      </c>
      <c r="CE4" s="186" t="s">
        <v>1001</v>
      </c>
      <c r="CF4" s="64"/>
      <c r="CI4" s="266" t="s">
        <v>1186</v>
      </c>
      <c r="CJ4" s="265">
        <f>CJ3-CJ7</f>
        <v>3338.7009999999827</v>
      </c>
      <c r="CK4" s="186" t="s">
        <v>1001</v>
      </c>
      <c r="CL4" s="64"/>
      <c r="CO4" s="266" t="s">
        <v>1186</v>
      </c>
      <c r="CP4" s="265">
        <f>CP3-CP7</f>
        <v>2095.6600000000094</v>
      </c>
      <c r="CQ4" s="186" t="s">
        <v>1001</v>
      </c>
      <c r="CR4" s="64"/>
      <c r="CU4" s="266" t="s">
        <v>1186</v>
      </c>
      <c r="CV4" s="265">
        <f>CV3-CV7</f>
        <v>3172.9400000000114</v>
      </c>
      <c r="CW4" s="186" t="s">
        <v>1001</v>
      </c>
      <c r="CX4" s="64"/>
      <c r="DA4" s="221" t="s">
        <v>1186</v>
      </c>
      <c r="DB4" s="265">
        <f>DB3-DB7</f>
        <v>4604.6600000000053</v>
      </c>
      <c r="DC4" s="186" t="s">
        <v>1001</v>
      </c>
      <c r="DD4" s="64"/>
      <c r="DG4" s="221" t="s">
        <v>1186</v>
      </c>
      <c r="DH4" s="306">
        <f>DH3-DH7</f>
        <v>6875.0489999999863</v>
      </c>
      <c r="DI4" s="186" t="s">
        <v>1001</v>
      </c>
      <c r="DJ4" s="64"/>
      <c r="DM4" s="221" t="s">
        <v>1186</v>
      </c>
      <c r="DN4" s="306">
        <f>DN3-DN7</f>
        <v>4726.7400000000016</v>
      </c>
      <c r="DO4" s="186" t="s">
        <v>1512</v>
      </c>
      <c r="DP4" s="64">
        <v>1597</v>
      </c>
      <c r="DS4" s="208" t="s">
        <v>1186</v>
      </c>
      <c r="DT4" s="290">
        <f>DT3-DT8</f>
        <v>12719.120000000024</v>
      </c>
      <c r="DU4" s="186" t="s">
        <v>1534</v>
      </c>
      <c r="DV4" s="64">
        <v>784</v>
      </c>
      <c r="DY4" t="s">
        <v>1186</v>
      </c>
      <c r="DZ4" s="290">
        <f>DZ3-DZ7</f>
        <v>2984.0000000000027</v>
      </c>
      <c r="EA4" s="186" t="s">
        <v>1534</v>
      </c>
      <c r="EB4" s="63">
        <v>1433</v>
      </c>
      <c r="EE4" t="s">
        <v>1186</v>
      </c>
      <c r="EF4" s="290">
        <f>EF3-EF7</f>
        <v>2794.4399999999723</v>
      </c>
      <c r="EG4" s="290"/>
      <c r="EH4" s="1" t="s">
        <v>1637</v>
      </c>
      <c r="EI4" s="1">
        <v>-360</v>
      </c>
      <c r="EL4" t="s">
        <v>1186</v>
      </c>
      <c r="EM4" s="290">
        <f>EM3-EM7</f>
        <v>3430.2000000000189</v>
      </c>
      <c r="EN4" s="1" t="s">
        <v>1637</v>
      </c>
      <c r="EO4" s="1">
        <v>-1059</v>
      </c>
      <c r="ER4" t="s">
        <v>1732</v>
      </c>
      <c r="ES4" s="290">
        <f>ES3-ES7</f>
        <v>5040.3799999999919</v>
      </c>
      <c r="ET4" s="1" t="s">
        <v>1637</v>
      </c>
      <c r="EU4" s="1">
        <v>-2168</v>
      </c>
      <c r="EX4" t="s">
        <v>2026</v>
      </c>
      <c r="EY4" s="290">
        <f>EY3-EY7</f>
        <v>3574.4209999999985</v>
      </c>
      <c r="EZ4" s="1" t="s">
        <v>1637</v>
      </c>
      <c r="FA4" s="1">
        <v>-1778</v>
      </c>
      <c r="FD4" t="s">
        <v>2026</v>
      </c>
      <c r="FE4" s="290">
        <f>FE3-FE7</f>
        <v>3502.921000000008</v>
      </c>
      <c r="FF4" s="1" t="s">
        <v>1637</v>
      </c>
      <c r="FG4" s="1">
        <v>-1252</v>
      </c>
      <c r="FJ4" t="s">
        <v>2026</v>
      </c>
      <c r="FK4" s="290">
        <f>FK3-FK7</f>
        <v>3295.199999999998</v>
      </c>
      <c r="FL4" t="s">
        <v>1813</v>
      </c>
      <c r="FM4" s="2">
        <v>160000</v>
      </c>
      <c r="FP4" t="s">
        <v>2026</v>
      </c>
      <c r="FQ4" s="290">
        <f>FQ3-FQ8-FQ7</f>
        <v>4761.7000000000071</v>
      </c>
      <c r="FR4" t="s">
        <v>1813</v>
      </c>
      <c r="FS4" s="2">
        <v>198000</v>
      </c>
      <c r="FV4" t="s">
        <v>2026</v>
      </c>
      <c r="FW4" s="290">
        <f>FW3-FW8-FW7</f>
        <v>5622.1610000000019</v>
      </c>
      <c r="FX4" t="s">
        <v>1908</v>
      </c>
      <c r="FY4" s="2">
        <v>180000</v>
      </c>
      <c r="GB4" t="s">
        <v>2026</v>
      </c>
      <c r="GC4" s="290">
        <f>GC3-GC8-GC7</f>
        <v>2747.1799999999898</v>
      </c>
      <c r="GD4" t="s">
        <v>1908</v>
      </c>
      <c r="GE4" s="2">
        <v>145000</v>
      </c>
      <c r="GH4" t="s">
        <v>2026</v>
      </c>
      <c r="GI4" s="290">
        <f>GI3-GI8-GI7</f>
        <v>5855.1089999999813</v>
      </c>
      <c r="GJ4" t="s">
        <v>1908</v>
      </c>
      <c r="GK4" s="2">
        <v>164000</v>
      </c>
      <c r="GN4" t="s">
        <v>2026</v>
      </c>
      <c r="GO4" s="290">
        <f>GO3-GO8-GO7</f>
        <v>4720.0899999999965</v>
      </c>
      <c r="GP4" t="s">
        <v>1908</v>
      </c>
      <c r="GQ4" s="2">
        <v>176000</v>
      </c>
      <c r="GT4" t="s">
        <v>2026</v>
      </c>
      <c r="GU4" s="290">
        <f>GU3-GU8-GU7</f>
        <v>2094.1210000000328</v>
      </c>
      <c r="GV4" t="s">
        <v>1908</v>
      </c>
      <c r="GW4" s="2">
        <v>105000</v>
      </c>
      <c r="GZ4" t="s">
        <v>2026</v>
      </c>
      <c r="HA4" s="290">
        <f>HA3-HA8-HA7</f>
        <v>6840.9766666666601</v>
      </c>
      <c r="HB4" t="s">
        <v>1908</v>
      </c>
      <c r="HC4" s="2">
        <v>103000</v>
      </c>
      <c r="HF4" t="s">
        <v>2410</v>
      </c>
      <c r="HG4" s="290">
        <f>HG3-SUM(HG37:HG38)</f>
        <v>1983.4866666666603</v>
      </c>
      <c r="HH4" t="s">
        <v>1908</v>
      </c>
      <c r="HI4" s="2">
        <v>85000</v>
      </c>
      <c r="HJ4" t="s">
        <v>639</v>
      </c>
      <c r="HK4">
        <v>15123.78</v>
      </c>
      <c r="HL4" t="s">
        <v>2410</v>
      </c>
      <c r="HM4" s="277">
        <f>HM3-HM36</f>
        <v>2246.9276666666774</v>
      </c>
      <c r="HN4" t="s">
        <v>1908</v>
      </c>
      <c r="HO4" s="2">
        <v>78000</v>
      </c>
      <c r="HP4" t="s">
        <v>639</v>
      </c>
      <c r="HQ4">
        <v>15123.78</v>
      </c>
      <c r="HR4" t="s">
        <v>2026</v>
      </c>
      <c r="HS4" s="277">
        <f>HS3-HQ29-HQ28-HS39</f>
        <v>3995.2866666666582</v>
      </c>
      <c r="HT4" t="s">
        <v>429</v>
      </c>
      <c r="HU4" s="2">
        <v>4000</v>
      </c>
      <c r="HV4" t="s">
        <v>639</v>
      </c>
      <c r="HW4" s="52">
        <v>15123.78</v>
      </c>
      <c r="HX4" t="s">
        <v>2409</v>
      </c>
      <c r="HY4" s="2">
        <f>HY2-HW25-HW24</f>
        <v>11602.456666666758</v>
      </c>
      <c r="HZ4" t="s">
        <v>2372</v>
      </c>
      <c r="IA4" s="367"/>
      <c r="IB4" t="s">
        <v>2376</v>
      </c>
      <c r="IC4" s="534">
        <v>-1437.02</v>
      </c>
      <c r="ID4" t="s">
        <v>2422</v>
      </c>
      <c r="IE4" s="277">
        <f>IE3-IE57</f>
        <v>3490.8843333333507</v>
      </c>
      <c r="IF4" s="1" t="s">
        <v>1637</v>
      </c>
      <c r="IG4" s="145">
        <v>-192</v>
      </c>
      <c r="IH4" t="s">
        <v>2453</v>
      </c>
      <c r="II4" s="534">
        <v>-1437.02</v>
      </c>
      <c r="IJ4" s="564" t="s">
        <v>2475</v>
      </c>
      <c r="IK4" s="277">
        <f>IK3-II43</f>
        <v>5752.8033333333187</v>
      </c>
      <c r="IL4" s="1" t="s">
        <v>2306</v>
      </c>
      <c r="IM4" s="276">
        <v>-75000</v>
      </c>
      <c r="IN4" t="s">
        <v>2453</v>
      </c>
      <c r="IO4" s="534">
        <v>-1437.02</v>
      </c>
      <c r="IP4" t="s">
        <v>1210</v>
      </c>
      <c r="IQ4" s="290">
        <f>IQ2-IQ5</f>
        <v>2.970000000024811</v>
      </c>
      <c r="IR4" s="1" t="s">
        <v>2306</v>
      </c>
      <c r="IS4" s="276">
        <v>-75000</v>
      </c>
      <c r="IT4" s="667" t="s">
        <v>2728</v>
      </c>
      <c r="IU4" s="584">
        <v>-1437.02</v>
      </c>
      <c r="IV4" s="623" t="s">
        <v>1210</v>
      </c>
      <c r="IW4" s="290">
        <f>IW2-IW5</f>
        <v>0.48700000001917942</v>
      </c>
      <c r="IX4" s="669" t="s">
        <v>2664</v>
      </c>
      <c r="IY4" s="671">
        <v>0.13300000000000001</v>
      </c>
      <c r="IZ4" s="679" t="s">
        <v>2728</v>
      </c>
      <c r="JA4" s="584"/>
      <c r="JB4" s="679" t="s">
        <v>1210</v>
      </c>
      <c r="JC4" s="290">
        <f>JC2-JC5</f>
        <v>-9.8000000014508259E-2</v>
      </c>
      <c r="JD4" s="679" t="s">
        <v>2737</v>
      </c>
      <c r="JE4" s="272">
        <f>-140000-71000</f>
        <v>-211000</v>
      </c>
      <c r="JF4" s="665"/>
    </row>
    <row r="5" spans="1:267" x14ac:dyDescent="0.2">
      <c r="A5" s="717"/>
      <c r="B5" s="717"/>
      <c r="E5" s="173" t="s">
        <v>358</v>
      </c>
      <c r="F5" s="177">
        <f>SUM(F15:F56)</f>
        <v>12750</v>
      </c>
      <c r="G5" s="717"/>
      <c r="H5" s="717"/>
      <c r="K5" s="173" t="s">
        <v>358</v>
      </c>
      <c r="L5" s="246">
        <f>SUM(L15:L43)</f>
        <v>3738.0200000000004</v>
      </c>
      <c r="M5" s="186" t="s">
        <v>438</v>
      </c>
      <c r="N5" s="64">
        <v>966</v>
      </c>
      <c r="Q5" s="173" t="s">
        <v>233</v>
      </c>
      <c r="R5" s="246">
        <f>R3-R6</f>
        <v>0.55999999999949068</v>
      </c>
      <c r="S5" s="186" t="s">
        <v>438</v>
      </c>
      <c r="T5" s="64">
        <v>1716</v>
      </c>
      <c r="W5" s="173" t="s">
        <v>233</v>
      </c>
      <c r="X5" s="246">
        <f>X3-X6</f>
        <v>44.627999999998792</v>
      </c>
      <c r="Y5" s="186" t="s">
        <v>438</v>
      </c>
      <c r="Z5" s="64">
        <v>832.07</v>
      </c>
      <c r="AC5" s="173" t="s">
        <v>233</v>
      </c>
      <c r="AD5" s="246">
        <f>AD3-AD6</f>
        <v>124.4099999999994</v>
      </c>
      <c r="AE5" s="186" t="s">
        <v>438</v>
      </c>
      <c r="AF5" s="64">
        <v>1274</v>
      </c>
      <c r="AI5" s="173" t="s">
        <v>233</v>
      </c>
      <c r="AJ5" s="246">
        <f>AJ3-AJ6</f>
        <v>17.67000000000553</v>
      </c>
      <c r="AK5" s="186" t="s">
        <v>438</v>
      </c>
      <c r="AL5" s="64">
        <v>1460</v>
      </c>
      <c r="AO5" s="173" t="s">
        <v>1210</v>
      </c>
      <c r="AP5" s="246">
        <f>AP3-AP6</f>
        <v>5.3509999999987485</v>
      </c>
      <c r="AQ5" s="186" t="s">
        <v>438</v>
      </c>
      <c r="AR5" s="64">
        <v>1096</v>
      </c>
      <c r="AU5" s="173" t="s">
        <v>1210</v>
      </c>
      <c r="AV5" s="246">
        <f>AV3-AV6</f>
        <v>48.818999999994048</v>
      </c>
      <c r="AW5" s="186" t="s">
        <v>438</v>
      </c>
      <c r="AX5" s="64">
        <v>1425</v>
      </c>
      <c r="AY5" s="173"/>
      <c r="AZ5" s="246"/>
      <c r="BA5" s="186" t="s">
        <v>438</v>
      </c>
      <c r="BB5" s="64">
        <f>AX5</f>
        <v>1425</v>
      </c>
      <c r="BE5" s="173" t="s">
        <v>1210</v>
      </c>
      <c r="BF5" s="246">
        <f>BF3-BF6</f>
        <v>18.941000000011172</v>
      </c>
      <c r="BG5" s="186" t="s">
        <v>438</v>
      </c>
      <c r="BH5" s="64">
        <v>916</v>
      </c>
      <c r="BK5" s="266" t="s">
        <v>1210</v>
      </c>
      <c r="BL5" s="265">
        <f>BL3-BL6</f>
        <v>9.8299999999867396</v>
      </c>
      <c r="BM5" s="186" t="s">
        <v>438</v>
      </c>
      <c r="BN5" s="64">
        <v>1684</v>
      </c>
      <c r="BQ5" s="266" t="s">
        <v>1210</v>
      </c>
      <c r="BR5" s="265">
        <f>BR3-BR6</f>
        <v>7.5800000000072032</v>
      </c>
      <c r="BS5" s="186" t="s">
        <v>438</v>
      </c>
      <c r="BT5" s="231">
        <v>1251</v>
      </c>
      <c r="BW5" s="266" t="s">
        <v>1210</v>
      </c>
      <c r="BX5" s="265">
        <f>BX3-BX6</f>
        <v>2.0890000000072177</v>
      </c>
      <c r="BY5" s="186" t="s">
        <v>438</v>
      </c>
      <c r="BZ5" s="64">
        <v>1449</v>
      </c>
      <c r="CC5" s="266" t="s">
        <v>1210</v>
      </c>
      <c r="CD5" s="265">
        <f>CD3-CD6</f>
        <v>0.79899999999724969</v>
      </c>
      <c r="CE5" s="186" t="s">
        <v>438</v>
      </c>
      <c r="CF5" s="64">
        <v>883</v>
      </c>
      <c r="CG5" s="9" t="s">
        <v>639</v>
      </c>
      <c r="CH5" s="289">
        <v>13645.36</v>
      </c>
      <c r="CI5" s="266" t="s">
        <v>1210</v>
      </c>
      <c r="CJ5" s="265">
        <f>CJ3-CJ6</f>
        <v>15.929999999982101</v>
      </c>
      <c r="CK5" s="186" t="s">
        <v>438</v>
      </c>
      <c r="CL5" s="64">
        <v>1216</v>
      </c>
      <c r="CM5" s="9" t="s">
        <v>639</v>
      </c>
      <c r="CN5" s="289">
        <v>13645.36</v>
      </c>
      <c r="CO5" s="266" t="s">
        <v>1210</v>
      </c>
      <c r="CP5" s="265">
        <f>CP3-CP6</f>
        <v>6.3390000000094915</v>
      </c>
      <c r="CQ5" s="186" t="s">
        <v>438</v>
      </c>
      <c r="CR5" s="64">
        <v>1275</v>
      </c>
      <c r="CS5" s="9" t="s">
        <v>639</v>
      </c>
      <c r="CT5" s="289">
        <v>13638.04</v>
      </c>
      <c r="CU5" s="266" t="s">
        <v>1210</v>
      </c>
      <c r="CV5" s="265">
        <f>CV3-CV6</f>
        <v>76.548000000010688</v>
      </c>
      <c r="CW5" s="186" t="s">
        <v>438</v>
      </c>
      <c r="CX5" s="64">
        <v>1086</v>
      </c>
      <c r="CY5" s="9" t="s">
        <v>639</v>
      </c>
      <c r="CZ5" s="289">
        <v>13638.04</v>
      </c>
      <c r="DA5" s="221" t="s">
        <v>1210</v>
      </c>
      <c r="DB5" s="265">
        <f>DB3-DB6</f>
        <v>31.730000000003201</v>
      </c>
      <c r="DC5" s="186" t="s">
        <v>438</v>
      </c>
      <c r="DD5" s="64">
        <v>937</v>
      </c>
      <c r="DE5" s="9" t="s">
        <v>639</v>
      </c>
      <c r="DF5" s="289">
        <v>13638.04</v>
      </c>
      <c r="DG5" s="221" t="s">
        <v>1210</v>
      </c>
      <c r="DH5" s="306">
        <f>DH3-DH6</f>
        <v>97.948999999987791</v>
      </c>
      <c r="DI5" s="186" t="s">
        <v>438</v>
      </c>
      <c r="DJ5" s="64">
        <v>716</v>
      </c>
      <c r="DK5" s="9" t="s">
        <v>639</v>
      </c>
      <c r="DL5" s="289">
        <v>25684</v>
      </c>
      <c r="DM5" s="221" t="s">
        <v>1210</v>
      </c>
      <c r="DN5" s="306">
        <f>DN3-DN6</f>
        <v>10.819999999999709</v>
      </c>
      <c r="DO5" s="186" t="s">
        <v>1513</v>
      </c>
      <c r="DP5" s="64">
        <v>11789</v>
      </c>
      <c r="DQ5" s="9" t="s">
        <v>639</v>
      </c>
      <c r="DR5" s="289">
        <v>14054.71</v>
      </c>
      <c r="DS5" s="208" t="s">
        <v>1633</v>
      </c>
      <c r="DT5" s="259">
        <f>DT4-DT25</f>
        <v>2378.5700000000252</v>
      </c>
      <c r="DU5" s="186" t="s">
        <v>1513</v>
      </c>
      <c r="DV5" s="64">
        <v>2251</v>
      </c>
      <c r="DW5" t="s">
        <v>639</v>
      </c>
      <c r="DX5" s="52">
        <v>14054.71</v>
      </c>
      <c r="DY5" t="s">
        <v>1210</v>
      </c>
      <c r="DZ5" s="290">
        <f>DZ3-DZ6</f>
        <v>2.1700000000028012</v>
      </c>
      <c r="EA5" s="186" t="s">
        <v>1513</v>
      </c>
      <c r="EB5" s="63">
        <v>9686</v>
      </c>
      <c r="EC5" t="s">
        <v>639</v>
      </c>
      <c r="ED5" s="52">
        <v>14054.71</v>
      </c>
      <c r="EE5" t="s">
        <v>1210</v>
      </c>
      <c r="EF5" s="290">
        <f>EF3-EF6</f>
        <v>5.1399999999721331</v>
      </c>
      <c r="EG5" s="290"/>
      <c r="EH5" s="1" t="s">
        <v>1638</v>
      </c>
      <c r="EI5" s="1">
        <v>1E-3</v>
      </c>
      <c r="EJ5" t="s">
        <v>639</v>
      </c>
      <c r="EK5" s="52">
        <v>14054.71</v>
      </c>
      <c r="EL5" t="s">
        <v>1210</v>
      </c>
      <c r="EM5" s="290">
        <f>EM3-EM6</f>
        <v>2.1700000000200816</v>
      </c>
      <c r="EN5" s="1" t="s">
        <v>1638</v>
      </c>
      <c r="EO5" s="1">
        <v>1E-3</v>
      </c>
      <c r="EP5" t="s">
        <v>639</v>
      </c>
      <c r="EQ5" s="52">
        <v>14054.71</v>
      </c>
      <c r="ER5" t="s">
        <v>1210</v>
      </c>
      <c r="ES5" s="290">
        <f>ES3-ES6</f>
        <v>3.9099999999925785</v>
      </c>
      <c r="ET5" s="1" t="s">
        <v>1638</v>
      </c>
      <c r="EU5" s="1">
        <v>1E-3</v>
      </c>
      <c r="EV5" t="s">
        <v>639</v>
      </c>
      <c r="EW5" s="52">
        <v>14054.71</v>
      </c>
      <c r="EX5" t="s">
        <v>1210</v>
      </c>
      <c r="EY5" s="290">
        <f>EY3-EY6</f>
        <v>-1.1690000000007785</v>
      </c>
      <c r="EZ5" s="1" t="s">
        <v>1638</v>
      </c>
      <c r="FA5" s="363">
        <v>9</v>
      </c>
      <c r="FB5" t="s">
        <v>639</v>
      </c>
      <c r="FC5" s="52">
        <v>14054.71</v>
      </c>
      <c r="FD5" t="s">
        <v>1210</v>
      </c>
      <c r="FE5" s="290">
        <f>FE3-FE6</f>
        <v>6.0000000000090949</v>
      </c>
      <c r="FF5" s="1" t="s">
        <v>1638</v>
      </c>
      <c r="FG5" s="363">
        <v>7</v>
      </c>
      <c r="FH5" t="s">
        <v>639</v>
      </c>
      <c r="FI5" s="246">
        <v>14040</v>
      </c>
      <c r="FJ5" t="s">
        <v>1210</v>
      </c>
      <c r="FK5" s="290">
        <f>FK3-FK6</f>
        <v>8.3399999999983265</v>
      </c>
      <c r="FL5" s="1" t="s">
        <v>1637</v>
      </c>
      <c r="FM5">
        <v>-1400</v>
      </c>
      <c r="FN5" t="s">
        <v>639</v>
      </c>
      <c r="FO5" s="246">
        <v>14040.45</v>
      </c>
      <c r="FP5" t="s">
        <v>1210</v>
      </c>
      <c r="FQ5" s="290">
        <f>FQ3-FQ6</f>
        <v>6.0500000000138243</v>
      </c>
      <c r="FR5" s="1" t="s">
        <v>1637</v>
      </c>
      <c r="FS5">
        <v>-3496</v>
      </c>
      <c r="FT5" t="s">
        <v>639</v>
      </c>
      <c r="FU5" s="246">
        <v>14040.45</v>
      </c>
      <c r="FV5" t="s">
        <v>1210</v>
      </c>
      <c r="FW5" s="290">
        <f>FW3-FW6</f>
        <v>-4.2489999999961583</v>
      </c>
      <c r="FX5" t="s">
        <v>1928</v>
      </c>
      <c r="FY5" s="272">
        <v>-12000</v>
      </c>
      <c r="FZ5" t="s">
        <v>2001</v>
      </c>
      <c r="GB5" t="s">
        <v>1210</v>
      </c>
      <c r="GC5" s="290">
        <f>GC3-GC6</f>
        <v>1.2699999999895226</v>
      </c>
      <c r="GD5" t="s">
        <v>1928</v>
      </c>
      <c r="GE5" s="272">
        <v>-11000</v>
      </c>
      <c r="GF5" t="s">
        <v>1988</v>
      </c>
      <c r="GH5" t="s">
        <v>1210</v>
      </c>
      <c r="GI5" s="290">
        <f>GI3-GI6</f>
        <v>-1.8210000000181026</v>
      </c>
      <c r="GJ5" t="s">
        <v>1983</v>
      </c>
      <c r="GK5" s="272">
        <v>-10000</v>
      </c>
      <c r="GL5" t="s">
        <v>639</v>
      </c>
      <c r="GM5">
        <v>15123.78</v>
      </c>
      <c r="GN5" t="s">
        <v>1210</v>
      </c>
      <c r="GO5" s="290">
        <f>GO3-GO6</f>
        <v>-4.7600000000029468</v>
      </c>
      <c r="GP5" t="s">
        <v>1983</v>
      </c>
      <c r="GQ5" s="272">
        <v>-9000</v>
      </c>
      <c r="GR5" t="s">
        <v>639</v>
      </c>
      <c r="GS5">
        <v>15123.78</v>
      </c>
      <c r="GT5" t="s">
        <v>1210</v>
      </c>
      <c r="GU5" s="290">
        <f>GU3-GU6</f>
        <v>-0.27899999996589031</v>
      </c>
      <c r="GV5" t="s">
        <v>1983</v>
      </c>
      <c r="GW5" s="272">
        <v>-9000</v>
      </c>
      <c r="GX5" t="s">
        <v>639</v>
      </c>
      <c r="GY5">
        <v>15123.78</v>
      </c>
      <c r="GZ5" t="s">
        <v>1210</v>
      </c>
      <c r="HA5" s="290">
        <f>HA3-HA6</f>
        <v>0.60799999999289867</v>
      </c>
      <c r="HB5" t="s">
        <v>1983</v>
      </c>
      <c r="HC5" s="272">
        <v>-6000</v>
      </c>
      <c r="HD5" t="s">
        <v>639</v>
      </c>
      <c r="HE5">
        <v>15123.78</v>
      </c>
      <c r="HF5" t="s">
        <v>1210</v>
      </c>
      <c r="HG5" s="290">
        <f>HG2-HG6</f>
        <v>-2.2200000000048021</v>
      </c>
      <c r="HH5" t="s">
        <v>1983</v>
      </c>
      <c r="HI5" s="272">
        <v>-6000</v>
      </c>
      <c r="HJ5" t="s">
        <v>2240</v>
      </c>
      <c r="HK5">
        <v>-1437.02</v>
      </c>
      <c r="HL5" t="s">
        <v>1210</v>
      </c>
      <c r="HM5" s="290">
        <f>HM2-HM6</f>
        <v>-0.18999999998777639</v>
      </c>
      <c r="HN5" t="s">
        <v>1983</v>
      </c>
      <c r="HO5" s="272">
        <v>-6000</v>
      </c>
      <c r="HP5" t="s">
        <v>2246</v>
      </c>
      <c r="HQ5">
        <v>-1437.02</v>
      </c>
      <c r="HR5" t="s">
        <v>1210</v>
      </c>
      <c r="HS5" s="290">
        <f>HS3-HS6</f>
        <v>-0.41000000000894943</v>
      </c>
      <c r="HT5" s="431" t="s">
        <v>1983</v>
      </c>
      <c r="HU5" s="432">
        <f>HO5-HT7</f>
        <v>-13000</v>
      </c>
      <c r="HV5" t="s">
        <v>2377</v>
      </c>
      <c r="HW5" s="52">
        <v>-1437.02</v>
      </c>
      <c r="HX5" t="s">
        <v>2406</v>
      </c>
      <c r="HY5" s="277">
        <f>HY4-HY53</f>
        <v>4272.9566666667579</v>
      </c>
      <c r="HZ5" t="s">
        <v>2373</v>
      </c>
      <c r="IA5" s="367"/>
      <c r="IB5" t="s">
        <v>1585</v>
      </c>
      <c r="IC5" s="534"/>
      <c r="ID5" t="s">
        <v>1210</v>
      </c>
      <c r="IE5" s="290">
        <f>IE2-IE6</f>
        <v>-0.92899999998917338</v>
      </c>
      <c r="IF5" s="6" t="s">
        <v>1901</v>
      </c>
      <c r="IG5" s="363">
        <v>14.67</v>
      </c>
      <c r="IH5" t="s">
        <v>2446</v>
      </c>
      <c r="II5" s="534">
        <v>100</v>
      </c>
      <c r="IJ5" t="s">
        <v>1210</v>
      </c>
      <c r="IK5" s="290">
        <f>IK2-IK6</f>
        <v>1.0099999999856664</v>
      </c>
      <c r="IL5" s="566" t="s">
        <v>2428</v>
      </c>
      <c r="IM5" s="2">
        <v>0</v>
      </c>
      <c r="IO5" s="534"/>
      <c r="IP5" t="s">
        <v>358</v>
      </c>
      <c r="IQ5" s="277">
        <f>SUM(IQ6:IQ57)</f>
        <v>11405.679999999998</v>
      </c>
      <c r="IR5" s="66" t="s">
        <v>2428</v>
      </c>
      <c r="IS5" s="2">
        <v>0</v>
      </c>
      <c r="IT5" s="623" t="s">
        <v>2658</v>
      </c>
      <c r="IU5" s="534">
        <f>-30-11-12-13</f>
        <v>-66</v>
      </c>
      <c r="IV5" s="623" t="s">
        <v>358</v>
      </c>
      <c r="IW5" s="277">
        <f>SUM(IW6:IW39)</f>
        <v>11439.500000000004</v>
      </c>
      <c r="IX5" s="627" t="s">
        <v>2306</v>
      </c>
      <c r="IY5" s="276">
        <v>-75000</v>
      </c>
      <c r="IZ5" s="679" t="s">
        <v>2658</v>
      </c>
      <c r="JA5" s="534">
        <f>-(1300+30)</f>
        <v>-1330</v>
      </c>
      <c r="JB5" s="679" t="s">
        <v>358</v>
      </c>
      <c r="JC5" s="277">
        <f>SUM(JC6:JC42)</f>
        <v>3887.1509999999998</v>
      </c>
      <c r="JD5" s="682" t="s">
        <v>2306</v>
      </c>
      <c r="JE5" s="276">
        <v>-75000</v>
      </c>
      <c r="JF5" s="665"/>
    </row>
    <row r="6" spans="1:267" x14ac:dyDescent="0.2">
      <c r="A6" s="186" t="s">
        <v>1001</v>
      </c>
      <c r="B6" s="64"/>
      <c r="E6" s="173"/>
      <c r="F6" s="173"/>
      <c r="G6" s="186" t="s">
        <v>1001</v>
      </c>
      <c r="H6" s="64"/>
      <c r="I6" t="s">
        <v>1054</v>
      </c>
      <c r="J6">
        <v>12933</v>
      </c>
      <c r="K6" s="173"/>
      <c r="M6" s="186" t="s">
        <v>449</v>
      </c>
      <c r="N6" s="64">
        <v>15505</v>
      </c>
      <c r="O6" t="s">
        <v>639</v>
      </c>
      <c r="P6">
        <v>0</v>
      </c>
      <c r="Q6" s="173" t="s">
        <v>358</v>
      </c>
      <c r="R6" s="246">
        <f>SUM(R15:R41)</f>
        <v>7490.4400000000005</v>
      </c>
      <c r="S6" s="186" t="s">
        <v>449</v>
      </c>
      <c r="T6" s="64">
        <v>4922</v>
      </c>
      <c r="U6" t="s">
        <v>639</v>
      </c>
      <c r="V6">
        <v>13664</v>
      </c>
      <c r="W6" s="173" t="s">
        <v>358</v>
      </c>
      <c r="X6" s="246">
        <f>SUM(X14:X45)</f>
        <v>5719.0310000000009</v>
      </c>
      <c r="Y6" s="186" t="s">
        <v>449</v>
      </c>
      <c r="Z6" s="64">
        <v>3694.13</v>
      </c>
      <c r="AA6" t="s">
        <v>639</v>
      </c>
      <c r="AB6">
        <v>13664.29</v>
      </c>
      <c r="AC6" s="173" t="s">
        <v>358</v>
      </c>
      <c r="AD6" s="246">
        <f>SUM(AD13:AD34)</f>
        <v>3864.5509999999999</v>
      </c>
      <c r="AE6" s="186" t="s">
        <v>449</v>
      </c>
      <c r="AF6" s="64">
        <v>17678</v>
      </c>
      <c r="AG6" t="s">
        <v>639</v>
      </c>
      <c r="AH6">
        <v>13642</v>
      </c>
      <c r="AI6" s="173" t="s">
        <v>358</v>
      </c>
      <c r="AJ6" s="246">
        <f>SUM(AJ13:AJ36)</f>
        <v>1528</v>
      </c>
      <c r="AK6" s="186" t="s">
        <v>449</v>
      </c>
      <c r="AL6" s="64">
        <v>4218</v>
      </c>
      <c r="AM6" t="s">
        <v>1113</v>
      </c>
      <c r="AN6">
        <v>17376</v>
      </c>
      <c r="AO6" s="173" t="s">
        <v>358</v>
      </c>
      <c r="AP6" s="246">
        <f>SUM(AP13:AP55)</f>
        <v>15349.7</v>
      </c>
      <c r="AQ6" s="186" t="s">
        <v>449</v>
      </c>
      <c r="AR6" s="64">
        <v>4900.57</v>
      </c>
      <c r="AS6" t="s">
        <v>1113</v>
      </c>
      <c r="AT6">
        <v>15242</v>
      </c>
      <c r="AU6" s="173" t="s">
        <v>358</v>
      </c>
      <c r="AV6" s="246">
        <f>SUM(AV12:AV49)</f>
        <v>6657.1299999999992</v>
      </c>
      <c r="AW6" s="186" t="s">
        <v>449</v>
      </c>
      <c r="AX6" s="64">
        <v>10293</v>
      </c>
      <c r="AY6" s="173"/>
      <c r="AZ6" s="246"/>
      <c r="BA6" s="186" t="s">
        <v>449</v>
      </c>
      <c r="BB6" s="64">
        <f t="shared" ref="BB6:BB23" si="0">AX6</f>
        <v>10293</v>
      </c>
      <c r="BC6" t="s">
        <v>639</v>
      </c>
      <c r="BD6">
        <v>13642</v>
      </c>
      <c r="BE6" s="173" t="s">
        <v>358</v>
      </c>
      <c r="BF6" s="246">
        <f>SUM(BF12:BF42)</f>
        <v>3927.3799999999997</v>
      </c>
      <c r="BG6" s="186" t="s">
        <v>449</v>
      </c>
      <c r="BH6" s="64">
        <v>17276</v>
      </c>
      <c r="BI6" s="9" t="s">
        <v>639</v>
      </c>
      <c r="BJ6" s="9">
        <v>13642</v>
      </c>
      <c r="BK6" s="266" t="s">
        <v>358</v>
      </c>
      <c r="BL6" s="265">
        <f>SUM(BL12:BL38)</f>
        <v>3876.57</v>
      </c>
      <c r="BM6" s="186" t="s">
        <v>449</v>
      </c>
      <c r="BN6" s="64">
        <v>4941</v>
      </c>
      <c r="BO6" s="9" t="s">
        <v>639</v>
      </c>
      <c r="BP6" s="9">
        <v>13642.36</v>
      </c>
      <c r="BQ6" s="266" t="s">
        <v>358</v>
      </c>
      <c r="BR6" s="265">
        <f>SUM(BR12:BR39)</f>
        <v>4533.6000000000004</v>
      </c>
      <c r="BS6" s="186" t="s">
        <v>449</v>
      </c>
      <c r="BT6" s="231">
        <v>4481</v>
      </c>
      <c r="BU6" s="9" t="s">
        <v>639</v>
      </c>
      <c r="BV6" s="9">
        <v>13642.36</v>
      </c>
      <c r="BW6" s="266" t="s">
        <v>358</v>
      </c>
      <c r="BX6" s="265">
        <f>SUM(BX12:BX44)</f>
        <v>4665.6100000000006</v>
      </c>
      <c r="BY6" s="186" t="s">
        <v>449</v>
      </c>
      <c r="BZ6" s="64">
        <v>1093</v>
      </c>
      <c r="CA6" s="9" t="s">
        <v>639</v>
      </c>
      <c r="CB6" s="9">
        <v>13642</v>
      </c>
      <c r="CC6" s="266" t="s">
        <v>358</v>
      </c>
      <c r="CD6" s="265">
        <f>SUM(CD12:CD43)</f>
        <v>4795.5110000000004</v>
      </c>
      <c r="CE6" s="186" t="s">
        <v>449</v>
      </c>
      <c r="CF6" s="64">
        <v>3628</v>
      </c>
      <c r="CH6" s="6"/>
      <c r="CI6" s="266" t="s">
        <v>358</v>
      </c>
      <c r="CJ6" s="265">
        <f>SUM(CJ12:CJ45)</f>
        <v>6322.8610000000008</v>
      </c>
      <c r="CK6" s="186" t="s">
        <v>449</v>
      </c>
      <c r="CL6" s="64">
        <v>2249</v>
      </c>
      <c r="CN6" s="6"/>
      <c r="CO6" s="266" t="s">
        <v>358</v>
      </c>
      <c r="CP6" s="265">
        <f>SUM(CP12:CP43)</f>
        <v>3989.4209999999998</v>
      </c>
      <c r="CQ6" s="186" t="s">
        <v>449</v>
      </c>
      <c r="CR6" s="64">
        <v>1723</v>
      </c>
      <c r="CT6" s="6"/>
      <c r="CU6" s="266" t="s">
        <v>358</v>
      </c>
      <c r="CV6" s="265">
        <f>SUM(CV12:CV44)</f>
        <v>5030.402000000001</v>
      </c>
      <c r="CW6" s="186" t="s">
        <v>449</v>
      </c>
      <c r="CX6" s="64">
        <v>4843</v>
      </c>
      <c r="CZ6" s="6"/>
      <c r="DA6" s="221" t="s">
        <v>358</v>
      </c>
      <c r="DB6" s="265">
        <f>SUM(DB12:DB44)</f>
        <v>6503.1500000000015</v>
      </c>
      <c r="DC6" s="186" t="s">
        <v>449</v>
      </c>
      <c r="DD6" s="64">
        <v>2708</v>
      </c>
      <c r="DE6" s="9" t="s">
        <v>639</v>
      </c>
      <c r="DF6" s="312">
        <v>36454.71</v>
      </c>
      <c r="DG6" s="221" t="s">
        <v>358</v>
      </c>
      <c r="DH6" s="306">
        <f>SUM(DH13:DH64)</f>
        <v>13759.15</v>
      </c>
      <c r="DI6" s="186" t="s">
        <v>449</v>
      </c>
      <c r="DJ6" s="64">
        <v>7372</v>
      </c>
      <c r="DL6" s="312"/>
      <c r="DM6" s="221" t="s">
        <v>358</v>
      </c>
      <c r="DN6" s="315">
        <f>SUM(DN13:DN60)</f>
        <v>21532.18</v>
      </c>
      <c r="DO6" s="186" t="s">
        <v>1514</v>
      </c>
      <c r="DP6" s="64" t="s">
        <v>648</v>
      </c>
      <c r="DR6" s="312"/>
      <c r="DS6" s="208" t="s">
        <v>1210</v>
      </c>
      <c r="DT6" s="283">
        <f>DT3-DT7</f>
        <v>31.529000000031374</v>
      </c>
      <c r="DU6" s="186" t="s">
        <v>1276</v>
      </c>
      <c r="DV6" s="64">
        <v>-10</v>
      </c>
      <c r="DX6" s="52"/>
      <c r="DY6" t="s">
        <v>358</v>
      </c>
      <c r="DZ6" s="336">
        <f>SUM(DZ12:DZ47)</f>
        <v>4914.88</v>
      </c>
      <c r="EA6" t="s">
        <v>1138</v>
      </c>
      <c r="EB6">
        <v>441</v>
      </c>
      <c r="EE6" t="s">
        <v>358</v>
      </c>
      <c r="EF6" s="336">
        <f>SUM(EF12:EF39)</f>
        <v>5251.33</v>
      </c>
      <c r="EG6" s="336"/>
      <c r="EH6" s="66" t="s">
        <v>1534</v>
      </c>
      <c r="EI6" s="1">
        <v>967</v>
      </c>
      <c r="EL6" t="s">
        <v>358</v>
      </c>
      <c r="EM6" s="336">
        <f>SUM(EM12:EM50)</f>
        <v>5228.0999999999985</v>
      </c>
      <c r="EN6" s="66" t="s">
        <v>1534</v>
      </c>
      <c r="EO6" s="1">
        <v>891</v>
      </c>
      <c r="ER6" t="s">
        <v>358</v>
      </c>
      <c r="ES6" s="359">
        <f>SUM(ES12:ES48)</f>
        <v>7266.5499999999993</v>
      </c>
      <c r="ET6" s="66" t="s">
        <v>1534</v>
      </c>
      <c r="EU6" s="1">
        <v>556</v>
      </c>
      <c r="EX6" t="s">
        <v>358</v>
      </c>
      <c r="EY6" s="336">
        <f>SUM(EY12:EY50)</f>
        <v>5475.6799999999994</v>
      </c>
      <c r="EZ6" s="66" t="s">
        <v>1534</v>
      </c>
      <c r="FA6">
        <v>1233</v>
      </c>
      <c r="FD6" t="s">
        <v>358</v>
      </c>
      <c r="FE6" s="290">
        <f>SUM(FE12:FE45)</f>
        <v>5297.0209999999988</v>
      </c>
      <c r="FF6" s="66" t="s">
        <v>1534</v>
      </c>
      <c r="FG6">
        <v>1591</v>
      </c>
      <c r="FH6" t="s">
        <v>1825</v>
      </c>
      <c r="FJ6" t="s">
        <v>358</v>
      </c>
      <c r="FK6" s="290">
        <f>SUM(FK12:FK45)</f>
        <v>5086.9699999999993</v>
      </c>
      <c r="FL6" s="1" t="s">
        <v>1638</v>
      </c>
      <c r="FM6" s="363">
        <v>97</v>
      </c>
      <c r="FN6" t="s">
        <v>1846</v>
      </c>
      <c r="FO6" s="246"/>
      <c r="FP6" t="s">
        <v>358</v>
      </c>
      <c r="FQ6" s="290">
        <f>SUM(FQ13:FQ57)</f>
        <v>17555.769999999993</v>
      </c>
      <c r="FR6" s="1" t="s">
        <v>1638</v>
      </c>
      <c r="FS6" s="363">
        <v>97.53</v>
      </c>
      <c r="FT6" t="s">
        <v>1927</v>
      </c>
      <c r="FU6" s="246">
        <v>558</v>
      </c>
      <c r="FV6" t="s">
        <v>358</v>
      </c>
      <c r="FW6" s="290">
        <f>SUM(FW13:FW48)</f>
        <v>76726.42</v>
      </c>
      <c r="FX6" t="s">
        <v>1909</v>
      </c>
      <c r="FY6" s="2">
        <v>-77000</v>
      </c>
      <c r="FZ6" t="s">
        <v>639</v>
      </c>
      <c r="GA6">
        <f>16500-1200-176.22</f>
        <v>15123.78</v>
      </c>
      <c r="GB6" t="s">
        <v>358</v>
      </c>
      <c r="GC6" s="290">
        <f>SUM(GC13:GC49)</f>
        <v>69023.47</v>
      </c>
      <c r="GD6" t="s">
        <v>1909</v>
      </c>
      <c r="GE6" s="2">
        <v>-78000</v>
      </c>
      <c r="GF6" t="s">
        <v>639</v>
      </c>
      <c r="GG6">
        <f>16500-1200-176.22</f>
        <v>15123.78</v>
      </c>
      <c r="GH6" t="s">
        <v>358</v>
      </c>
      <c r="GI6" s="290">
        <f>SUM(GI13:GI47)</f>
        <v>9656.9599999999991</v>
      </c>
      <c r="GJ6" t="s">
        <v>1909</v>
      </c>
      <c r="GK6" s="2">
        <v>-80000</v>
      </c>
      <c r="GM6" s="246"/>
      <c r="GN6" t="s">
        <v>358</v>
      </c>
      <c r="GO6" s="290">
        <f>SUM(GO13:GO56)</f>
        <v>5728.8499999999995</v>
      </c>
      <c r="GP6" t="s">
        <v>1909</v>
      </c>
      <c r="GQ6" s="2">
        <v>-81000</v>
      </c>
      <c r="GR6" t="s">
        <v>2240</v>
      </c>
      <c r="GS6">
        <v>-1437.02</v>
      </c>
      <c r="GT6" t="s">
        <v>358</v>
      </c>
      <c r="GU6" s="290">
        <f>SUM(GU13:GU54)</f>
        <v>90984.639999999999</v>
      </c>
      <c r="GV6" t="s">
        <v>1909</v>
      </c>
      <c r="GW6" s="2">
        <v>-82000</v>
      </c>
      <c r="GX6" t="s">
        <v>2240</v>
      </c>
      <c r="GY6">
        <v>-1437.02</v>
      </c>
      <c r="GZ6" t="s">
        <v>358</v>
      </c>
      <c r="HA6" s="290">
        <f>SUM(HA13:HA50)</f>
        <v>10745.362000000001</v>
      </c>
      <c r="HB6" t="s">
        <v>2144</v>
      </c>
      <c r="HC6" s="272"/>
      <c r="HD6" t="s">
        <v>2240</v>
      </c>
      <c r="HE6">
        <v>-1437.02</v>
      </c>
      <c r="HF6" t="s">
        <v>358</v>
      </c>
      <c r="HG6" s="290">
        <f>SUM(HG13:HG43)</f>
        <v>27438.16</v>
      </c>
      <c r="HH6" t="s">
        <v>1909</v>
      </c>
      <c r="HI6" s="2">
        <v>-82000</v>
      </c>
      <c r="HJ6" t="s">
        <v>2171</v>
      </c>
      <c r="HK6">
        <f>50+15</f>
        <v>65</v>
      </c>
      <c r="HL6" t="s">
        <v>358</v>
      </c>
      <c r="HM6" s="277">
        <f>SUM(HM7:HM39)</f>
        <v>27357.731</v>
      </c>
      <c r="HN6" t="s">
        <v>1909</v>
      </c>
      <c r="HO6" s="2">
        <v>-77000</v>
      </c>
      <c r="HP6" t="s">
        <v>2171</v>
      </c>
      <c r="HQ6">
        <v>51</v>
      </c>
      <c r="HR6" t="s">
        <v>358</v>
      </c>
      <c r="HS6" s="277">
        <f>SUM(HS7:HS44)</f>
        <v>8267.1200000000008</v>
      </c>
      <c r="HT6" s="433" t="s">
        <v>2217</v>
      </c>
      <c r="HU6" s="434">
        <f>HO6+HT7</f>
        <v>-70000</v>
      </c>
      <c r="HV6" t="s">
        <v>2300</v>
      </c>
      <c r="HW6" s="52">
        <v>679999</v>
      </c>
      <c r="HX6" t="s">
        <v>1210</v>
      </c>
      <c r="HY6" s="290">
        <f>HY2-HY7</f>
        <v>0.61000000033527613</v>
      </c>
      <c r="HZ6" t="s">
        <v>2371</v>
      </c>
      <c r="IA6" s="272">
        <v>-420000</v>
      </c>
      <c r="IB6" t="s">
        <v>2351</v>
      </c>
      <c r="IC6" s="535">
        <v>17.8</v>
      </c>
      <c r="ID6" t="s">
        <v>358</v>
      </c>
      <c r="IE6" s="277">
        <f>SUM(IE7:IE57)</f>
        <v>59937.460000000006</v>
      </c>
      <c r="IF6" s="324" t="s">
        <v>1638</v>
      </c>
      <c r="IG6" s="413">
        <v>0.08</v>
      </c>
      <c r="IH6" t="s">
        <v>2467</v>
      </c>
      <c r="II6" s="534">
        <v>150</v>
      </c>
      <c r="IJ6" t="s">
        <v>358</v>
      </c>
      <c r="IK6" s="277">
        <f>SUM(IK7:IK59)</f>
        <v>13099.409999999998</v>
      </c>
      <c r="IL6" t="s">
        <v>2450</v>
      </c>
      <c r="IM6" s="272">
        <v>235000</v>
      </c>
      <c r="IO6" s="534"/>
      <c r="IP6" s="355" t="s">
        <v>2485</v>
      </c>
      <c r="IQ6" s="61">
        <v>26</v>
      </c>
      <c r="IR6" t="s">
        <v>2450</v>
      </c>
      <c r="IS6" s="272">
        <v>305005</v>
      </c>
      <c r="IT6" s="623" t="s">
        <v>2651</v>
      </c>
      <c r="IU6" s="534">
        <v>100</v>
      </c>
      <c r="IV6" s="355" t="s">
        <v>2485</v>
      </c>
      <c r="IW6" s="61">
        <v>11</v>
      </c>
      <c r="IX6" s="626" t="s">
        <v>2428</v>
      </c>
      <c r="IY6" s="272">
        <v>-4000</v>
      </c>
      <c r="JA6" s="534"/>
      <c r="JB6" s="355" t="s">
        <v>2485</v>
      </c>
      <c r="JC6" s="61"/>
      <c r="JD6" s="683" t="s">
        <v>2428</v>
      </c>
      <c r="JE6" s="272">
        <v>-4000</v>
      </c>
      <c r="JF6" s="665"/>
    </row>
    <row r="7" spans="1:267" ht="13.5" thickBot="1" x14ac:dyDescent="0.25">
      <c r="A7" s="186" t="s">
        <v>438</v>
      </c>
      <c r="B7" s="64">
        <v>1309</v>
      </c>
      <c r="E7" s="145" t="s">
        <v>365</v>
      </c>
      <c r="F7" s="145">
        <f>SUM(F8:F15)</f>
        <v>12750</v>
      </c>
      <c r="G7" s="186" t="s">
        <v>438</v>
      </c>
      <c r="H7" s="64">
        <v>1298</v>
      </c>
      <c r="I7" t="s">
        <v>1015</v>
      </c>
      <c r="J7">
        <v>0</v>
      </c>
      <c r="K7" s="145" t="s">
        <v>365</v>
      </c>
      <c r="L7" s="145">
        <f>L15</f>
        <v>0</v>
      </c>
      <c r="M7" s="186"/>
      <c r="N7" s="64"/>
      <c r="O7" t="s">
        <v>1015</v>
      </c>
      <c r="Q7" s="173"/>
      <c r="S7" s="186"/>
      <c r="T7" s="64"/>
      <c r="U7" t="s">
        <v>1078</v>
      </c>
      <c r="V7">
        <v>0</v>
      </c>
      <c r="W7" s="173"/>
      <c r="Y7" s="186"/>
      <c r="Z7" s="64"/>
      <c r="AA7" t="s">
        <v>1081</v>
      </c>
      <c r="AB7">
        <v>0</v>
      </c>
      <c r="AC7" s="145" t="s">
        <v>365</v>
      </c>
      <c r="AD7" s="145">
        <f>SUM(AD13:AD13)</f>
        <v>2501.1999999999998</v>
      </c>
      <c r="AE7" s="186"/>
      <c r="AF7" s="64"/>
      <c r="AG7" t="s">
        <v>1081</v>
      </c>
      <c r="AH7">
        <v>90</v>
      </c>
      <c r="AI7" s="145" t="s">
        <v>365</v>
      </c>
      <c r="AJ7" s="145">
        <f>SUM(AJ13:AJ13)</f>
        <v>0</v>
      </c>
      <c r="AK7" s="186" t="s">
        <v>1104</v>
      </c>
      <c r="AL7" s="64">
        <v>36000</v>
      </c>
      <c r="AM7" t="s">
        <v>1131</v>
      </c>
      <c r="AN7">
        <v>28</v>
      </c>
      <c r="AO7" s="145" t="s">
        <v>365</v>
      </c>
      <c r="AP7" s="145">
        <f>SUM(AP13:AP17)</f>
        <v>7900</v>
      </c>
      <c r="AQ7" s="186" t="s">
        <v>1104</v>
      </c>
      <c r="AR7" s="64">
        <v>15000</v>
      </c>
      <c r="AS7" t="s">
        <v>1158</v>
      </c>
      <c r="AT7">
        <v>482</v>
      </c>
      <c r="AU7" s="145" t="s">
        <v>365</v>
      </c>
      <c r="AV7" s="145">
        <f>SUM(AV12:AV18)</f>
        <v>4500.07</v>
      </c>
      <c r="AW7" s="186" t="s">
        <v>1104</v>
      </c>
      <c r="AX7" s="64">
        <v>9933</v>
      </c>
      <c r="BA7" s="186" t="s">
        <v>1104</v>
      </c>
      <c r="BB7" s="64">
        <f t="shared" si="0"/>
        <v>9933</v>
      </c>
      <c r="BC7" t="s">
        <v>1081</v>
      </c>
      <c r="BD7" t="s">
        <v>692</v>
      </c>
      <c r="BE7" s="145" t="s">
        <v>365</v>
      </c>
      <c r="BF7" s="145">
        <f>SUM(BF13:BF16)</f>
        <v>100</v>
      </c>
      <c r="BG7" s="186" t="s">
        <v>1104</v>
      </c>
      <c r="BH7" s="64">
        <v>15854</v>
      </c>
      <c r="BI7" s="9" t="s">
        <v>1081</v>
      </c>
      <c r="BJ7" s="9" t="s">
        <v>692</v>
      </c>
      <c r="BK7" s="221" t="s">
        <v>365</v>
      </c>
      <c r="BL7" s="221">
        <f>SUM(BL13:BL16)</f>
        <v>1900.05</v>
      </c>
      <c r="BM7" s="186" t="s">
        <v>1104</v>
      </c>
      <c r="BN7" s="64">
        <v>36824</v>
      </c>
      <c r="BO7" s="9" t="s">
        <v>1081</v>
      </c>
      <c r="BP7" s="6" t="s">
        <v>692</v>
      </c>
      <c r="BQ7" s="221" t="s">
        <v>365</v>
      </c>
      <c r="BR7" s="221">
        <f>SUM(BR13:BR16)</f>
        <v>1900.06</v>
      </c>
      <c r="BS7" s="186" t="s">
        <v>1104</v>
      </c>
      <c r="BT7" s="231">
        <v>37000</v>
      </c>
      <c r="BU7" s="9" t="s">
        <v>1081</v>
      </c>
      <c r="BV7" s="6" t="s">
        <v>692</v>
      </c>
      <c r="BW7" s="221" t="s">
        <v>365</v>
      </c>
      <c r="BX7" s="221">
        <f>SUM(BX13:BX16)</f>
        <v>1900.07</v>
      </c>
      <c r="BY7" s="186" t="s">
        <v>1104</v>
      </c>
      <c r="BZ7" s="64">
        <v>34967</v>
      </c>
      <c r="CA7" s="9" t="s">
        <v>1292</v>
      </c>
      <c r="CB7" s="6">
        <v>0</v>
      </c>
      <c r="CC7" s="221" t="s">
        <v>365</v>
      </c>
      <c r="CD7" s="221">
        <f>SUM(CD13:CD16)</f>
        <v>1900.08</v>
      </c>
      <c r="CE7" s="186" t="s">
        <v>1104</v>
      </c>
      <c r="CF7" s="64">
        <v>42940</v>
      </c>
      <c r="CG7" s="6"/>
      <c r="CI7" s="221" t="s">
        <v>365</v>
      </c>
      <c r="CJ7" s="221">
        <f>SUM(CJ13:CJ17)</f>
        <v>3000.09</v>
      </c>
      <c r="CK7" s="186" t="s">
        <v>1104</v>
      </c>
      <c r="CL7" s="64">
        <v>50905</v>
      </c>
      <c r="CM7" s="6"/>
      <c r="CO7" s="221" t="s">
        <v>365</v>
      </c>
      <c r="CP7" s="221">
        <f>SUM(CP13:CP16)</f>
        <v>1900.1</v>
      </c>
      <c r="CQ7" s="186" t="s">
        <v>1104</v>
      </c>
      <c r="CR7" s="64">
        <v>50071</v>
      </c>
      <c r="CS7" s="6"/>
      <c r="CU7" s="221" t="s">
        <v>365</v>
      </c>
      <c r="CV7" s="221">
        <f>SUM(CV13:CV16)</f>
        <v>1934.01</v>
      </c>
      <c r="CW7" s="186" t="s">
        <v>1104</v>
      </c>
      <c r="CX7" s="64">
        <v>54757</v>
      </c>
      <c r="CY7" s="6"/>
      <c r="DA7" s="301" t="s">
        <v>365</v>
      </c>
      <c r="DB7" s="221">
        <f>SUM(DB13:DB16)</f>
        <v>1930.2199999999998</v>
      </c>
      <c r="DC7" s="186" t="s">
        <v>1104</v>
      </c>
      <c r="DD7" s="64">
        <v>39905</v>
      </c>
      <c r="DE7" s="6"/>
      <c r="DG7" s="301" t="s">
        <v>365</v>
      </c>
      <c r="DH7" s="306">
        <f>SUM(DH13:DH23)</f>
        <v>6982.0500000000011</v>
      </c>
      <c r="DI7" s="186" t="s">
        <v>1104</v>
      </c>
      <c r="DJ7" s="64">
        <v>68</v>
      </c>
      <c r="DK7" s="6"/>
      <c r="DM7" s="301" t="s">
        <v>365</v>
      </c>
      <c r="DN7" s="315">
        <f>SUM(DN13:DN19)</f>
        <v>16816.259999999998</v>
      </c>
      <c r="DO7" s="304" t="s">
        <v>1276</v>
      </c>
      <c r="DP7" s="64">
        <v>-10</v>
      </c>
      <c r="DQ7" s="6"/>
      <c r="DS7" s="208" t="s">
        <v>358</v>
      </c>
      <c r="DT7" s="336">
        <f>SUM(DT14:DT53)</f>
        <v>49587.650999999991</v>
      </c>
      <c r="DU7" s="1" t="s">
        <v>1138</v>
      </c>
      <c r="DV7" s="78">
        <v>441</v>
      </c>
      <c r="DY7" s="249" t="s">
        <v>365</v>
      </c>
      <c r="DZ7" s="339">
        <f>SUM(DZ12:DZ13)</f>
        <v>1933.05</v>
      </c>
      <c r="EA7" s="3" t="s">
        <v>1419</v>
      </c>
      <c r="EB7">
        <v>0</v>
      </c>
      <c r="EC7" s="60" t="s">
        <v>1587</v>
      </c>
      <c r="EE7" s="249" t="s">
        <v>365</v>
      </c>
      <c r="EF7" s="339">
        <f>SUM(EF12:EF13)</f>
        <v>2462.0299999999997</v>
      </c>
      <c r="EG7" s="339"/>
      <c r="EH7" s="66" t="s">
        <v>1513</v>
      </c>
      <c r="EI7" s="1">
        <v>10718</v>
      </c>
      <c r="EJ7" t="s">
        <v>1660</v>
      </c>
      <c r="EK7">
        <v>9.99</v>
      </c>
      <c r="EL7" s="249" t="s">
        <v>365</v>
      </c>
      <c r="EM7" s="339">
        <f>SUM(EM12:EM14)</f>
        <v>1800.07</v>
      </c>
      <c r="EN7" s="66" t="s">
        <v>1513</v>
      </c>
      <c r="EO7" s="1">
        <v>9753</v>
      </c>
      <c r="EP7" s="60" t="s">
        <v>1587</v>
      </c>
      <c r="ER7" s="356" t="s">
        <v>1693</v>
      </c>
      <c r="ES7" s="360">
        <f>SUM(ES12:ES13)</f>
        <v>2230.08</v>
      </c>
      <c r="ET7" s="66" t="s">
        <v>1513</v>
      </c>
      <c r="EU7" s="1">
        <v>4177</v>
      </c>
      <c r="EV7" s="60" t="s">
        <v>1587</v>
      </c>
      <c r="EX7" s="356" t="s">
        <v>1693</v>
      </c>
      <c r="EY7" s="360">
        <f>SUM(EY12:EY13)</f>
        <v>1900.09</v>
      </c>
      <c r="EZ7" s="66" t="s">
        <v>1513</v>
      </c>
      <c r="FA7">
        <v>3507</v>
      </c>
      <c r="FB7" s="60" t="s">
        <v>1587</v>
      </c>
      <c r="FD7" s="356" t="s">
        <v>1693</v>
      </c>
      <c r="FE7" s="290">
        <f>SUM(FE12:FE12)</f>
        <v>1800.1</v>
      </c>
      <c r="FF7" s="66" t="s">
        <v>1513</v>
      </c>
      <c r="FG7">
        <v>9685</v>
      </c>
      <c r="FJ7" s="356" t="s">
        <v>1693</v>
      </c>
      <c r="FK7" s="290">
        <f>SUM(FK12:FK12)</f>
        <v>1800.11</v>
      </c>
      <c r="FL7" s="66" t="s">
        <v>1534</v>
      </c>
      <c r="FM7">
        <v>818</v>
      </c>
      <c r="FN7" t="s">
        <v>1847</v>
      </c>
      <c r="FO7" s="246">
        <v>3740</v>
      </c>
      <c r="FP7" s="356" t="s">
        <v>1966</v>
      </c>
      <c r="FQ7" s="290">
        <f>FQ13</f>
        <v>1800.12</v>
      </c>
      <c r="FR7" s="6" t="s">
        <v>1845</v>
      </c>
      <c r="FS7">
        <v>3740</v>
      </c>
      <c r="FT7" s="346" t="s">
        <v>1947</v>
      </c>
      <c r="FU7">
        <v>15</v>
      </c>
      <c r="FV7" s="356" t="s">
        <v>1966</v>
      </c>
      <c r="FW7" s="290">
        <f>FW13</f>
        <v>1800.01</v>
      </c>
      <c r="FX7" s="1" t="s">
        <v>1637</v>
      </c>
      <c r="FY7">
        <v>-907</v>
      </c>
      <c r="FZ7" t="s">
        <v>447</v>
      </c>
      <c r="GA7" s="246">
        <f>25200*0.8</f>
        <v>20160</v>
      </c>
      <c r="GB7" s="356" t="s">
        <v>1966</v>
      </c>
      <c r="GC7" s="290">
        <f>SUM(GC13:GC14)</f>
        <v>2800.02</v>
      </c>
      <c r="GD7" s="1" t="s">
        <v>1637</v>
      </c>
      <c r="GE7" s="145">
        <v>-1216</v>
      </c>
      <c r="GF7" t="s">
        <v>447</v>
      </c>
      <c r="GG7" s="246">
        <f>10800-4800*0.2</f>
        <v>9840</v>
      </c>
      <c r="GH7" s="356" t="s">
        <v>1966</v>
      </c>
      <c r="GI7" s="290">
        <f>SUM(GI13:GI14)</f>
        <v>3800.0299999999997</v>
      </c>
      <c r="GJ7" s="1" t="s">
        <v>1637</v>
      </c>
      <c r="GK7" s="145">
        <v>-958</v>
      </c>
      <c r="GL7" t="s">
        <v>2000</v>
      </c>
      <c r="GN7" s="356" t="s">
        <v>1966</v>
      </c>
      <c r="GO7" s="290">
        <f>SUM(GO13:GO13)</f>
        <v>1004</v>
      </c>
      <c r="GP7" s="1" t="s">
        <v>1637</v>
      </c>
      <c r="GQ7" s="145">
        <v>-1572</v>
      </c>
      <c r="GS7" s="246"/>
      <c r="GT7" s="356" t="s">
        <v>1966</v>
      </c>
      <c r="GU7" s="290">
        <f>SUM(GU13:GU15)</f>
        <v>4635.2400000000007</v>
      </c>
      <c r="GV7" s="1" t="s">
        <v>1637</v>
      </c>
      <c r="GW7" s="145">
        <v>-1226</v>
      </c>
      <c r="GY7" s="246"/>
      <c r="GZ7" s="356" t="s">
        <v>1966</v>
      </c>
      <c r="HA7" s="290">
        <f>SUM(HA13:HA13)</f>
        <v>1800.06</v>
      </c>
      <c r="HB7" t="s">
        <v>1909</v>
      </c>
      <c r="HC7" s="2">
        <v>-82000</v>
      </c>
      <c r="HF7" s="356" t="s">
        <v>1966</v>
      </c>
      <c r="HG7" s="290">
        <f>SUM(HG13:HG13)</f>
        <v>1900.07</v>
      </c>
      <c r="HH7" s="1" t="s">
        <v>1637</v>
      </c>
      <c r="HI7" s="145">
        <v>-1696</v>
      </c>
      <c r="HJ7" t="s">
        <v>2211</v>
      </c>
      <c r="HK7">
        <v>30.001000000000001</v>
      </c>
      <c r="HL7" s="355" t="s">
        <v>1009</v>
      </c>
      <c r="HM7">
        <v>1900.08</v>
      </c>
      <c r="HN7" t="s">
        <v>2180</v>
      </c>
      <c r="HO7" s="2"/>
      <c r="HP7" t="s">
        <v>2263</v>
      </c>
      <c r="HQ7">
        <v>215.57</v>
      </c>
      <c r="HR7" s="355" t="s">
        <v>1009</v>
      </c>
      <c r="HS7">
        <v>1900.09</v>
      </c>
      <c r="HT7" s="435">
        <v>7000</v>
      </c>
      <c r="HU7" s="436" t="s">
        <v>2218</v>
      </c>
      <c r="HV7" t="s">
        <v>2171</v>
      </c>
      <c r="HW7" s="52">
        <v>41</v>
      </c>
      <c r="HX7" t="s">
        <v>358</v>
      </c>
      <c r="HY7" s="277">
        <f>SUM(HY8:HY53)</f>
        <v>618928.50999999978</v>
      </c>
      <c r="HZ7" s="1" t="s">
        <v>1637</v>
      </c>
      <c r="IA7" s="145">
        <v>-889</v>
      </c>
      <c r="IB7" t="s">
        <v>1286</v>
      </c>
      <c r="IC7" s="535">
        <v>24.9</v>
      </c>
      <c r="ID7" s="355" t="s">
        <v>1009</v>
      </c>
      <c r="IE7">
        <v>1900.11</v>
      </c>
      <c r="IF7" s="6" t="s">
        <v>2369</v>
      </c>
      <c r="IG7" s="363">
        <v>-8</v>
      </c>
      <c r="IH7" t="s">
        <v>2503</v>
      </c>
      <c r="II7" s="534">
        <v>2.27</v>
      </c>
      <c r="IJ7" s="355" t="s">
        <v>2424</v>
      </c>
      <c r="IK7">
        <v>15</v>
      </c>
      <c r="IL7" s="1" t="s">
        <v>1637</v>
      </c>
      <c r="IM7" s="145">
        <v>-2488</v>
      </c>
      <c r="IN7" t="s">
        <v>2564</v>
      </c>
      <c r="IO7" s="534"/>
      <c r="IP7" s="355" t="s">
        <v>2522</v>
      </c>
      <c r="IQ7" s="61">
        <v>17</v>
      </c>
      <c r="IR7" s="324" t="s">
        <v>2493</v>
      </c>
      <c r="IS7" s="634">
        <v>0</v>
      </c>
      <c r="IT7" s="663" t="s">
        <v>2648</v>
      </c>
      <c r="IU7" s="534">
        <f>10582.19+14077.74-24508</f>
        <v>151.93000000000029</v>
      </c>
      <c r="IV7" s="355" t="s">
        <v>1009</v>
      </c>
      <c r="IW7" s="61">
        <v>1900.02</v>
      </c>
      <c r="IX7" s="258" t="s">
        <v>2661</v>
      </c>
      <c r="IY7" s="2">
        <f>100*(120+1000+330+310)</f>
        <v>176000</v>
      </c>
      <c r="IZ7" s="679" t="s">
        <v>2564</v>
      </c>
      <c r="JA7" s="534"/>
      <c r="JB7" s="355" t="s">
        <v>1009</v>
      </c>
      <c r="JC7" s="61">
        <v>1900.03</v>
      </c>
      <c r="JD7" s="258" t="s">
        <v>2661</v>
      </c>
      <c r="JE7" s="2">
        <f>100*(120+1000+330+310)</f>
        <v>176000</v>
      </c>
      <c r="JF7" s="665"/>
    </row>
    <row r="8" spans="1:267" x14ac:dyDescent="0.2">
      <c r="A8" s="186" t="s">
        <v>449</v>
      </c>
      <c r="B8" s="64">
        <v>18723</v>
      </c>
      <c r="E8" s="145" t="s">
        <v>1010</v>
      </c>
      <c r="G8" s="186" t="s">
        <v>449</v>
      </c>
      <c r="H8" s="64">
        <v>6223</v>
      </c>
      <c r="K8" s="145" t="s">
        <v>1010</v>
      </c>
      <c r="M8" s="186"/>
      <c r="N8" s="64"/>
      <c r="P8">
        <v>652</v>
      </c>
      <c r="Q8" s="145" t="s">
        <v>365</v>
      </c>
      <c r="R8" s="145">
        <f>SUM(R15:R17)</f>
        <v>6200.1900000000005</v>
      </c>
      <c r="S8" s="186"/>
      <c r="T8" s="64"/>
      <c r="W8" s="145" t="s">
        <v>365</v>
      </c>
      <c r="X8" s="145">
        <f>SUM(X14:X15)</f>
        <v>2600.11</v>
      </c>
      <c r="Y8" s="186"/>
      <c r="Z8" s="64"/>
      <c r="AC8" s="145" t="s">
        <v>1010</v>
      </c>
      <c r="AD8" s="145">
        <f>SUM(AD19:AD23)</f>
        <v>316.351</v>
      </c>
      <c r="AE8" s="186"/>
      <c r="AF8" s="64"/>
      <c r="AG8" t="s">
        <v>1106</v>
      </c>
      <c r="AH8">
        <v>15</v>
      </c>
      <c r="AI8" s="145" t="s">
        <v>1010</v>
      </c>
      <c r="AJ8" s="145">
        <f>SUM(AJ19:AJ23)</f>
        <v>520</v>
      </c>
      <c r="AK8" s="253"/>
      <c r="AL8" s="69"/>
      <c r="AO8" s="145" t="s">
        <v>1010</v>
      </c>
      <c r="AP8" s="145">
        <f>SUM(AP26:AP32)</f>
        <v>527.4</v>
      </c>
      <c r="AQ8" s="253" t="s">
        <v>1118</v>
      </c>
      <c r="AR8" s="69">
        <v>-154</v>
      </c>
      <c r="AU8" s="145" t="s">
        <v>1010</v>
      </c>
      <c r="AV8" s="145">
        <f>SUM(AV26:AV32)</f>
        <v>466.23</v>
      </c>
      <c r="AW8" s="253" t="s">
        <v>1118</v>
      </c>
      <c r="AX8" s="69">
        <v>-152</v>
      </c>
      <c r="BA8" s="253" t="s">
        <v>1118</v>
      </c>
      <c r="BB8" s="64">
        <f t="shared" si="0"/>
        <v>-152</v>
      </c>
      <c r="BE8" s="145" t="s">
        <v>1010</v>
      </c>
      <c r="BF8" s="145">
        <f>SUM(BF24:BF30)</f>
        <v>337.28</v>
      </c>
      <c r="BG8" s="253" t="s">
        <v>1118</v>
      </c>
      <c r="BH8" s="69">
        <v>-5</v>
      </c>
      <c r="BK8" s="221" t="s">
        <v>1010</v>
      </c>
      <c r="BL8" s="221">
        <f>SUM(BL24:BL30)</f>
        <v>216.62</v>
      </c>
      <c r="BM8" s="253" t="s">
        <v>1276</v>
      </c>
      <c r="BN8" s="69">
        <v>-33</v>
      </c>
      <c r="BQ8" s="221" t="s">
        <v>1010</v>
      </c>
      <c r="BR8" s="221">
        <f>SUM(BR24:BR30)</f>
        <v>409.53999999999996</v>
      </c>
      <c r="BS8" s="253" t="s">
        <v>1276</v>
      </c>
      <c r="BT8" s="274">
        <v>-25</v>
      </c>
      <c r="BW8" s="221" t="s">
        <v>1010</v>
      </c>
      <c r="BX8" s="221">
        <f>SUM(BX24:BX30)</f>
        <v>325.44</v>
      </c>
      <c r="BY8" s="253" t="s">
        <v>1276</v>
      </c>
      <c r="BZ8" s="69">
        <v>-22</v>
      </c>
      <c r="CA8" s="6" t="s">
        <v>1283</v>
      </c>
      <c r="CB8" s="9">
        <v>300</v>
      </c>
      <c r="CC8" s="221" t="s">
        <v>1010</v>
      </c>
      <c r="CD8" s="221">
        <f>SUM(CD24:CD30)</f>
        <v>454.33100000000002</v>
      </c>
      <c r="CE8" s="253" t="s">
        <v>1276</v>
      </c>
      <c r="CF8" s="69">
        <v>-12</v>
      </c>
      <c r="CG8" s="9" t="s">
        <v>1060</v>
      </c>
      <c r="CI8" s="221" t="s">
        <v>1010</v>
      </c>
      <c r="CJ8" s="221">
        <f>SUM(CJ23:CJ30)</f>
        <v>567.42099999999994</v>
      </c>
      <c r="CK8" s="253" t="s">
        <v>1276</v>
      </c>
      <c r="CL8" s="69">
        <v>-15</v>
      </c>
      <c r="CM8" s="9" t="s">
        <v>1060</v>
      </c>
      <c r="CO8" s="221" t="s">
        <v>1010</v>
      </c>
      <c r="CP8" s="221">
        <f>SUM(CP22:CP28)</f>
        <v>440.99099999999999</v>
      </c>
      <c r="CQ8" s="253" t="s">
        <v>1276</v>
      </c>
      <c r="CR8" s="69">
        <v>-21</v>
      </c>
      <c r="CS8" s="9" t="s">
        <v>1060</v>
      </c>
      <c r="CU8" s="221" t="s">
        <v>1010</v>
      </c>
      <c r="CV8" s="221">
        <f>SUM(CV20:CV26)</f>
        <v>450.45100000000002</v>
      </c>
      <c r="CW8" s="186" t="s">
        <v>1276</v>
      </c>
      <c r="CX8" s="64">
        <v>-18</v>
      </c>
      <c r="CY8" s="9" t="s">
        <v>1060</v>
      </c>
      <c r="DA8" s="300" t="s">
        <v>1399</v>
      </c>
      <c r="DB8" s="221">
        <f>DB17</f>
        <v>288.75</v>
      </c>
      <c r="DC8" s="186" t="s">
        <v>1397</v>
      </c>
      <c r="DD8" s="64">
        <v>15000</v>
      </c>
      <c r="DE8" s="9" t="s">
        <v>1060</v>
      </c>
      <c r="DG8" s="300" t="s">
        <v>1399</v>
      </c>
      <c r="DH8" s="306">
        <f>SUM(DH24:DH26)</f>
        <v>566.44000000000005</v>
      </c>
      <c r="DI8" s="186" t="s">
        <v>1397</v>
      </c>
      <c r="DJ8" s="69">
        <v>0</v>
      </c>
      <c r="DK8" s="9" t="s">
        <v>1060</v>
      </c>
      <c r="DM8" s="300" t="s">
        <v>1399</v>
      </c>
      <c r="DN8" s="306">
        <f>SUM(DN20:DN21)</f>
        <v>2874.05</v>
      </c>
      <c r="DO8" s="1" t="s">
        <v>1138</v>
      </c>
      <c r="DP8" s="78">
        <v>2140.8000000000002</v>
      </c>
      <c r="DQ8" s="273" t="s">
        <v>1587</v>
      </c>
      <c r="DS8" s="337" t="s">
        <v>365</v>
      </c>
      <c r="DT8" s="336">
        <f>SUM(DT14:DT18)</f>
        <v>36900.06</v>
      </c>
      <c r="DU8" s="7" t="s">
        <v>1419</v>
      </c>
      <c r="DV8" s="78" t="s">
        <v>1549</v>
      </c>
      <c r="DW8" s="60" t="s">
        <v>1587</v>
      </c>
      <c r="DY8" s="340" t="s">
        <v>1399</v>
      </c>
      <c r="DZ8">
        <f>SUM(DZ14:DZ14)</f>
        <v>0</v>
      </c>
      <c r="EA8" s="63" t="s">
        <v>1155</v>
      </c>
      <c r="EB8" s="63"/>
      <c r="EC8" t="s">
        <v>1568</v>
      </c>
      <c r="ED8">
        <v>42</v>
      </c>
      <c r="EE8" s="340" t="s">
        <v>1399</v>
      </c>
      <c r="EF8">
        <f>SUM(EF14:EF14)</f>
        <v>0</v>
      </c>
      <c r="EH8" t="s">
        <v>1138</v>
      </c>
      <c r="EI8" s="6">
        <v>441</v>
      </c>
      <c r="EJ8" t="s">
        <v>1324</v>
      </c>
      <c r="EL8" s="354" t="s">
        <v>1399</v>
      </c>
      <c r="EM8">
        <f>SUM(EM15:EM15)</f>
        <v>1476</v>
      </c>
      <c r="EN8" t="s">
        <v>1138</v>
      </c>
      <c r="EO8" s="6">
        <v>441</v>
      </c>
      <c r="EP8" t="s">
        <v>1568</v>
      </c>
      <c r="EQ8">
        <v>40</v>
      </c>
      <c r="ER8" s="352" t="s">
        <v>1692</v>
      </c>
      <c r="ES8" s="145">
        <f>SUM(ES17:ES24)</f>
        <v>368.37999999999994</v>
      </c>
      <c r="ET8" t="s">
        <v>1690</v>
      </c>
      <c r="EU8" s="6">
        <v>441</v>
      </c>
      <c r="EV8" t="s">
        <v>1568</v>
      </c>
      <c r="EW8">
        <v>38</v>
      </c>
      <c r="EX8" s="352" t="s">
        <v>1692</v>
      </c>
      <c r="EY8" s="145">
        <f>SUM(EY16:EY23)</f>
        <v>667.03</v>
      </c>
      <c r="EZ8" t="s">
        <v>1690</v>
      </c>
      <c r="FA8" s="6">
        <v>441</v>
      </c>
      <c r="FB8" t="s">
        <v>1568</v>
      </c>
      <c r="FC8">
        <v>45</v>
      </c>
      <c r="FD8" s="352" t="s">
        <v>1692</v>
      </c>
      <c r="FE8" s="145">
        <f>SUM(FE17:FE23)</f>
        <v>397.78999999999996</v>
      </c>
      <c r="FF8" t="s">
        <v>1690</v>
      </c>
      <c r="FG8" s="6">
        <f>333+1092</f>
        <v>1425</v>
      </c>
      <c r="FH8" s="60" t="s">
        <v>1587</v>
      </c>
      <c r="FJ8" s="352" t="s">
        <v>1692</v>
      </c>
      <c r="FK8">
        <f>SUM(FK16:FK23)</f>
        <v>474.22999999999996</v>
      </c>
      <c r="FL8" s="66" t="s">
        <v>1513</v>
      </c>
      <c r="FM8">
        <v>2818</v>
      </c>
      <c r="FN8" t="s">
        <v>1849</v>
      </c>
      <c r="FO8" s="246">
        <v>20000</v>
      </c>
      <c r="FP8" s="398" t="s">
        <v>1967</v>
      </c>
      <c r="FQ8" s="290">
        <f>SUM(FQ14:FQ15)</f>
        <v>11000</v>
      </c>
      <c r="FR8" s="66" t="s">
        <v>1534</v>
      </c>
      <c r="FS8">
        <v>1240</v>
      </c>
      <c r="FT8" t="s">
        <v>1946</v>
      </c>
      <c r="FU8" s="246"/>
      <c r="FV8" s="398" t="s">
        <v>1967</v>
      </c>
      <c r="FW8" s="290">
        <f>SUM(FW14:FW16)</f>
        <v>69300</v>
      </c>
      <c r="FX8" s="6" t="s">
        <v>1901</v>
      </c>
      <c r="FY8">
        <v>-52</v>
      </c>
      <c r="GA8" s="246"/>
      <c r="GB8" s="398" t="s">
        <v>1967</v>
      </c>
      <c r="GC8" s="290">
        <f>SUM(GC15)</f>
        <v>63477.54</v>
      </c>
      <c r="GD8" s="6" t="s">
        <v>1901</v>
      </c>
      <c r="GE8" s="363">
        <v>30</v>
      </c>
      <c r="GF8" t="s">
        <v>1987</v>
      </c>
      <c r="GG8" s="246">
        <v>30</v>
      </c>
      <c r="GH8" s="398" t="s">
        <v>1967</v>
      </c>
      <c r="GI8" s="290">
        <f>SUM(GI15)</f>
        <v>0</v>
      </c>
      <c r="GJ8" s="6" t="s">
        <v>1991</v>
      </c>
      <c r="GK8" s="363">
        <v>300</v>
      </c>
      <c r="GN8" s="398" t="s">
        <v>1967</v>
      </c>
      <c r="GO8" s="290">
        <f>SUM(GO14)</f>
        <v>0</v>
      </c>
      <c r="GP8" s="6" t="s">
        <v>1991</v>
      </c>
      <c r="GQ8" s="363">
        <v>29.05</v>
      </c>
      <c r="GR8" t="s">
        <v>2106</v>
      </c>
      <c r="GS8">
        <v>4000</v>
      </c>
      <c r="GT8" s="398" t="s">
        <v>1967</v>
      </c>
      <c r="GU8" s="290">
        <f>SUM(GU16:GU17)</f>
        <v>84255</v>
      </c>
      <c r="GV8" s="6" t="s">
        <v>1991</v>
      </c>
      <c r="GW8" s="363">
        <v>29.05</v>
      </c>
      <c r="GZ8" s="398" t="s">
        <v>1967</v>
      </c>
      <c r="HA8" s="290">
        <f>SUM(HA14:HA14)</f>
        <v>2104.9333333333334</v>
      </c>
      <c r="HB8" s="1" t="s">
        <v>1637</v>
      </c>
      <c r="HC8" s="145">
        <v>-898</v>
      </c>
      <c r="HD8" s="60" t="s">
        <v>1587</v>
      </c>
      <c r="HF8" s="398" t="s">
        <v>1967</v>
      </c>
      <c r="HG8" s="290">
        <f>SUM(HG14:HG16)</f>
        <v>3184.9333333333334</v>
      </c>
      <c r="HH8" s="6" t="s">
        <v>1991</v>
      </c>
      <c r="HI8" s="363">
        <v>38</v>
      </c>
      <c r="HJ8" t="s">
        <v>1615</v>
      </c>
      <c r="HL8" s="249" t="s">
        <v>2182</v>
      </c>
      <c r="HM8">
        <v>345.6</v>
      </c>
      <c r="HN8" s="1" t="s">
        <v>1637</v>
      </c>
      <c r="HO8" s="145">
        <v>-540</v>
      </c>
      <c r="HQ8" s="246"/>
      <c r="HR8" s="350" t="s">
        <v>2024</v>
      </c>
      <c r="HS8">
        <v>1059.3</v>
      </c>
      <c r="HT8" s="1" t="s">
        <v>1637</v>
      </c>
      <c r="HU8" s="145">
        <v>-1653</v>
      </c>
      <c r="HV8" t="s">
        <v>2273</v>
      </c>
      <c r="HW8" s="52">
        <v>2.1</v>
      </c>
      <c r="HX8" s="355" t="s">
        <v>1009</v>
      </c>
      <c r="HY8">
        <v>1900.1</v>
      </c>
      <c r="HZ8" s="6" t="s">
        <v>1991</v>
      </c>
      <c r="IA8" s="363">
        <v>0</v>
      </c>
      <c r="IB8" t="s">
        <v>2352</v>
      </c>
      <c r="IC8" s="534"/>
      <c r="ID8" s="399" t="s">
        <v>2338</v>
      </c>
      <c r="IE8">
        <v>5.73</v>
      </c>
      <c r="IF8" s="6" t="s">
        <v>1845</v>
      </c>
      <c r="IG8" s="538">
        <v>2499</v>
      </c>
      <c r="II8" s="534"/>
      <c r="IJ8" s="355" t="s">
        <v>1009</v>
      </c>
      <c r="IK8">
        <v>1900.12</v>
      </c>
      <c r="IL8" s="6" t="s">
        <v>1901</v>
      </c>
      <c r="IM8" s="363">
        <v>0</v>
      </c>
      <c r="IN8" t="s">
        <v>2509</v>
      </c>
      <c r="IO8" s="534">
        <v>36.42</v>
      </c>
      <c r="IP8" s="355" t="s">
        <v>1009</v>
      </c>
      <c r="IQ8" s="61">
        <v>1900.01</v>
      </c>
      <c r="IR8" s="1" t="s">
        <v>1637</v>
      </c>
      <c r="IS8" s="633">
        <v>-3061</v>
      </c>
      <c r="IU8" s="534"/>
      <c r="IV8" s="355" t="s">
        <v>2647</v>
      </c>
      <c r="IW8" s="61">
        <v>2000</v>
      </c>
      <c r="IX8" s="623" t="s">
        <v>2450</v>
      </c>
      <c r="IY8" s="272">
        <v>360000</v>
      </c>
      <c r="IZ8" s="679" t="s">
        <v>2657</v>
      </c>
      <c r="JA8" s="534"/>
      <c r="JB8" s="355" t="s">
        <v>1870</v>
      </c>
      <c r="JC8" s="61"/>
      <c r="JD8" s="679" t="s">
        <v>2450</v>
      </c>
      <c r="JE8" s="272">
        <v>590000</v>
      </c>
      <c r="JF8" s="665">
        <v>44987</v>
      </c>
    </row>
    <row r="9" spans="1:267" x14ac:dyDescent="0.2">
      <c r="A9" s="186"/>
      <c r="B9" s="64"/>
      <c r="E9" s="145" t="s">
        <v>1012</v>
      </c>
      <c r="G9" s="186"/>
      <c r="H9" s="64"/>
      <c r="K9" s="145" t="s">
        <v>1012</v>
      </c>
      <c r="M9" s="1" t="s">
        <v>515</v>
      </c>
      <c r="N9" s="84">
        <v>100.001</v>
      </c>
      <c r="P9">
        <v>76</v>
      </c>
      <c r="Q9" s="145" t="s">
        <v>1010</v>
      </c>
      <c r="R9" s="145">
        <f>SUM(R31:R35)</f>
        <v>290.25</v>
      </c>
      <c r="S9" s="1" t="s">
        <v>1065</v>
      </c>
      <c r="T9" s="84">
        <v>200.001</v>
      </c>
      <c r="W9" s="145" t="s">
        <v>1010</v>
      </c>
      <c r="X9" s="145">
        <f>SUM(X26:X30)</f>
        <v>396.68999999999994</v>
      </c>
      <c r="Y9" s="1" t="s">
        <v>1065</v>
      </c>
      <c r="Z9" s="84">
        <v>150.001</v>
      </c>
      <c r="AA9" t="s">
        <v>1082</v>
      </c>
      <c r="AB9">
        <v>0</v>
      </c>
      <c r="AC9" s="145" t="s">
        <v>1012</v>
      </c>
      <c r="AD9" s="145">
        <f>SUM(AD15:AD18)</f>
        <v>0</v>
      </c>
      <c r="AE9" s="1" t="s">
        <v>1065</v>
      </c>
      <c r="AF9" s="84">
        <v>200.001</v>
      </c>
      <c r="AG9" t="s">
        <v>1082</v>
      </c>
      <c r="AH9">
        <v>0</v>
      </c>
      <c r="AI9" s="145" t="s">
        <v>1012</v>
      </c>
      <c r="AJ9" s="145">
        <f>SUM(AJ15:AJ18)</f>
        <v>0</v>
      </c>
      <c r="AK9" s="251" t="s">
        <v>1065</v>
      </c>
      <c r="AL9" s="254">
        <v>250</v>
      </c>
      <c r="AM9" t="s">
        <v>2066</v>
      </c>
      <c r="AN9">
        <v>80</v>
      </c>
      <c r="AO9" s="145" t="s">
        <v>1012</v>
      </c>
      <c r="AP9" s="145">
        <f>SUM(AP21:AP25)</f>
        <v>465</v>
      </c>
      <c r="AQ9" s="251" t="s">
        <v>1065</v>
      </c>
      <c r="AR9" s="254">
        <v>100</v>
      </c>
      <c r="AS9" t="s">
        <v>1060</v>
      </c>
      <c r="AU9" s="145" t="s">
        <v>1012</v>
      </c>
      <c r="AV9" s="145">
        <f>SUM(AV21:AV25)</f>
        <v>522</v>
      </c>
      <c r="AW9" s="251" t="s">
        <v>1065</v>
      </c>
      <c r="AX9" s="254">
        <v>200</v>
      </c>
      <c r="BA9" s="251" t="s">
        <v>1065</v>
      </c>
      <c r="BB9" s="64">
        <f t="shared" si="0"/>
        <v>200</v>
      </c>
      <c r="BC9" t="s">
        <v>1060</v>
      </c>
      <c r="BE9" s="145" t="s">
        <v>1012</v>
      </c>
      <c r="BF9" s="145">
        <f>SUM(BF19:BF23)</f>
        <v>1641.3799999999999</v>
      </c>
      <c r="BG9" s="251" t="s">
        <v>1065</v>
      </c>
      <c r="BH9" s="254">
        <v>150</v>
      </c>
      <c r="BI9" s="9" t="s">
        <v>1060</v>
      </c>
      <c r="BK9" s="221" t="s">
        <v>1012</v>
      </c>
      <c r="BL9" s="221">
        <f>SUM(BL19:BL23)</f>
        <v>387</v>
      </c>
      <c r="BM9" s="251" t="s">
        <v>1065</v>
      </c>
      <c r="BN9" s="254">
        <v>90</v>
      </c>
      <c r="BO9" s="9" t="s">
        <v>1060</v>
      </c>
      <c r="BQ9" s="221" t="s">
        <v>1012</v>
      </c>
      <c r="BR9" s="221">
        <f>SUM(BR19:BR23)</f>
        <v>452</v>
      </c>
      <c r="BS9" s="251" t="s">
        <v>1065</v>
      </c>
      <c r="BT9" s="275">
        <v>100</v>
      </c>
      <c r="BU9" s="9" t="s">
        <v>1060</v>
      </c>
      <c r="BW9" s="221" t="s">
        <v>1012</v>
      </c>
      <c r="BX9" s="221">
        <f>SUM(BX19:BX23)</f>
        <v>172</v>
      </c>
      <c r="BY9" s="251" t="s">
        <v>1065</v>
      </c>
      <c r="BZ9" s="70">
        <v>60</v>
      </c>
      <c r="CA9" s="9" t="s">
        <v>1060</v>
      </c>
      <c r="CC9" s="221" t="s">
        <v>1012</v>
      </c>
      <c r="CD9" s="221">
        <f>SUM(CD19:CD23)</f>
        <v>215</v>
      </c>
      <c r="CE9" s="251" t="s">
        <v>1065</v>
      </c>
      <c r="CF9" s="70">
        <v>110</v>
      </c>
      <c r="CG9" s="9" t="s">
        <v>1102</v>
      </c>
      <c r="CH9" s="9">
        <v>70</v>
      </c>
      <c r="CI9" s="221" t="s">
        <v>1012</v>
      </c>
      <c r="CJ9" s="221">
        <f>SUM(CJ20:CJ22)</f>
        <v>1488.1</v>
      </c>
      <c r="CK9" s="251" t="s">
        <v>1065</v>
      </c>
      <c r="CL9" s="70">
        <v>100</v>
      </c>
      <c r="CM9" s="9" t="s">
        <v>1102</v>
      </c>
      <c r="CN9" s="9">
        <v>63</v>
      </c>
      <c r="CO9" s="221" t="s">
        <v>1012</v>
      </c>
      <c r="CP9" s="221">
        <f>SUM(CP19:CP21)</f>
        <v>0</v>
      </c>
      <c r="CQ9" s="251" t="s">
        <v>1065</v>
      </c>
      <c r="CR9" s="70">
        <v>80</v>
      </c>
      <c r="CS9" s="9" t="s">
        <v>1377</v>
      </c>
      <c r="CT9" s="9">
        <v>60.96</v>
      </c>
      <c r="CU9" s="221" t="s">
        <v>1012</v>
      </c>
      <c r="CV9" s="221">
        <f>SUM(CV18:CV19)</f>
        <v>615.20000000000005</v>
      </c>
      <c r="CW9" s="1" t="s">
        <v>1138</v>
      </c>
      <c r="CX9" s="78">
        <v>2090.39</v>
      </c>
      <c r="CY9" s="9" t="s">
        <v>1377</v>
      </c>
      <c r="CZ9" s="9">
        <v>62</v>
      </c>
      <c r="DA9" s="297" t="s">
        <v>1012</v>
      </c>
      <c r="DB9" s="221">
        <f>SUM(DB18:DB18)</f>
        <v>1316.1</v>
      </c>
      <c r="DC9" s="186" t="s">
        <v>1276</v>
      </c>
      <c r="DD9" s="64">
        <v>-222</v>
      </c>
      <c r="DE9" s="9" t="s">
        <v>1377</v>
      </c>
      <c r="DF9" s="9">
        <v>67.11</v>
      </c>
      <c r="DG9" s="297" t="s">
        <v>1012</v>
      </c>
      <c r="DH9" s="306">
        <f>SUM(DH27:DH29)</f>
        <v>1232.1299999999999</v>
      </c>
      <c r="DI9" s="304" t="s">
        <v>1276</v>
      </c>
      <c r="DJ9" s="64">
        <v>0</v>
      </c>
      <c r="DK9" s="9" t="s">
        <v>1377</v>
      </c>
      <c r="DL9" s="9">
        <v>63</v>
      </c>
      <c r="DM9" s="297" t="s">
        <v>1588</v>
      </c>
      <c r="DN9" s="306">
        <f>SUM(DN22:DN24)</f>
        <v>189.2</v>
      </c>
      <c r="DO9" s="7" t="s">
        <v>1419</v>
      </c>
      <c r="DP9" s="78">
        <v>15108</v>
      </c>
      <c r="DQ9" s="9" t="s">
        <v>1568</v>
      </c>
      <c r="DR9" s="9">
        <v>64</v>
      </c>
      <c r="DS9" s="300" t="s">
        <v>1399</v>
      </c>
      <c r="DT9" s="306">
        <f>SUM(DT19:DT19)</f>
        <v>382</v>
      </c>
      <c r="DU9" s="63" t="s">
        <v>1155</v>
      </c>
      <c r="DV9" s="64"/>
      <c r="DW9" t="s">
        <v>1568</v>
      </c>
      <c r="DX9">
        <v>38</v>
      </c>
      <c r="DY9" s="247" t="s">
        <v>1588</v>
      </c>
      <c r="DZ9">
        <f>SUM(DZ15:DZ15)</f>
        <v>0</v>
      </c>
      <c r="EA9" s="63" t="s">
        <v>1103</v>
      </c>
      <c r="EB9" s="63">
        <v>-252</v>
      </c>
      <c r="EE9" s="247" t="s">
        <v>1588</v>
      </c>
      <c r="EF9">
        <f>SUM(EF15:EF15)</f>
        <v>0</v>
      </c>
      <c r="EH9" s="66" t="s">
        <v>1419</v>
      </c>
      <c r="EI9" s="6">
        <v>0</v>
      </c>
      <c r="EJ9" s="6" t="s">
        <v>1661</v>
      </c>
      <c r="EK9">
        <v>5</v>
      </c>
      <c r="EL9" s="351" t="s">
        <v>1689</v>
      </c>
      <c r="EM9">
        <f>SUM(EM16:EM16)</f>
        <v>28.119999999999997</v>
      </c>
      <c r="EN9" s="66" t="s">
        <v>1419</v>
      </c>
      <c r="EO9" s="6">
        <v>0</v>
      </c>
      <c r="ER9" s="353" t="s">
        <v>1691</v>
      </c>
      <c r="ES9" s="145">
        <f>SUM(ES25:ES25)</f>
        <v>0</v>
      </c>
      <c r="ET9" s="66" t="s">
        <v>1419</v>
      </c>
      <c r="EU9" s="6">
        <v>0</v>
      </c>
      <c r="EX9" s="353" t="s">
        <v>1691</v>
      </c>
      <c r="EY9" s="145">
        <f>SUM(EY24:EY26)</f>
        <v>59.949999999999996</v>
      </c>
      <c r="EZ9" s="66" t="s">
        <v>1419</v>
      </c>
      <c r="FA9" s="6">
        <v>0</v>
      </c>
      <c r="FD9" s="353" t="s">
        <v>1691</v>
      </c>
      <c r="FE9" s="145">
        <f>SUM(FE24:FE27)</f>
        <v>117.02</v>
      </c>
      <c r="FF9" s="66" t="s">
        <v>1419</v>
      </c>
      <c r="FG9" s="6">
        <v>0</v>
      </c>
      <c r="FH9" t="s">
        <v>1568</v>
      </c>
      <c r="FI9">
        <v>40</v>
      </c>
      <c r="FJ9" s="353" t="s">
        <v>1691</v>
      </c>
      <c r="FK9">
        <f>SUM(FK24:FK29)</f>
        <v>174.32999999999998</v>
      </c>
      <c r="FL9" t="s">
        <v>1690</v>
      </c>
      <c r="FM9" s="6">
        <f>283+1126</f>
        <v>1409</v>
      </c>
      <c r="FO9" s="246"/>
      <c r="FP9" s="352" t="s">
        <v>1692</v>
      </c>
      <c r="FQ9">
        <f>SUM(FQ19:FQ26)</f>
        <v>550.22</v>
      </c>
      <c r="FR9" s="66" t="s">
        <v>1513</v>
      </c>
      <c r="FS9">
        <v>3754</v>
      </c>
      <c r="FT9" t="s">
        <v>1938</v>
      </c>
      <c r="FU9">
        <v>148</v>
      </c>
      <c r="FV9" s="352" t="s">
        <v>1692</v>
      </c>
      <c r="FW9">
        <f>SUM(FW19:FW26)</f>
        <v>363.97</v>
      </c>
      <c r="FX9" s="1" t="s">
        <v>1638</v>
      </c>
      <c r="FY9" s="363">
        <v>27.53</v>
      </c>
      <c r="FZ9" t="s">
        <v>1964</v>
      </c>
      <c r="GA9" s="246">
        <v>338</v>
      </c>
      <c r="GB9" s="352" t="s">
        <v>1692</v>
      </c>
      <c r="GC9">
        <f>SUM(GC19:GC27)</f>
        <v>540.84999999999991</v>
      </c>
      <c r="GD9" s="1" t="s">
        <v>1638</v>
      </c>
      <c r="GE9" s="363">
        <v>27.53</v>
      </c>
      <c r="GF9" t="s">
        <v>2000</v>
      </c>
      <c r="GH9" s="352" t="s">
        <v>1692</v>
      </c>
      <c r="GI9">
        <f>SUM(GI19:GI28)</f>
        <v>548.71</v>
      </c>
      <c r="GJ9" s="6" t="s">
        <v>1901</v>
      </c>
      <c r="GK9" s="363">
        <v>30</v>
      </c>
      <c r="GL9" t="s">
        <v>2072</v>
      </c>
      <c r="GM9">
        <v>1000.01</v>
      </c>
      <c r="GN9" s="352" t="s">
        <v>1692</v>
      </c>
      <c r="GO9">
        <f>SUM(GO20:GO28)</f>
        <v>454.79999999999995</v>
      </c>
      <c r="GP9" s="6" t="s">
        <v>1901</v>
      </c>
      <c r="GQ9" s="363">
        <v>30</v>
      </c>
      <c r="GT9" s="352" t="s">
        <v>1692</v>
      </c>
      <c r="GU9">
        <f>SUM(GU18:GU25)</f>
        <v>427.03000000000003</v>
      </c>
      <c r="GV9" s="6" t="s">
        <v>1901</v>
      </c>
      <c r="GW9" s="363">
        <v>30</v>
      </c>
      <c r="GX9" s="60" t="s">
        <v>1587</v>
      </c>
      <c r="GZ9" s="352" t="s">
        <v>1692</v>
      </c>
      <c r="HA9" s="417">
        <f>SUM(HA19:HA25)</f>
        <v>880.40666666666687</v>
      </c>
      <c r="HB9" s="6" t="s">
        <v>1991</v>
      </c>
      <c r="HC9" s="363">
        <v>38</v>
      </c>
      <c r="HD9" t="s">
        <v>2152</v>
      </c>
      <c r="HE9">
        <f>63.92+6.4</f>
        <v>70.320000000000007</v>
      </c>
      <c r="HF9" s="352" t="s">
        <v>1692</v>
      </c>
      <c r="HG9" s="417">
        <f>SUM(HG20:HG27)</f>
        <v>957.34666666666681</v>
      </c>
      <c r="HH9" s="6" t="s">
        <v>1901</v>
      </c>
      <c r="HI9" s="363">
        <v>30</v>
      </c>
      <c r="HJ9" s="257" t="s">
        <v>2238</v>
      </c>
      <c r="HK9">
        <f>86</f>
        <v>86</v>
      </c>
      <c r="HL9" s="249" t="s">
        <v>2079</v>
      </c>
      <c r="HM9" s="417">
        <f>HM10*5</f>
        <v>2104.9333333333334</v>
      </c>
      <c r="HN9" s="6" t="s">
        <v>1991</v>
      </c>
      <c r="HO9" s="363">
        <v>0</v>
      </c>
      <c r="HP9" t="s">
        <v>1615</v>
      </c>
      <c r="HR9" s="350" t="s">
        <v>2248</v>
      </c>
      <c r="HS9">
        <v>807.85</v>
      </c>
      <c r="HT9" s="6" t="s">
        <v>1991</v>
      </c>
      <c r="HU9" s="363">
        <v>0</v>
      </c>
      <c r="HV9" t="s">
        <v>2303</v>
      </c>
      <c r="HW9" s="52">
        <v>2.0299999999999998</v>
      </c>
      <c r="HX9" s="350" t="s">
        <v>2367</v>
      </c>
      <c r="HY9">
        <v>535</v>
      </c>
      <c r="HZ9" s="6" t="s">
        <v>1901</v>
      </c>
      <c r="IA9" s="363">
        <v>14.67</v>
      </c>
      <c r="IB9" t="s">
        <v>2171</v>
      </c>
      <c r="IC9" s="534">
        <v>50</v>
      </c>
      <c r="ID9" s="350" t="s">
        <v>2368</v>
      </c>
      <c r="IE9">
        <v>32.1</v>
      </c>
      <c r="IF9" s="66" t="s">
        <v>1512</v>
      </c>
      <c r="IG9" s="2">
        <v>817</v>
      </c>
      <c r="IH9" t="s">
        <v>2437</v>
      </c>
      <c r="IJ9" s="558" t="s">
        <v>2412</v>
      </c>
      <c r="IK9" s="348">
        <f>6+5+3+10+7</f>
        <v>31</v>
      </c>
      <c r="IL9" s="324" t="s">
        <v>1638</v>
      </c>
      <c r="IM9" s="413">
        <v>0.08</v>
      </c>
      <c r="IN9" t="s">
        <v>2565</v>
      </c>
      <c r="IO9">
        <f>9.9+76.9</f>
        <v>86.800000000000011</v>
      </c>
      <c r="IP9" s="355" t="s">
        <v>2517</v>
      </c>
      <c r="IQ9" s="61">
        <v>2000</v>
      </c>
      <c r="IR9" s="6" t="s">
        <v>2563</v>
      </c>
      <c r="IS9" s="363">
        <v>116</v>
      </c>
      <c r="IT9" s="623" t="s">
        <v>2564</v>
      </c>
      <c r="IU9" s="534"/>
      <c r="IV9" s="399" t="s">
        <v>2646</v>
      </c>
      <c r="IW9" s="575">
        <v>2000</v>
      </c>
      <c r="IX9" s="324" t="s">
        <v>2493</v>
      </c>
      <c r="IY9" s="676">
        <v>-49.87</v>
      </c>
      <c r="IZ9" s="679" t="s">
        <v>2727</v>
      </c>
      <c r="JA9" s="679">
        <v>30</v>
      </c>
      <c r="JB9" s="399" t="s">
        <v>2750</v>
      </c>
      <c r="JC9" s="61">
        <v>600</v>
      </c>
      <c r="JD9" s="324" t="s">
        <v>2493</v>
      </c>
      <c r="JE9" s="634">
        <v>0</v>
      </c>
      <c r="JF9" s="665">
        <v>44988</v>
      </c>
    </row>
    <row r="10" spans="1:267" x14ac:dyDescent="0.2">
      <c r="A10" s="186"/>
      <c r="B10" s="64"/>
      <c r="E10" s="145" t="s">
        <v>1013</v>
      </c>
      <c r="G10" s="186"/>
      <c r="H10" s="64"/>
      <c r="K10" s="145" t="s">
        <v>1013</v>
      </c>
      <c r="M10" s="1" t="s">
        <v>354</v>
      </c>
      <c r="N10" s="84">
        <v>480</v>
      </c>
      <c r="Q10" s="145" t="s">
        <v>1012</v>
      </c>
      <c r="S10" s="1" t="s">
        <v>354</v>
      </c>
      <c r="T10" s="84">
        <v>480</v>
      </c>
      <c r="W10" s="145" t="s">
        <v>1012</v>
      </c>
      <c r="X10" s="145">
        <f>SUM(X21:X25)</f>
        <v>910.17</v>
      </c>
      <c r="Y10" s="1" t="s">
        <v>354</v>
      </c>
      <c r="Z10" s="84">
        <v>480</v>
      </c>
      <c r="AC10" s="145" t="s">
        <v>1013</v>
      </c>
      <c r="AD10" s="145">
        <f>SUM(AD14:AD14)</f>
        <v>0</v>
      </c>
      <c r="AE10" s="1" t="s">
        <v>1138</v>
      </c>
      <c r="AF10" s="84">
        <v>430</v>
      </c>
      <c r="AI10" s="145" t="s">
        <v>1013</v>
      </c>
      <c r="AJ10" s="145">
        <f>SUM(AJ14:AJ14)</f>
        <v>0</v>
      </c>
      <c r="AK10" s="1" t="s">
        <v>1138</v>
      </c>
      <c r="AL10" s="84">
        <v>438</v>
      </c>
      <c r="AM10" t="s">
        <v>1142</v>
      </c>
      <c r="AN10">
        <v>93.09</v>
      </c>
      <c r="AO10" s="145" t="s">
        <v>1013</v>
      </c>
      <c r="AP10" s="145">
        <f>SUM(AP18:AP20)</f>
        <v>2878.86</v>
      </c>
      <c r="AQ10" s="1" t="s">
        <v>1138</v>
      </c>
      <c r="AR10" s="84">
        <v>1920</v>
      </c>
      <c r="AS10" t="s">
        <v>1102</v>
      </c>
      <c r="AT10">
        <v>80</v>
      </c>
      <c r="AU10" s="145" t="s">
        <v>1013</v>
      </c>
      <c r="AV10" s="145">
        <f>SUM(AV19:AV20)</f>
        <v>42.53</v>
      </c>
      <c r="AW10" s="1" t="s">
        <v>1138</v>
      </c>
      <c r="AX10" s="259">
        <v>1945.63</v>
      </c>
      <c r="BA10" s="1" t="s">
        <v>1138</v>
      </c>
      <c r="BB10" s="64">
        <f t="shared" si="0"/>
        <v>1945.63</v>
      </c>
      <c r="BC10" t="s">
        <v>1209</v>
      </c>
      <c r="BD10">
        <v>80</v>
      </c>
      <c r="BE10" s="145" t="s">
        <v>1013</v>
      </c>
      <c r="BF10" s="145">
        <f>BF17</f>
        <v>420</v>
      </c>
      <c r="BG10" s="1" t="s">
        <v>1138</v>
      </c>
      <c r="BH10" s="259">
        <v>2242.7399999999998</v>
      </c>
      <c r="BI10" s="9" t="s">
        <v>1102</v>
      </c>
      <c r="BJ10" s="9">
        <v>63.86</v>
      </c>
      <c r="BK10" s="221" t="s">
        <v>1013</v>
      </c>
      <c r="BL10" s="221">
        <f>BL17</f>
        <v>459</v>
      </c>
      <c r="BM10" s="1" t="s">
        <v>1138</v>
      </c>
      <c r="BN10" s="259">
        <v>2242.85</v>
      </c>
      <c r="BO10" s="9" t="s">
        <v>1102</v>
      </c>
      <c r="BP10" s="9">
        <v>52</v>
      </c>
      <c r="BQ10" s="221" t="s">
        <v>1013</v>
      </c>
      <c r="BR10" s="221" t="str">
        <f>BR17</f>
        <v>none</v>
      </c>
      <c r="BS10" s="1" t="s">
        <v>1138</v>
      </c>
      <c r="BT10" s="276">
        <v>2290</v>
      </c>
      <c r="BU10" s="9" t="s">
        <v>1102</v>
      </c>
      <c r="BV10" s="9">
        <v>30</v>
      </c>
      <c r="BW10" s="221" t="s">
        <v>1013</v>
      </c>
      <c r="BX10" s="221">
        <f>BX17</f>
        <v>1476</v>
      </c>
      <c r="BY10" s="1" t="s">
        <v>1138</v>
      </c>
      <c r="BZ10" s="84">
        <v>2290.09</v>
      </c>
      <c r="CA10" s="9" t="s">
        <v>1102</v>
      </c>
      <c r="CB10" s="9">
        <v>67</v>
      </c>
      <c r="CC10" s="221" t="s">
        <v>1013</v>
      </c>
      <c r="CD10" s="221" t="str">
        <f>CD17</f>
        <v>none</v>
      </c>
      <c r="CE10" s="1" t="s">
        <v>1138</v>
      </c>
      <c r="CF10" s="84">
        <v>2290</v>
      </c>
      <c r="CI10" s="221" t="s">
        <v>1013</v>
      </c>
      <c r="CJ10" s="221">
        <f>CJ18</f>
        <v>0</v>
      </c>
      <c r="CK10" s="1" t="s">
        <v>1138</v>
      </c>
      <c r="CL10" s="84">
        <v>2290</v>
      </c>
      <c r="CO10" s="221" t="s">
        <v>1013</v>
      </c>
      <c r="CP10" s="221" t="str">
        <f>CP17</f>
        <v>none</v>
      </c>
      <c r="CQ10" s="1" t="s">
        <v>1138</v>
      </c>
      <c r="CR10" s="84">
        <v>2090</v>
      </c>
      <c r="CU10" s="221" t="s">
        <v>1013</v>
      </c>
      <c r="CV10" s="221">
        <f>SUM(CV17)</f>
        <v>0</v>
      </c>
      <c r="CW10" s="7" t="s">
        <v>1321</v>
      </c>
      <c r="CX10" s="78">
        <v>3000</v>
      </c>
      <c r="DA10" s="269" t="s">
        <v>1408</v>
      </c>
      <c r="DB10" s="221">
        <f>SUM(DB19:DB25)</f>
        <v>428.57</v>
      </c>
      <c r="DC10" s="1" t="s">
        <v>1138</v>
      </c>
      <c r="DD10" s="296">
        <v>2090</v>
      </c>
      <c r="DE10" s="9" t="s">
        <v>1478</v>
      </c>
      <c r="DF10" s="9">
        <v>76</v>
      </c>
      <c r="DG10" s="269" t="s">
        <v>1408</v>
      </c>
      <c r="DH10" s="306">
        <f>SUM(DH30:DH36)</f>
        <v>808.02</v>
      </c>
      <c r="DI10" s="1" t="s">
        <v>1138</v>
      </c>
      <c r="DJ10" s="78">
        <v>2140.8000000000002</v>
      </c>
      <c r="DK10" s="9" t="s">
        <v>1518</v>
      </c>
      <c r="DL10" s="9">
        <v>100</v>
      </c>
      <c r="DM10" s="269" t="s">
        <v>1589</v>
      </c>
      <c r="DN10" s="306">
        <f>SUM(DN25:DN31)</f>
        <v>512.1</v>
      </c>
      <c r="DO10" s="63" t="s">
        <v>1155</v>
      </c>
      <c r="DP10" s="64"/>
      <c r="DS10" s="297" t="s">
        <v>1588</v>
      </c>
      <c r="DT10" s="306">
        <f>SUM(DT49:DT49)</f>
        <v>0</v>
      </c>
      <c r="DU10" s="63" t="s">
        <v>1103</v>
      </c>
      <c r="DV10" s="64">
        <v>-2372</v>
      </c>
      <c r="DY10" s="248" t="s">
        <v>1589</v>
      </c>
      <c r="DZ10">
        <f>SUM(DZ16:DZ22)</f>
        <v>416.04999999999995</v>
      </c>
      <c r="EA10" s="63" t="s">
        <v>129</v>
      </c>
      <c r="EB10" s="63">
        <v>0</v>
      </c>
      <c r="EC10" t="s">
        <v>1615</v>
      </c>
      <c r="EE10" s="248" t="s">
        <v>1589</v>
      </c>
      <c r="EF10">
        <f>SUM(EF16:EF22)</f>
        <v>557.96</v>
      </c>
      <c r="EH10" s="1" t="s">
        <v>1632</v>
      </c>
      <c r="EI10">
        <v>160</v>
      </c>
      <c r="EL10" s="248" t="s">
        <v>1688</v>
      </c>
      <c r="EM10">
        <f>SUM(EM17:EM24)</f>
        <v>437.86</v>
      </c>
      <c r="EN10" s="1" t="s">
        <v>1632</v>
      </c>
      <c r="EO10">
        <v>70</v>
      </c>
      <c r="EP10" t="s">
        <v>1615</v>
      </c>
      <c r="ER10" s="351" t="s">
        <v>1689</v>
      </c>
      <c r="ES10" s="145">
        <f>SUM(ES15:ES16)</f>
        <v>1743.4</v>
      </c>
      <c r="ET10" s="1" t="s">
        <v>1632</v>
      </c>
      <c r="EU10">
        <v>260</v>
      </c>
      <c r="EV10" t="s">
        <v>1615</v>
      </c>
      <c r="EX10" s="351" t="s">
        <v>1689</v>
      </c>
      <c r="EY10" s="145">
        <f>SUM(EY15:EY15)</f>
        <v>481.5</v>
      </c>
      <c r="EZ10" s="1" t="s">
        <v>1632</v>
      </c>
      <c r="FA10">
        <v>200</v>
      </c>
      <c r="FB10" t="s">
        <v>1615</v>
      </c>
      <c r="FD10" s="351" t="s">
        <v>1689</v>
      </c>
      <c r="FE10" s="145">
        <f>SUM(FE14:FE16)</f>
        <v>1754.25</v>
      </c>
      <c r="FF10" s="1" t="s">
        <v>1632</v>
      </c>
      <c r="FG10">
        <v>220</v>
      </c>
      <c r="FJ10" s="351" t="s">
        <v>1689</v>
      </c>
      <c r="FK10">
        <f>SUM(FK14:FK15)</f>
        <v>35.32</v>
      </c>
      <c r="FL10" s="66" t="s">
        <v>1419</v>
      </c>
      <c r="FM10" s="6">
        <v>0</v>
      </c>
      <c r="FN10" s="60" t="s">
        <v>1587</v>
      </c>
      <c r="FP10" s="353" t="s">
        <v>1691</v>
      </c>
      <c r="FQ10">
        <f>SUM(FQ27:FQ37)</f>
        <v>464.30000000000007</v>
      </c>
      <c r="FR10" t="s">
        <v>1690</v>
      </c>
      <c r="FS10" s="6">
        <f>223+1168</f>
        <v>1391</v>
      </c>
      <c r="FT10" t="s">
        <v>1937</v>
      </c>
      <c r="FU10">
        <v>230</v>
      </c>
      <c r="FV10" s="353" t="s">
        <v>1691</v>
      </c>
      <c r="FW10">
        <f>SUM(FW27:FW30)</f>
        <v>167.3</v>
      </c>
      <c r="FX10" s="6" t="s">
        <v>1917</v>
      </c>
      <c r="FY10">
        <v>2498</v>
      </c>
      <c r="FZ10" s="346" t="s">
        <v>1965</v>
      </c>
      <c r="GA10">
        <v>100</v>
      </c>
      <c r="GB10" s="353" t="s">
        <v>1691</v>
      </c>
      <c r="GC10">
        <f>SUM(GC28:GC32)</f>
        <v>183.9</v>
      </c>
      <c r="GD10" s="6" t="s">
        <v>1917</v>
      </c>
      <c r="GE10">
        <v>2498</v>
      </c>
      <c r="GF10" t="s">
        <v>1999</v>
      </c>
      <c r="GG10">
        <v>110</v>
      </c>
      <c r="GH10" s="353" t="s">
        <v>1691</v>
      </c>
      <c r="GI10">
        <f>SUM(GI29:GI31)</f>
        <v>152.62</v>
      </c>
      <c r="GJ10" s="1" t="s">
        <v>1638</v>
      </c>
      <c r="GK10" s="363">
        <v>5.0010000000000003</v>
      </c>
      <c r="GN10" s="353" t="s">
        <v>1691</v>
      </c>
      <c r="GO10">
        <f>SUM(GO29:GO41)</f>
        <v>475.85999999999996</v>
      </c>
      <c r="GP10" s="1" t="s">
        <v>1638</v>
      </c>
      <c r="GQ10" s="363">
        <v>0.53</v>
      </c>
      <c r="GR10" t="s">
        <v>2000</v>
      </c>
      <c r="GT10" s="353" t="s">
        <v>1691</v>
      </c>
      <c r="GU10">
        <f>SUM(GU26:GU32)</f>
        <v>196.22000000000003</v>
      </c>
      <c r="GV10" s="1" t="s">
        <v>1638</v>
      </c>
      <c r="GW10" s="363">
        <v>0.04</v>
      </c>
      <c r="GX10" t="s">
        <v>1568</v>
      </c>
      <c r="GY10">
        <f>53.57+3.21</f>
        <v>56.78</v>
      </c>
      <c r="GZ10" s="353" t="s">
        <v>1691</v>
      </c>
      <c r="HA10">
        <f>SUM(HA26:HA40)</f>
        <v>1242.31</v>
      </c>
      <c r="HB10" s="6" t="s">
        <v>1901</v>
      </c>
      <c r="HC10" s="363">
        <v>30</v>
      </c>
      <c r="HF10" s="353" t="s">
        <v>1691</v>
      </c>
      <c r="HG10">
        <f>SUM(HG28:HG29)</f>
        <v>107.9</v>
      </c>
      <c r="HH10" s="1" t="s">
        <v>1638</v>
      </c>
      <c r="HI10" s="413">
        <v>0.06</v>
      </c>
      <c r="HJ10" t="s">
        <v>1806</v>
      </c>
      <c r="HK10" s="206">
        <v>13</v>
      </c>
      <c r="HL10" s="349" t="s">
        <v>2078</v>
      </c>
      <c r="HM10" s="417">
        <f>2525.92/6</f>
        <v>420.98666666666668</v>
      </c>
      <c r="HN10" s="6" t="s">
        <v>1901</v>
      </c>
      <c r="HO10" s="363">
        <v>16</v>
      </c>
      <c r="HP10" s="257" t="s">
        <v>2239</v>
      </c>
      <c r="HQ10">
        <v>75.06</v>
      </c>
      <c r="HR10" s="249" t="s">
        <v>2265</v>
      </c>
      <c r="HS10">
        <v>100</v>
      </c>
      <c r="HT10" s="6" t="s">
        <v>1901</v>
      </c>
      <c r="HU10" s="363">
        <v>14.67</v>
      </c>
      <c r="HW10" s="246"/>
      <c r="HX10" s="249" t="s">
        <v>2265</v>
      </c>
      <c r="HY10">
        <v>100</v>
      </c>
      <c r="HZ10" s="324" t="s">
        <v>1638</v>
      </c>
      <c r="IA10" s="413">
        <v>7.0000000000000007E-2</v>
      </c>
      <c r="IB10" t="s">
        <v>1806</v>
      </c>
      <c r="IC10" s="535">
        <v>13.54</v>
      </c>
      <c r="ID10" s="249" t="s">
        <v>2361</v>
      </c>
      <c r="IE10" s="2">
        <f>11000+300</f>
        <v>11300</v>
      </c>
      <c r="IF10" s="66" t="s">
        <v>1513</v>
      </c>
      <c r="IG10" s="2">
        <v>1463</v>
      </c>
      <c r="IH10" t="s">
        <v>2404</v>
      </c>
      <c r="II10">
        <v>10</v>
      </c>
      <c r="IJ10" s="399" t="s">
        <v>2448</v>
      </c>
      <c r="IK10" s="348">
        <v>3179</v>
      </c>
      <c r="IL10" s="6" t="s">
        <v>2369</v>
      </c>
      <c r="IM10" s="363">
        <v>35</v>
      </c>
      <c r="IN10" s="9" t="s">
        <v>2570</v>
      </c>
      <c r="IO10" s="614">
        <v>46.26</v>
      </c>
      <c r="IP10" s="350" t="s">
        <v>2488</v>
      </c>
      <c r="IQ10" s="576">
        <v>210.89</v>
      </c>
      <c r="IR10" s="6" t="s">
        <v>1845</v>
      </c>
      <c r="IS10" s="559">
        <v>2500</v>
      </c>
      <c r="IT10" s="623" t="s">
        <v>2657</v>
      </c>
      <c r="IU10" s="534">
        <v>15.03</v>
      </c>
      <c r="IV10" s="399" t="s">
        <v>2652</v>
      </c>
      <c r="IW10" s="575">
        <v>135.25</v>
      </c>
      <c r="IX10" s="627" t="s">
        <v>1637</v>
      </c>
      <c r="IY10" s="633">
        <v>-997</v>
      </c>
      <c r="JB10" s="399" t="s">
        <v>2750</v>
      </c>
      <c r="JC10" s="575">
        <v>454.04</v>
      </c>
      <c r="JD10" s="682" t="s">
        <v>1637</v>
      </c>
      <c r="JE10" s="634">
        <v>323.32</v>
      </c>
      <c r="JF10" s="666">
        <v>44984</v>
      </c>
      <c r="JG10" s="633"/>
    </row>
    <row r="11" spans="1:267" x14ac:dyDescent="0.2">
      <c r="A11" s="1" t="s">
        <v>515</v>
      </c>
      <c r="B11" s="84">
        <v>200.001</v>
      </c>
      <c r="G11" s="1" t="s">
        <v>515</v>
      </c>
      <c r="H11" s="84">
        <v>200.001</v>
      </c>
      <c r="K11" s="145" t="s">
        <v>1032</v>
      </c>
      <c r="L11" s="145">
        <f>SUM(L34:L37)</f>
        <v>2119</v>
      </c>
      <c r="M11" s="1" t="s">
        <v>1101</v>
      </c>
      <c r="N11" s="78">
        <v>1001</v>
      </c>
      <c r="O11" t="s">
        <v>1060</v>
      </c>
      <c r="Q11" s="145" t="s">
        <v>1013</v>
      </c>
      <c r="S11" s="1" t="s">
        <v>1101</v>
      </c>
      <c r="T11" s="78">
        <v>1001</v>
      </c>
      <c r="U11" t="s">
        <v>1060</v>
      </c>
      <c r="W11" s="145" t="s">
        <v>1013</v>
      </c>
      <c r="X11" s="145">
        <f>SUM(X17:X20)</f>
        <v>288.75</v>
      </c>
      <c r="Y11" s="1" t="s">
        <v>1101</v>
      </c>
      <c r="Z11" s="78">
        <v>1001</v>
      </c>
      <c r="AA11" t="s">
        <v>1060</v>
      </c>
      <c r="AC11" s="145" t="s">
        <v>1073</v>
      </c>
      <c r="AD11" s="145">
        <v>0</v>
      </c>
      <c r="AE11" s="7" t="s">
        <v>1000</v>
      </c>
      <c r="AF11" s="84">
        <v>4985</v>
      </c>
      <c r="AG11" t="s">
        <v>1060</v>
      </c>
      <c r="AI11" s="145" t="s">
        <v>1073</v>
      </c>
      <c r="AJ11" s="145">
        <f>AJ25</f>
        <v>30</v>
      </c>
      <c r="AK11" s="7" t="s">
        <v>1000</v>
      </c>
      <c r="AL11" s="84">
        <v>5000</v>
      </c>
      <c r="AO11" s="145" t="s">
        <v>1073</v>
      </c>
      <c r="AP11" s="145">
        <f>SUM(AP34:AP43)</f>
        <v>1111.54</v>
      </c>
      <c r="AQ11" s="7" t="s">
        <v>1000</v>
      </c>
      <c r="AR11" s="84">
        <v>4000</v>
      </c>
      <c r="AS11" t="s">
        <v>1143</v>
      </c>
      <c r="AU11" s="145" t="s">
        <v>1073</v>
      </c>
      <c r="AV11" s="145">
        <f>SUM(AV34)</f>
        <v>24</v>
      </c>
      <c r="AW11" s="7" t="s">
        <v>1000</v>
      </c>
      <c r="AX11" s="84">
        <v>4000</v>
      </c>
      <c r="BA11" s="7" t="s">
        <v>1000</v>
      </c>
      <c r="BB11" s="64">
        <f t="shared" si="0"/>
        <v>4000</v>
      </c>
      <c r="BC11" t="s">
        <v>1143</v>
      </c>
      <c r="BE11" s="145" t="s">
        <v>1213</v>
      </c>
      <c r="BF11" s="145">
        <f>SUM(BF31:BF36)</f>
        <v>246.62</v>
      </c>
      <c r="BG11" s="7" t="s">
        <v>1000</v>
      </c>
      <c r="BH11" s="84">
        <v>4000</v>
      </c>
      <c r="BI11" s="9" t="s">
        <v>1143</v>
      </c>
      <c r="BK11" s="221" t="s">
        <v>1213</v>
      </c>
      <c r="BL11" s="221">
        <f>SUM(BL31:BL33)</f>
        <v>63.9</v>
      </c>
      <c r="BM11" s="7" t="s">
        <v>1000</v>
      </c>
      <c r="BN11" s="84">
        <v>4000</v>
      </c>
      <c r="BO11" s="9" t="s">
        <v>1143</v>
      </c>
      <c r="BQ11" s="221" t="s">
        <v>1213</v>
      </c>
      <c r="BR11" s="221">
        <f>SUM(BR31:BR32)</f>
        <v>20</v>
      </c>
      <c r="BS11" s="7" t="s">
        <v>1000</v>
      </c>
      <c r="BT11" s="277">
        <v>66</v>
      </c>
      <c r="BU11" s="9" t="s">
        <v>1143</v>
      </c>
      <c r="BW11" s="221" t="s">
        <v>1213</v>
      </c>
      <c r="BX11" s="221">
        <f>SUM(BX31:BX33)</f>
        <v>44.8</v>
      </c>
      <c r="BY11" s="257" t="s">
        <v>1274</v>
      </c>
      <c r="BZ11" s="283"/>
      <c r="CC11" s="221" t="s">
        <v>1213</v>
      </c>
      <c r="CD11" s="221">
        <f>SUM(CD31:CD34)</f>
        <v>295.55</v>
      </c>
      <c r="CE11" s="257" t="s">
        <v>1281</v>
      </c>
      <c r="CF11" s="283"/>
      <c r="CG11" s="9" t="s">
        <v>1143</v>
      </c>
      <c r="CI11" s="221" t="s">
        <v>1213</v>
      </c>
      <c r="CJ11" s="221">
        <f>SUM(CJ31:CJ34)</f>
        <v>96.6</v>
      </c>
      <c r="CK11" s="1" t="s">
        <v>1101</v>
      </c>
      <c r="CL11" s="78">
        <v>1003</v>
      </c>
      <c r="CM11" s="9" t="s">
        <v>1143</v>
      </c>
      <c r="CO11" s="221" t="s">
        <v>1213</v>
      </c>
      <c r="CP11" s="221">
        <f>SUM(CP29:CP31)</f>
        <v>136</v>
      </c>
      <c r="CQ11" s="7" t="s">
        <v>1321</v>
      </c>
      <c r="CR11" s="84">
        <v>12000</v>
      </c>
      <c r="CS11" s="9" t="s">
        <v>1143</v>
      </c>
      <c r="CU11" s="221" t="s">
        <v>1213</v>
      </c>
      <c r="CV11" s="221">
        <f>SUM(CV27:CV32)</f>
        <v>276.49</v>
      </c>
      <c r="CW11" s="1" t="s">
        <v>1368</v>
      </c>
      <c r="CX11" s="78">
        <v>10</v>
      </c>
      <c r="CY11" s="9" t="s">
        <v>1143</v>
      </c>
      <c r="DA11" s="299" t="s">
        <v>1213</v>
      </c>
      <c r="DB11" s="221">
        <f>SUM(DB26:DB31)</f>
        <v>661.82</v>
      </c>
      <c r="DC11" s="7" t="s">
        <v>1419</v>
      </c>
      <c r="DD11" s="296">
        <v>5000</v>
      </c>
      <c r="DG11" s="299" t="s">
        <v>1213</v>
      </c>
      <c r="DH11" s="306">
        <f>SUM(DH37:DH43)</f>
        <v>459.96999999999997</v>
      </c>
      <c r="DI11" s="7" t="s">
        <v>1419</v>
      </c>
      <c r="DJ11" s="78">
        <v>15007</v>
      </c>
      <c r="DM11" s="299" t="s">
        <v>1522</v>
      </c>
      <c r="DN11" s="306">
        <f>SUM(DN32:DN36)</f>
        <v>77.37</v>
      </c>
      <c r="DO11" s="63" t="s">
        <v>1581</v>
      </c>
      <c r="DP11" s="64">
        <v>-2524</v>
      </c>
      <c r="DS11" s="269" t="s">
        <v>1589</v>
      </c>
      <c r="DT11" s="306">
        <f>SUM(DT20:DT28)</f>
        <v>10919.66</v>
      </c>
      <c r="DU11" s="63" t="s">
        <v>129</v>
      </c>
      <c r="DV11" s="64">
        <v>0</v>
      </c>
      <c r="DW11" t="s">
        <v>1615</v>
      </c>
      <c r="DY11" s="341" t="s">
        <v>1546</v>
      </c>
      <c r="DZ11">
        <f>SUM(DZ24:DZ25)</f>
        <v>45.1</v>
      </c>
      <c r="EA11" s="63" t="s">
        <v>1570</v>
      </c>
      <c r="EB11" s="63">
        <v>1E-3</v>
      </c>
      <c r="EC11" t="s">
        <v>1019</v>
      </c>
      <c r="ED11">
        <v>1.1000000000000001</v>
      </c>
      <c r="EE11" s="341" t="s">
        <v>1546</v>
      </c>
      <c r="EF11">
        <f>SUM(EF23:EF23)</f>
        <v>10</v>
      </c>
      <c r="EH11" t="s">
        <v>1275</v>
      </c>
      <c r="EI11" s="2">
        <v>-20000</v>
      </c>
      <c r="EJ11" s="60" t="s">
        <v>1587</v>
      </c>
      <c r="EL11" s="353" t="s">
        <v>1687</v>
      </c>
      <c r="EM11">
        <f>SUM(EM25:EM28)</f>
        <v>151.75</v>
      </c>
      <c r="EN11" t="s">
        <v>1275</v>
      </c>
      <c r="EO11" s="2">
        <v>-20000</v>
      </c>
      <c r="EP11" t="s">
        <v>1809</v>
      </c>
      <c r="EQ11">
        <v>12.26</v>
      </c>
      <c r="ER11" s="354" t="s">
        <v>1399</v>
      </c>
      <c r="ES11" s="145">
        <f>SUM(ES14:ES14)</f>
        <v>0</v>
      </c>
      <c r="ET11" t="s">
        <v>1275</v>
      </c>
      <c r="EU11" s="2">
        <v>-20000</v>
      </c>
      <c r="EX11" s="354" t="s">
        <v>1399</v>
      </c>
      <c r="EY11">
        <f>SUM(EY14:EY14)</f>
        <v>0</v>
      </c>
      <c r="EZ11" t="s">
        <v>1275</v>
      </c>
      <c r="FA11" s="2">
        <v>-20000</v>
      </c>
      <c r="FB11" t="s">
        <v>1776</v>
      </c>
      <c r="FC11">
        <v>10.000999999999999</v>
      </c>
      <c r="FD11" s="354" t="s">
        <v>1399</v>
      </c>
      <c r="FE11" s="145">
        <f>SUM(FE13:FE13)</f>
        <v>5.73</v>
      </c>
      <c r="FF11" t="s">
        <v>1275</v>
      </c>
      <c r="FG11" s="2">
        <v>-20000</v>
      </c>
      <c r="FH11" t="s">
        <v>1615</v>
      </c>
      <c r="FJ11" s="354" t="s">
        <v>1399</v>
      </c>
      <c r="FK11">
        <f>SUM(FK13:FK13)</f>
        <v>288.75</v>
      </c>
      <c r="FL11" s="1" t="s">
        <v>1632</v>
      </c>
      <c r="FM11">
        <v>80</v>
      </c>
      <c r="FN11" t="s">
        <v>1568</v>
      </c>
      <c r="FO11">
        <f>51.7+4.8+1.85</f>
        <v>58.35</v>
      </c>
      <c r="FP11" s="351" t="s">
        <v>1689</v>
      </c>
      <c r="FQ11">
        <f>SUM(FQ17:FQ18)</f>
        <v>2165.6999999999998</v>
      </c>
      <c r="FR11" s="66" t="s">
        <v>1419</v>
      </c>
      <c r="FS11" s="6">
        <v>0</v>
      </c>
      <c r="FV11" s="351" t="s">
        <v>1689</v>
      </c>
      <c r="FW11">
        <f>SUM(FW18:FW18)</f>
        <v>29.62</v>
      </c>
      <c r="FX11" s="66" t="s">
        <v>1534</v>
      </c>
      <c r="FY11">
        <v>702</v>
      </c>
      <c r="GA11" s="246"/>
      <c r="GB11" s="351" t="s">
        <v>1689</v>
      </c>
      <c r="GC11">
        <f>SUM(GC18:GC18)</f>
        <v>0</v>
      </c>
      <c r="GD11" s="66" t="s">
        <v>1534</v>
      </c>
      <c r="GE11">
        <v>1200</v>
      </c>
      <c r="GF11" t="s">
        <v>2015</v>
      </c>
      <c r="GH11" s="351" t="s">
        <v>1689</v>
      </c>
      <c r="GI11">
        <f>SUM(GI18:GI18)</f>
        <v>3.87</v>
      </c>
      <c r="GJ11" s="6" t="s">
        <v>1917</v>
      </c>
      <c r="GK11">
        <v>2499</v>
      </c>
      <c r="GL11" s="60" t="s">
        <v>1587</v>
      </c>
      <c r="GN11" s="351" t="s">
        <v>1689</v>
      </c>
      <c r="GO11">
        <f>SUM(GO17:GO19)</f>
        <v>1950.63</v>
      </c>
      <c r="GP11" s="6" t="s">
        <v>1917</v>
      </c>
      <c r="GQ11">
        <v>2499</v>
      </c>
      <c r="GR11" t="s">
        <v>2080</v>
      </c>
      <c r="GS11">
        <v>260</v>
      </c>
      <c r="GT11" s="351" t="s">
        <v>1689</v>
      </c>
      <c r="GU11" t="s">
        <v>692</v>
      </c>
      <c r="GV11" s="6" t="s">
        <v>1917</v>
      </c>
      <c r="GW11">
        <v>2499</v>
      </c>
      <c r="GX11" t="s">
        <v>2107</v>
      </c>
      <c r="GY11">
        <v>50</v>
      </c>
      <c r="GZ11" s="351" t="s">
        <v>1689</v>
      </c>
      <c r="HA11">
        <f>SUM(HA16:HA18)</f>
        <v>2381.65</v>
      </c>
      <c r="HB11" s="1" t="s">
        <v>1638</v>
      </c>
      <c r="HC11" s="363">
        <v>0.05</v>
      </c>
      <c r="HF11" s="351" t="s">
        <v>1689</v>
      </c>
      <c r="HG11">
        <f>SUM(HG18:HG19)</f>
        <v>45</v>
      </c>
      <c r="HH11" s="6" t="s">
        <v>1845</v>
      </c>
      <c r="HI11">
        <v>2499</v>
      </c>
      <c r="HJ11" t="s">
        <v>1585</v>
      </c>
      <c r="HK11" s="246"/>
      <c r="HL11" s="349" t="s">
        <v>2183</v>
      </c>
      <c r="HM11">
        <v>80.959999999999994</v>
      </c>
      <c r="HN11" s="1" t="s">
        <v>1638</v>
      </c>
      <c r="HO11" s="413">
        <v>0.06</v>
      </c>
      <c r="HQ11" s="206"/>
      <c r="HR11" s="249" t="s">
        <v>2268</v>
      </c>
      <c r="HS11">
        <v>156.5</v>
      </c>
      <c r="HT11" s="324" t="s">
        <v>1638</v>
      </c>
      <c r="HU11" s="413">
        <v>7.0000000000000007E-2</v>
      </c>
      <c r="HV11" t="s">
        <v>1615</v>
      </c>
      <c r="HW11" s="52"/>
      <c r="HX11" s="249" t="s">
        <v>2308</v>
      </c>
      <c r="HY11">
        <f>1000+1000+1000</f>
        <v>3000</v>
      </c>
      <c r="HZ11" s="6" t="s">
        <v>2235</v>
      </c>
      <c r="IA11" s="363">
        <v>-10</v>
      </c>
      <c r="IB11" t="s">
        <v>2378</v>
      </c>
      <c r="IC11" s="535">
        <v>12.88</v>
      </c>
      <c r="ID11" s="553" t="s">
        <v>2020</v>
      </c>
      <c r="IE11" s="276">
        <v>3000</v>
      </c>
      <c r="IF11" s="66" t="s">
        <v>2315</v>
      </c>
      <c r="IG11" s="272">
        <v>5794</v>
      </c>
      <c r="IH11" t="s">
        <v>2445</v>
      </c>
      <c r="II11">
        <v>13.5</v>
      </c>
      <c r="IJ11" s="399" t="s">
        <v>2119</v>
      </c>
      <c r="IK11">
        <v>288.75</v>
      </c>
      <c r="IL11" s="6" t="s">
        <v>1845</v>
      </c>
      <c r="IM11" s="559">
        <v>2499</v>
      </c>
      <c r="IN11" s="9" t="s">
        <v>2571</v>
      </c>
      <c r="IO11" s="615">
        <v>10</v>
      </c>
      <c r="IP11" s="350" t="s">
        <v>2580</v>
      </c>
      <c r="IQ11" s="61">
        <f>406.6+487.92</f>
        <v>894.52</v>
      </c>
      <c r="IR11" s="66" t="s">
        <v>1512</v>
      </c>
      <c r="IS11" s="272">
        <v>364</v>
      </c>
      <c r="IT11" s="623" t="s">
        <v>2679</v>
      </c>
      <c r="IU11" s="623">
        <v>25.58</v>
      </c>
      <c r="IV11" s="399" t="s">
        <v>2615</v>
      </c>
      <c r="IW11" s="575">
        <v>378.81</v>
      </c>
      <c r="IX11" s="625" t="s">
        <v>1845</v>
      </c>
      <c r="IY11" s="538">
        <v>2600</v>
      </c>
      <c r="IZ11" s="679" t="s">
        <v>2438</v>
      </c>
      <c r="JA11" s="556"/>
      <c r="JB11" s="350" t="s">
        <v>2681</v>
      </c>
      <c r="JC11" s="576">
        <v>52.89</v>
      </c>
      <c r="JD11" s="680" t="s">
        <v>1845</v>
      </c>
      <c r="JE11" s="538">
        <v>2600</v>
      </c>
      <c r="JF11" s="665"/>
      <c r="JG11" s="559"/>
    </row>
    <row r="12" spans="1:267" x14ac:dyDescent="0.2">
      <c r="A12" s="1" t="s">
        <v>354</v>
      </c>
      <c r="B12" s="84">
        <v>500.00099999999998</v>
      </c>
      <c r="E12" s="145" t="s">
        <v>1011</v>
      </c>
      <c r="F12" s="145">
        <f>F36</f>
        <v>250</v>
      </c>
      <c r="G12" s="1" t="s">
        <v>354</v>
      </c>
      <c r="H12" s="84">
        <v>500.00099999999998</v>
      </c>
      <c r="K12" s="145" t="s">
        <v>1037</v>
      </c>
      <c r="M12" s="63" t="s">
        <v>239</v>
      </c>
      <c r="N12" s="64"/>
      <c r="O12" t="s">
        <v>1102</v>
      </c>
      <c r="P12">
        <v>58</v>
      </c>
      <c r="Q12" s="145" t="s">
        <v>1032</v>
      </c>
      <c r="R12" s="145">
        <v>0</v>
      </c>
      <c r="S12" s="63" t="s">
        <v>239</v>
      </c>
      <c r="T12" s="64"/>
      <c r="U12" t="s">
        <v>1102</v>
      </c>
      <c r="V12">
        <v>67</v>
      </c>
      <c r="W12" s="145" t="s">
        <v>1073</v>
      </c>
      <c r="X12" s="145">
        <f>SUM(X34:X38)</f>
        <v>469.00099999999998</v>
      </c>
      <c r="Y12" s="63" t="s">
        <v>239</v>
      </c>
      <c r="Z12" s="64"/>
      <c r="AA12" t="s">
        <v>1105</v>
      </c>
      <c r="AB12">
        <v>55</v>
      </c>
      <c r="AE12" s="7" t="s">
        <v>1088</v>
      </c>
      <c r="AF12" s="78">
        <v>-5000</v>
      </c>
      <c r="AG12" t="s">
        <v>1102</v>
      </c>
      <c r="AH12">
        <v>0</v>
      </c>
      <c r="AK12" s="7" t="s">
        <v>1088</v>
      </c>
      <c r="AL12" s="78">
        <v>-5000</v>
      </c>
      <c r="AM12" t="s">
        <v>1060</v>
      </c>
      <c r="AQ12" s="7" t="s">
        <v>1121</v>
      </c>
      <c r="AR12" s="78">
        <v>-4000</v>
      </c>
      <c r="AS12" t="s">
        <v>1157</v>
      </c>
      <c r="AT12">
        <v>32.49</v>
      </c>
      <c r="AU12" s="195"/>
      <c r="AV12" s="272"/>
      <c r="AW12" s="7" t="s">
        <v>1121</v>
      </c>
      <c r="AX12" s="78">
        <v>-4000</v>
      </c>
      <c r="AY12" s="195" t="s">
        <v>1247</v>
      </c>
      <c r="AZ12" s="272">
        <v>30000</v>
      </c>
      <c r="BA12" s="7" t="s">
        <v>1121</v>
      </c>
      <c r="BB12" s="64">
        <f t="shared" si="0"/>
        <v>-4000</v>
      </c>
      <c r="BC12" t="s">
        <v>1200</v>
      </c>
      <c r="BD12" t="s">
        <v>663</v>
      </c>
      <c r="BG12" s="7" t="s">
        <v>1121</v>
      </c>
      <c r="BH12" s="78">
        <v>-4000</v>
      </c>
      <c r="BI12" s="9" t="s">
        <v>1226</v>
      </c>
      <c r="BJ12" s="9">
        <v>24.47</v>
      </c>
      <c r="BM12" s="7" t="s">
        <v>1121</v>
      </c>
      <c r="BN12" s="78">
        <v>-4000</v>
      </c>
      <c r="BO12" s="78" t="s">
        <v>1259</v>
      </c>
      <c r="BP12" s="9">
        <v>71</v>
      </c>
      <c r="BS12" s="7" t="s">
        <v>1121</v>
      </c>
      <c r="BT12" s="278">
        <v>-66</v>
      </c>
      <c r="BU12" s="78" t="s">
        <v>1259</v>
      </c>
      <c r="BV12" s="9">
        <v>65.3</v>
      </c>
      <c r="BY12" s="1" t="s">
        <v>1101</v>
      </c>
      <c r="BZ12" s="78">
        <f>1003</f>
        <v>1003</v>
      </c>
      <c r="CA12" s="9" t="s">
        <v>1143</v>
      </c>
      <c r="CE12" s="1" t="s">
        <v>1101</v>
      </c>
      <c r="CF12" s="78">
        <v>1003</v>
      </c>
      <c r="CG12" s="78" t="s">
        <v>1259</v>
      </c>
      <c r="CH12" s="9">
        <v>65</v>
      </c>
      <c r="CK12" s="63" t="s">
        <v>1155</v>
      </c>
      <c r="CL12" s="64"/>
      <c r="CM12" s="78" t="s">
        <v>1259</v>
      </c>
      <c r="CN12" s="9">
        <v>69.959999999999994</v>
      </c>
      <c r="CQ12" s="1" t="s">
        <v>1101</v>
      </c>
      <c r="CR12" s="78">
        <v>10</v>
      </c>
      <c r="CS12" s="78" t="s">
        <v>1259</v>
      </c>
      <c r="CT12" s="9">
        <v>72.599999999999994</v>
      </c>
      <c r="CW12" s="87" t="s">
        <v>429</v>
      </c>
      <c r="CX12" s="77" t="s">
        <v>692</v>
      </c>
      <c r="CY12" s="78" t="s">
        <v>1259</v>
      </c>
      <c r="CZ12" s="9">
        <v>72</v>
      </c>
      <c r="DC12" s="1" t="s">
        <v>1368</v>
      </c>
      <c r="DD12" s="78">
        <v>10</v>
      </c>
      <c r="DE12" s="9" t="s">
        <v>1143</v>
      </c>
      <c r="DI12" s="1" t="s">
        <v>1368</v>
      </c>
      <c r="DJ12" s="78" t="s">
        <v>648</v>
      </c>
      <c r="DK12" s="9" t="s">
        <v>1143</v>
      </c>
      <c r="DO12" s="63" t="s">
        <v>129</v>
      </c>
      <c r="DP12" s="64">
        <v>0</v>
      </c>
      <c r="DQ12" s="9" t="s">
        <v>1143</v>
      </c>
      <c r="DS12" s="299" t="s">
        <v>1546</v>
      </c>
      <c r="DT12" s="306">
        <f>SUM(DT29:DT36)</f>
        <v>361.23</v>
      </c>
      <c r="DU12" s="63" t="s">
        <v>1570</v>
      </c>
      <c r="DV12" s="64">
        <v>1.0009999999999999</v>
      </c>
      <c r="DW12" t="s">
        <v>1812</v>
      </c>
      <c r="DX12">
        <v>12.37</v>
      </c>
      <c r="DY12" s="249" t="s">
        <v>1545</v>
      </c>
      <c r="DZ12">
        <v>133</v>
      </c>
      <c r="EA12" s="251" t="s">
        <v>1065</v>
      </c>
      <c r="EB12">
        <v>110</v>
      </c>
      <c r="EE12" s="249" t="s">
        <v>1009</v>
      </c>
      <c r="EF12">
        <v>1800.06</v>
      </c>
      <c r="EH12" s="258" t="s">
        <v>1642</v>
      </c>
      <c r="EI12" s="258"/>
      <c r="EJ12" t="s">
        <v>1568</v>
      </c>
      <c r="EK12">
        <v>47</v>
      </c>
      <c r="EL12" s="249" t="s">
        <v>1009</v>
      </c>
      <c r="EM12">
        <v>1800.07</v>
      </c>
      <c r="EN12" s="258" t="s">
        <v>1671</v>
      </c>
      <c r="EO12" s="258"/>
      <c r="ER12" s="355" t="s">
        <v>1009</v>
      </c>
      <c r="ES12" s="145">
        <v>1800.08</v>
      </c>
      <c r="ET12" s="258" t="s">
        <v>1701</v>
      </c>
      <c r="EU12" s="258"/>
      <c r="EX12" s="355" t="s">
        <v>1009</v>
      </c>
      <c r="EY12">
        <v>1800.09</v>
      </c>
      <c r="EZ12" s="258" t="s">
        <v>1737</v>
      </c>
      <c r="FA12" s="258"/>
      <c r="FD12" s="355" t="s">
        <v>1009</v>
      </c>
      <c r="FE12">
        <v>1800.1</v>
      </c>
      <c r="FF12" s="258" t="s">
        <v>1737</v>
      </c>
      <c r="FG12" s="258"/>
      <c r="FH12" t="s">
        <v>1806</v>
      </c>
      <c r="FI12">
        <v>13.33</v>
      </c>
      <c r="FJ12" s="355" t="s">
        <v>1009</v>
      </c>
      <c r="FK12">
        <v>1800.11</v>
      </c>
      <c r="FL12" t="s">
        <v>1275</v>
      </c>
      <c r="FM12" s="2">
        <v>-20000</v>
      </c>
      <c r="FP12" s="354" t="s">
        <v>1399</v>
      </c>
      <c r="FQ12">
        <f>SUM(FQ16:FQ16)</f>
        <v>0</v>
      </c>
      <c r="FR12" s="1" t="s">
        <v>1632</v>
      </c>
      <c r="FS12">
        <v>146</v>
      </c>
      <c r="FT12" s="60" t="s">
        <v>1587</v>
      </c>
      <c r="FV12" s="354" t="s">
        <v>1399</v>
      </c>
      <c r="FW12">
        <f>SUM(FW17:FW17)</f>
        <v>3779.24</v>
      </c>
      <c r="FX12" s="66" t="s">
        <v>1513</v>
      </c>
      <c r="FY12">
        <v>1520</v>
      </c>
      <c r="FZ12" s="60" t="s">
        <v>1587</v>
      </c>
      <c r="GB12" s="354" t="s">
        <v>1399</v>
      </c>
      <c r="GC12">
        <f>SUM(GC16:GC17)</f>
        <v>512.80999999999995</v>
      </c>
      <c r="GD12" s="66" t="s">
        <v>1513</v>
      </c>
      <c r="GE12">
        <v>2876</v>
      </c>
      <c r="GH12" s="354" t="s">
        <v>1399</v>
      </c>
      <c r="GI12">
        <f>SUM(GI16:GI16)</f>
        <v>2454.0500000000002</v>
      </c>
      <c r="GJ12" s="66" t="s">
        <v>1512</v>
      </c>
      <c r="GK12">
        <v>574</v>
      </c>
      <c r="GL12" t="s">
        <v>1568</v>
      </c>
      <c r="GM12">
        <f>6.11+47.56</f>
        <v>53.67</v>
      </c>
      <c r="GN12" s="354" t="s">
        <v>1399</v>
      </c>
      <c r="GO12">
        <f>SUM(GO15:GO16)</f>
        <v>464.65999999999997</v>
      </c>
      <c r="GP12" s="66" t="s">
        <v>1512</v>
      </c>
      <c r="GQ12">
        <v>833</v>
      </c>
      <c r="GT12" s="354" t="s">
        <v>1399</v>
      </c>
      <c r="GU12" t="s">
        <v>692</v>
      </c>
      <c r="GV12" s="66" t="s">
        <v>1512</v>
      </c>
      <c r="GW12">
        <v>631</v>
      </c>
      <c r="GZ12" s="354" t="s">
        <v>1399</v>
      </c>
      <c r="HA12">
        <f>SUM(HA15:HA15)</f>
        <v>1476</v>
      </c>
      <c r="HB12" s="6" t="s">
        <v>1845</v>
      </c>
      <c r="HC12">
        <v>2499</v>
      </c>
      <c r="HF12" s="354" t="s">
        <v>1399</v>
      </c>
      <c r="HG12">
        <f>SUM(HG17:HG17)</f>
        <v>48.24</v>
      </c>
      <c r="HH12" s="66" t="s">
        <v>1512</v>
      </c>
      <c r="HI12">
        <v>1440</v>
      </c>
      <c r="HJ12" t="s">
        <v>2198</v>
      </c>
      <c r="HK12" s="246">
        <v>90</v>
      </c>
      <c r="HL12" s="349" t="s">
        <v>2184</v>
      </c>
      <c r="HM12">
        <v>197.9</v>
      </c>
      <c r="HN12" s="6" t="s">
        <v>1845</v>
      </c>
      <c r="HO12">
        <v>2499</v>
      </c>
      <c r="HR12" s="249" t="s">
        <v>2079</v>
      </c>
      <c r="HS12" s="417">
        <f>HS13*5</f>
        <v>2104.9333333333334</v>
      </c>
      <c r="HT12" s="6" t="s">
        <v>2235</v>
      </c>
      <c r="HU12" s="363">
        <v>-808</v>
      </c>
      <c r="HV12" s="257" t="s">
        <v>2266</v>
      </c>
      <c r="HW12" s="52">
        <v>63.05</v>
      </c>
      <c r="HX12" s="249" t="s">
        <v>2292</v>
      </c>
      <c r="HY12" s="52">
        <f>130000+11893+38316.67+1</f>
        <v>180210.66999999998</v>
      </c>
      <c r="HZ12" s="6" t="s">
        <v>1845</v>
      </c>
      <c r="IA12" s="145">
        <v>499</v>
      </c>
      <c r="IB12" t="s">
        <v>2363</v>
      </c>
      <c r="IC12" s="535">
        <v>3.0009999999999999</v>
      </c>
      <c r="ID12" s="554" t="s">
        <v>2179</v>
      </c>
      <c r="IE12" s="276">
        <v>4000</v>
      </c>
      <c r="IF12" s="66" t="s">
        <v>1905</v>
      </c>
      <c r="IG12" s="2">
        <v>0</v>
      </c>
      <c r="IH12" t="s">
        <v>2421</v>
      </c>
      <c r="II12">
        <f>366.74-127-111</f>
        <v>128.74</v>
      </c>
      <c r="IJ12" s="350" t="s">
        <v>1034</v>
      </c>
      <c r="IK12">
        <v>1867.15</v>
      </c>
      <c r="IL12" s="66" t="s">
        <v>1512</v>
      </c>
      <c r="IM12" s="272">
        <v>613</v>
      </c>
      <c r="IP12" s="249" t="s">
        <v>2396</v>
      </c>
      <c r="IQ12" s="417">
        <f>IQ13*2</f>
        <v>1833.7466666666667</v>
      </c>
      <c r="IR12" s="66" t="s">
        <v>2519</v>
      </c>
      <c r="IS12" s="272">
        <v>803</v>
      </c>
      <c r="IV12" s="350" t="s">
        <v>2649</v>
      </c>
      <c r="IW12" s="576">
        <v>170</v>
      </c>
      <c r="IX12" s="626" t="s">
        <v>1512</v>
      </c>
      <c r="IY12" s="272">
        <v>983</v>
      </c>
      <c r="IZ12" s="679" t="s">
        <v>2171</v>
      </c>
      <c r="JA12" s="556"/>
      <c r="JB12" s="249" t="s">
        <v>2729</v>
      </c>
      <c r="JC12" s="708">
        <v>26.001000000000001</v>
      </c>
      <c r="JD12" s="683" t="s">
        <v>1512</v>
      </c>
      <c r="JE12" s="272">
        <v>1303</v>
      </c>
      <c r="JF12" s="665">
        <v>44984</v>
      </c>
      <c r="JG12" s="272"/>
    </row>
    <row r="13" spans="1:267" x14ac:dyDescent="0.2">
      <c r="A13" s="1" t="s">
        <v>1101</v>
      </c>
      <c r="B13" s="84">
        <v>1001</v>
      </c>
      <c r="E13" s="173"/>
      <c r="F13" s="173"/>
      <c r="G13" s="1" t="s">
        <v>1101</v>
      </c>
      <c r="H13" s="78">
        <v>1001</v>
      </c>
      <c r="M13" s="63" t="s">
        <v>1103</v>
      </c>
      <c r="N13" s="64">
        <v>-1030</v>
      </c>
      <c r="Q13" s="145" t="s">
        <v>1037</v>
      </c>
      <c r="R13" s="145">
        <f>SUM(R39:R40)</f>
        <v>800</v>
      </c>
      <c r="S13" s="63" t="s">
        <v>1103</v>
      </c>
      <c r="T13" s="64">
        <v>-960</v>
      </c>
      <c r="Y13" s="63" t="s">
        <v>1103</v>
      </c>
      <c r="Z13" s="64">
        <v>-970</v>
      </c>
      <c r="AA13" t="s">
        <v>129</v>
      </c>
      <c r="AB13">
        <v>50</v>
      </c>
      <c r="AC13" s="195" t="s">
        <v>1089</v>
      </c>
      <c r="AD13" s="145">
        <v>2501.1999999999998</v>
      </c>
      <c r="AE13" s="1" t="s">
        <v>1101</v>
      </c>
      <c r="AF13" s="78">
        <v>1001</v>
      </c>
      <c r="AG13" t="s">
        <v>1061</v>
      </c>
      <c r="AI13" s="195" t="s">
        <v>1009</v>
      </c>
      <c r="AJ13" s="145">
        <v>0</v>
      </c>
      <c r="AK13" s="1" t="s">
        <v>1101</v>
      </c>
      <c r="AL13" s="78">
        <v>1002</v>
      </c>
      <c r="AM13" t="s">
        <v>1102</v>
      </c>
      <c r="AN13">
        <v>81</v>
      </c>
      <c r="AO13" s="195" t="s">
        <v>1120</v>
      </c>
      <c r="AP13" s="145">
        <v>2400</v>
      </c>
      <c r="AQ13" s="1" t="s">
        <v>1101</v>
      </c>
      <c r="AR13" s="78">
        <v>1002</v>
      </c>
      <c r="AU13" s="195" t="s">
        <v>1009</v>
      </c>
      <c r="AV13" s="145">
        <f>1800.03+1800.04</f>
        <v>3600.0699999999997</v>
      </c>
      <c r="AW13" s="1" t="s">
        <v>1101</v>
      </c>
      <c r="AX13" s="78">
        <v>1002</v>
      </c>
      <c r="AY13" s="195"/>
      <c r="BA13" s="1" t="s">
        <v>1101</v>
      </c>
      <c r="BB13" s="64">
        <f t="shared" si="0"/>
        <v>1002</v>
      </c>
      <c r="BC13" t="s">
        <v>1198</v>
      </c>
      <c r="BD13">
        <v>20</v>
      </c>
      <c r="BE13" s="195" t="s">
        <v>1009</v>
      </c>
      <c r="BF13" s="145" t="s">
        <v>692</v>
      </c>
      <c r="BG13" s="1" t="s">
        <v>1101</v>
      </c>
      <c r="BH13" s="78">
        <v>1003</v>
      </c>
      <c r="BI13" s="78" t="s">
        <v>1235</v>
      </c>
      <c r="BJ13" s="9">
        <v>44.18</v>
      </c>
      <c r="BK13" s="267" t="s">
        <v>1009</v>
      </c>
      <c r="BL13" s="221">
        <v>1800.05</v>
      </c>
      <c r="BM13" s="1" t="s">
        <v>1101</v>
      </c>
      <c r="BN13" s="78">
        <v>1003</v>
      </c>
      <c r="BQ13" s="267" t="s">
        <v>1240</v>
      </c>
      <c r="BR13" s="221">
        <v>1800.06</v>
      </c>
      <c r="BS13" s="1" t="s">
        <v>1101</v>
      </c>
      <c r="BT13" s="278">
        <v>1003</v>
      </c>
      <c r="BU13" s="78" t="s">
        <v>1272</v>
      </c>
      <c r="BV13" s="9">
        <v>7.76</v>
      </c>
      <c r="BW13" s="267" t="s">
        <v>1009</v>
      </c>
      <c r="BX13" s="221">
        <v>1800.07</v>
      </c>
      <c r="BY13" s="63" t="s">
        <v>1155</v>
      </c>
      <c r="BZ13" s="64"/>
      <c r="CA13" s="78" t="s">
        <v>1259</v>
      </c>
      <c r="CB13" s="9">
        <v>63</v>
      </c>
      <c r="CC13" s="267" t="s">
        <v>1009</v>
      </c>
      <c r="CD13" s="221">
        <v>1800.08</v>
      </c>
      <c r="CE13" s="63" t="s">
        <v>1155</v>
      </c>
      <c r="CF13" s="64"/>
      <c r="CG13" s="6"/>
      <c r="CH13" s="6"/>
      <c r="CI13" s="267" t="s">
        <v>1009</v>
      </c>
      <c r="CJ13" s="221">
        <v>1800.09</v>
      </c>
      <c r="CK13" s="63" t="s">
        <v>1103</v>
      </c>
      <c r="CL13" s="64">
        <v>-1950</v>
      </c>
      <c r="CM13" s="6"/>
      <c r="CN13" s="6"/>
      <c r="CO13" s="267" t="s">
        <v>1325</v>
      </c>
      <c r="CP13" s="221">
        <v>1800.1</v>
      </c>
      <c r="CQ13" s="63" t="s">
        <v>1155</v>
      </c>
      <c r="CR13" s="64"/>
      <c r="CS13" s="78" t="s">
        <v>1375</v>
      </c>
      <c r="CT13" s="9">
        <v>11</v>
      </c>
      <c r="CU13" s="293" t="s">
        <v>1325</v>
      </c>
      <c r="CV13" s="221">
        <v>1800.11</v>
      </c>
      <c r="CW13" s="86" t="s">
        <v>1155</v>
      </c>
      <c r="CX13" s="75"/>
      <c r="CY13" s="78" t="s">
        <v>1375</v>
      </c>
      <c r="DA13" s="301" t="s">
        <v>1299</v>
      </c>
      <c r="DB13" s="208">
        <v>100</v>
      </c>
      <c r="DC13" s="87" t="s">
        <v>429</v>
      </c>
      <c r="DD13" s="77" t="s">
        <v>692</v>
      </c>
      <c r="DE13" s="78" t="s">
        <v>1259</v>
      </c>
      <c r="DF13" s="9">
        <v>56</v>
      </c>
      <c r="DG13" s="301" t="s">
        <v>1429</v>
      </c>
      <c r="DH13" s="283">
        <v>100</v>
      </c>
      <c r="DI13" s="63" t="s">
        <v>1155</v>
      </c>
      <c r="DJ13" s="64"/>
      <c r="DK13" s="78"/>
      <c r="DM13" s="301" t="s">
        <v>1491</v>
      </c>
      <c r="DN13" s="283">
        <f>132.63+132.43+132.15</f>
        <v>397.21000000000004</v>
      </c>
      <c r="DO13" s="63" t="s">
        <v>1211</v>
      </c>
      <c r="DP13" s="64">
        <v>2.54</v>
      </c>
      <c r="DQ13" s="78"/>
      <c r="DU13" s="251" t="s">
        <v>1065</v>
      </c>
      <c r="DV13" s="70">
        <v>150</v>
      </c>
      <c r="DY13" s="249" t="s">
        <v>1009</v>
      </c>
      <c r="DZ13">
        <v>1800.05</v>
      </c>
      <c r="EA13" s="214" t="s">
        <v>1628</v>
      </c>
      <c r="EB13" s="109"/>
      <c r="EC13" t="s">
        <v>1324</v>
      </c>
      <c r="ED13" t="s">
        <v>692</v>
      </c>
      <c r="EE13" s="301" t="s">
        <v>1545</v>
      </c>
      <c r="EF13" s="301">
        <f>132.66+132.47+132.27+132.26+132.31</f>
        <v>661.97</v>
      </c>
      <c r="EG13" s="301"/>
      <c r="EH13" s="1" t="s">
        <v>1508</v>
      </c>
      <c r="EI13" s="276">
        <v>5709.99</v>
      </c>
      <c r="EL13" s="301" t="s">
        <v>1545</v>
      </c>
      <c r="EM13" s="301" t="s">
        <v>692</v>
      </c>
      <c r="EN13" s="1" t="s">
        <v>1508</v>
      </c>
      <c r="EO13" s="276">
        <v>5762</v>
      </c>
      <c r="EP13" t="s">
        <v>1585</v>
      </c>
      <c r="ER13" s="355" t="s">
        <v>1695</v>
      </c>
      <c r="ES13" s="145">
        <v>430</v>
      </c>
      <c r="ET13" s="1" t="s">
        <v>1508</v>
      </c>
      <c r="EU13" s="276">
        <v>2917</v>
      </c>
      <c r="EV13" t="s">
        <v>1585</v>
      </c>
      <c r="EX13" s="355" t="s">
        <v>1922</v>
      </c>
      <c r="EY13">
        <v>100</v>
      </c>
      <c r="EZ13" s="1" t="s">
        <v>1508</v>
      </c>
      <c r="FA13" s="276">
        <f>13952+12128+5831</f>
        <v>31911</v>
      </c>
      <c r="FB13" t="s">
        <v>1585</v>
      </c>
      <c r="FD13" s="354" t="s">
        <v>1790</v>
      </c>
      <c r="FE13">
        <v>5.73</v>
      </c>
      <c r="FF13" s="1" t="s">
        <v>1508</v>
      </c>
      <c r="FG13" s="276">
        <f>18841+3130+8869</f>
        <v>30840</v>
      </c>
      <c r="FH13" t="s">
        <v>1585</v>
      </c>
      <c r="FJ13" s="366" t="s">
        <v>1385</v>
      </c>
      <c r="FK13">
        <v>288.75</v>
      </c>
      <c r="FL13" t="s">
        <v>1814</v>
      </c>
      <c r="FM13" s="2">
        <v>-60000</v>
      </c>
      <c r="FN13" t="s">
        <v>1615</v>
      </c>
      <c r="FP13" s="355" t="s">
        <v>1009</v>
      </c>
      <c r="FQ13">
        <v>1800.12</v>
      </c>
      <c r="FR13" t="s">
        <v>1854</v>
      </c>
      <c r="FS13" s="2"/>
      <c r="FT13" t="s">
        <v>1568</v>
      </c>
      <c r="FU13">
        <v>56</v>
      </c>
      <c r="FV13" s="355" t="s">
        <v>1009</v>
      </c>
      <c r="FW13">
        <v>1800.01</v>
      </c>
      <c r="FX13" s="66" t="s">
        <v>1905</v>
      </c>
      <c r="FY13">
        <v>473</v>
      </c>
      <c r="FZ13" t="s">
        <v>1568</v>
      </c>
      <c r="GA13">
        <v>52</v>
      </c>
      <c r="GB13" s="355" t="s">
        <v>1009</v>
      </c>
      <c r="GC13">
        <v>1800.02</v>
      </c>
      <c r="GD13" s="66" t="s">
        <v>1905</v>
      </c>
      <c r="GE13">
        <v>724</v>
      </c>
      <c r="GF13" s="60" t="s">
        <v>1587</v>
      </c>
      <c r="GH13" s="355" t="s">
        <v>1009</v>
      </c>
      <c r="GI13">
        <v>1800.03</v>
      </c>
      <c r="GJ13" s="66" t="s">
        <v>1513</v>
      </c>
      <c r="GK13">
        <v>3378</v>
      </c>
      <c r="GN13" s="355" t="s">
        <v>2037</v>
      </c>
      <c r="GO13">
        <v>1004</v>
      </c>
      <c r="GP13" s="66" t="s">
        <v>1513</v>
      </c>
      <c r="GQ13">
        <v>2198</v>
      </c>
      <c r="GR13" s="60" t="s">
        <v>1587</v>
      </c>
      <c r="GT13" s="355" t="s">
        <v>1009</v>
      </c>
      <c r="GU13">
        <f>1800.04+1800.05</f>
        <v>3600.09</v>
      </c>
      <c r="GV13" s="66" t="s">
        <v>1513</v>
      </c>
      <c r="GW13">
        <v>4266</v>
      </c>
      <c r="GX13" t="s">
        <v>1615</v>
      </c>
      <c r="GZ13" s="355" t="s">
        <v>1009</v>
      </c>
      <c r="HA13">
        <v>1800.06</v>
      </c>
      <c r="HB13" s="66" t="s">
        <v>1512</v>
      </c>
      <c r="HC13">
        <v>700</v>
      </c>
      <c r="HD13" t="s">
        <v>1615</v>
      </c>
      <c r="HF13" s="355" t="s">
        <v>1009</v>
      </c>
      <c r="HG13">
        <v>1900.07</v>
      </c>
      <c r="HH13" s="66" t="s">
        <v>1513</v>
      </c>
      <c r="HI13">
        <v>3957</v>
      </c>
      <c r="HL13" s="349" t="s">
        <v>1823</v>
      </c>
      <c r="HM13">
        <v>140.44999999999999</v>
      </c>
      <c r="HN13" s="66" t="s">
        <v>1512</v>
      </c>
      <c r="HO13">
        <v>561</v>
      </c>
      <c r="HQ13" s="246"/>
      <c r="HR13" s="349" t="s">
        <v>2078</v>
      </c>
      <c r="HS13" s="417">
        <f>2525.92/6</f>
        <v>420.98666666666668</v>
      </c>
      <c r="HT13" s="6" t="s">
        <v>1845</v>
      </c>
      <c r="HU13">
        <v>499</v>
      </c>
      <c r="HV13" t="s">
        <v>2354</v>
      </c>
      <c r="HW13" s="246">
        <v>14.49</v>
      </c>
      <c r="HX13" s="249" t="s">
        <v>2274</v>
      </c>
      <c r="HY13">
        <v>10.96</v>
      </c>
      <c r="HZ13" s="66" t="s">
        <v>1512</v>
      </c>
      <c r="IA13" s="145">
        <v>1075</v>
      </c>
      <c r="IB13" t="s">
        <v>2339</v>
      </c>
      <c r="IC13" s="535">
        <v>203.43</v>
      </c>
      <c r="ID13" s="554" t="s">
        <v>2022</v>
      </c>
      <c r="IE13" s="276">
        <v>25000</v>
      </c>
      <c r="IF13" s="66" t="s">
        <v>1900</v>
      </c>
      <c r="IG13" s="2">
        <v>361</v>
      </c>
      <c r="IH13" t="s">
        <v>2401</v>
      </c>
      <c r="II13" s="556">
        <f>160+85</f>
        <v>245</v>
      </c>
      <c r="IJ13" s="350" t="s">
        <v>2472</v>
      </c>
      <c r="IK13">
        <f>139.5+131.4</f>
        <v>270.89999999999998</v>
      </c>
      <c r="IL13" s="66" t="s">
        <v>2434</v>
      </c>
      <c r="IM13" s="272">
        <v>869</v>
      </c>
      <c r="IN13" t="s">
        <v>2438</v>
      </c>
      <c r="IO13" s="556"/>
      <c r="IP13" s="349" t="s">
        <v>2576</v>
      </c>
      <c r="IQ13" s="417">
        <f>2750.62/3</f>
        <v>916.87333333333333</v>
      </c>
      <c r="IR13" s="258" t="s">
        <v>2581</v>
      </c>
      <c r="IS13" s="2">
        <v>142</v>
      </c>
      <c r="IV13" s="249" t="s">
        <v>2677</v>
      </c>
      <c r="IW13" s="2">
        <f>IW14*2</f>
        <v>2116.9666666666667</v>
      </c>
      <c r="IX13" s="626" t="s">
        <v>1513</v>
      </c>
      <c r="IY13" s="272">
        <v>618</v>
      </c>
      <c r="IZ13" s="679" t="s">
        <v>2585</v>
      </c>
      <c r="JA13" s="534"/>
      <c r="JB13" s="249" t="s">
        <v>2677</v>
      </c>
      <c r="JC13" s="2"/>
      <c r="JD13" s="683" t="s">
        <v>1513</v>
      </c>
      <c r="JE13" s="272">
        <v>1142</v>
      </c>
      <c r="JF13" s="665">
        <v>44984</v>
      </c>
      <c r="JG13" s="272"/>
    </row>
    <row r="14" spans="1:267" x14ac:dyDescent="0.2">
      <c r="A14" s="63" t="s">
        <v>239</v>
      </c>
      <c r="B14" s="64"/>
      <c r="E14" s="173"/>
      <c r="F14" s="173"/>
      <c r="G14" s="63" t="s">
        <v>239</v>
      </c>
      <c r="H14" s="64"/>
      <c r="K14" s="173"/>
      <c r="M14" s="63" t="s">
        <v>1042</v>
      </c>
      <c r="N14" s="64">
        <v>49</v>
      </c>
      <c r="O14" t="s">
        <v>1061</v>
      </c>
      <c r="S14" s="63" t="s">
        <v>129</v>
      </c>
      <c r="T14" s="64">
        <v>-17</v>
      </c>
      <c r="U14" t="s">
        <v>1061</v>
      </c>
      <c r="W14" s="195" t="s">
        <v>1070</v>
      </c>
      <c r="X14" s="145">
        <v>2500.11</v>
      </c>
      <c r="Y14" s="63" t="s">
        <v>1067</v>
      </c>
      <c r="Z14" s="64">
        <v>11.6</v>
      </c>
      <c r="AA14" t="s">
        <v>1061</v>
      </c>
      <c r="AC14" s="169" t="s">
        <v>1098</v>
      </c>
      <c r="AD14" s="145">
        <v>0</v>
      </c>
      <c r="AE14" s="63" t="s">
        <v>239</v>
      </c>
      <c r="AF14" s="64"/>
      <c r="AI14" s="169" t="s">
        <v>1098</v>
      </c>
      <c r="AJ14" s="145">
        <v>0</v>
      </c>
      <c r="AK14" s="63" t="s">
        <v>239</v>
      </c>
      <c r="AL14" s="64"/>
      <c r="AM14" t="s">
        <v>1143</v>
      </c>
      <c r="AO14" s="195" t="s">
        <v>1127</v>
      </c>
      <c r="AP14" s="145">
        <f>1800-700</f>
        <v>1100</v>
      </c>
      <c r="AQ14" s="63" t="s">
        <v>1155</v>
      </c>
      <c r="AR14" s="64"/>
      <c r="AU14" s="195" t="s">
        <v>313</v>
      </c>
      <c r="AW14" s="63" t="s">
        <v>1155</v>
      </c>
      <c r="AX14" s="64"/>
      <c r="AY14" s="195"/>
      <c r="BA14" s="63" t="s">
        <v>1155</v>
      </c>
      <c r="BB14" s="64">
        <f t="shared" si="0"/>
        <v>0</v>
      </c>
      <c r="BE14" s="195" t="s">
        <v>313</v>
      </c>
      <c r="BG14" s="63" t="s">
        <v>1155</v>
      </c>
      <c r="BH14" s="90"/>
      <c r="BK14" s="267" t="s">
        <v>1227</v>
      </c>
      <c r="BL14" s="208">
        <v>100</v>
      </c>
      <c r="BM14" s="63" t="s">
        <v>1155</v>
      </c>
      <c r="BN14" s="90"/>
      <c r="BQ14" s="267" t="s">
        <v>1245</v>
      </c>
      <c r="BR14" s="208">
        <v>100</v>
      </c>
      <c r="BS14" s="63" t="s">
        <v>1155</v>
      </c>
      <c r="BT14" s="231"/>
      <c r="BW14" s="267" t="s">
        <v>1265</v>
      </c>
      <c r="BX14" s="208">
        <v>100</v>
      </c>
      <c r="BY14" s="63" t="s">
        <v>1103</v>
      </c>
      <c r="BZ14" s="64">
        <v>-1140</v>
      </c>
      <c r="CA14" s="78" t="s">
        <v>1300</v>
      </c>
      <c r="CB14" s="9">
        <v>8.2200000000000006</v>
      </c>
      <c r="CC14" s="267" t="s">
        <v>1299</v>
      </c>
      <c r="CD14" s="208">
        <v>100</v>
      </c>
      <c r="CE14" s="63" t="s">
        <v>1103</v>
      </c>
      <c r="CF14" s="64">
        <v>-1779</v>
      </c>
      <c r="CG14" s="6" t="s">
        <v>584</v>
      </c>
      <c r="CI14" s="267" t="s">
        <v>1299</v>
      </c>
      <c r="CJ14" s="208">
        <v>100</v>
      </c>
      <c r="CK14" s="63" t="s">
        <v>129</v>
      </c>
      <c r="CL14" s="64" t="s">
        <v>1305</v>
      </c>
      <c r="CM14" s="6" t="s">
        <v>584</v>
      </c>
      <c r="CO14" s="267" t="s">
        <v>1299</v>
      </c>
      <c r="CP14" s="208">
        <v>100</v>
      </c>
      <c r="CQ14" s="63" t="s">
        <v>1103</v>
      </c>
      <c r="CR14" s="64">
        <v>-826</v>
      </c>
      <c r="CS14" s="6"/>
      <c r="CT14" s="6"/>
      <c r="CU14" s="293" t="s">
        <v>1332</v>
      </c>
      <c r="CV14" s="221">
        <f>12.91+6+14.99</f>
        <v>33.9</v>
      </c>
      <c r="CW14" s="63" t="s">
        <v>1103</v>
      </c>
      <c r="CX14" s="64">
        <v>-620</v>
      </c>
      <c r="CY14" s="6"/>
      <c r="CZ14" s="6"/>
      <c r="DA14" s="301" t="s">
        <v>313</v>
      </c>
      <c r="DB14" s="208" t="s">
        <v>692</v>
      </c>
      <c r="DC14" s="86" t="s">
        <v>1155</v>
      </c>
      <c r="DD14" s="75"/>
      <c r="DE14" s="78" t="s">
        <v>1810</v>
      </c>
      <c r="DF14" s="9">
        <v>1.07</v>
      </c>
      <c r="DG14" s="301" t="s">
        <v>1489</v>
      </c>
      <c r="DH14" s="283">
        <v>2193</v>
      </c>
      <c r="DI14" s="63" t="s">
        <v>1103</v>
      </c>
      <c r="DJ14" s="64">
        <v>-2174</v>
      </c>
      <c r="DK14" s="6" t="s">
        <v>584</v>
      </c>
      <c r="DM14" s="301" t="s">
        <v>1523</v>
      </c>
      <c r="DN14" s="283">
        <v>100</v>
      </c>
      <c r="DO14" s="251" t="s">
        <v>1065</v>
      </c>
      <c r="DP14" s="70">
        <v>130.001</v>
      </c>
      <c r="DQ14" s="6" t="s">
        <v>1585</v>
      </c>
      <c r="DS14" s="301" t="s">
        <v>1547</v>
      </c>
      <c r="DT14" s="306">
        <f>15000.01+20000.01</f>
        <v>35000.019999999997</v>
      </c>
      <c r="DU14" s="316" t="s">
        <v>1565</v>
      </c>
      <c r="DV14" s="317"/>
      <c r="DW14" t="s">
        <v>1496</v>
      </c>
      <c r="DX14" t="s">
        <v>692</v>
      </c>
      <c r="DY14" s="340" t="s">
        <v>1608</v>
      </c>
      <c r="DZ14" t="s">
        <v>692</v>
      </c>
      <c r="EA14" s="63" t="s">
        <v>1508</v>
      </c>
      <c r="EB14" s="231">
        <f>9880+1491</f>
        <v>11371</v>
      </c>
      <c r="EE14" s="340" t="s">
        <v>1608</v>
      </c>
      <c r="EF14" t="s">
        <v>692</v>
      </c>
      <c r="EH14" s="1" t="s">
        <v>1575</v>
      </c>
      <c r="EI14" s="276">
        <v>10000</v>
      </c>
      <c r="EJ14" t="s">
        <v>1615</v>
      </c>
      <c r="EL14" s="249" t="s">
        <v>1332</v>
      </c>
      <c r="EM14" t="s">
        <v>692</v>
      </c>
      <c r="EN14" s="1" t="s">
        <v>1476</v>
      </c>
      <c r="EO14" s="276">
        <f>5000+3000</f>
        <v>8000</v>
      </c>
      <c r="EP14" t="s">
        <v>1202</v>
      </c>
      <c r="EQ14">
        <v>130</v>
      </c>
      <c r="ER14" s="354" t="s">
        <v>1170</v>
      </c>
      <c r="ET14" s="1" t="s">
        <v>1708</v>
      </c>
      <c r="EU14" s="276">
        <v>11000</v>
      </c>
      <c r="EV14" t="s">
        <v>1286</v>
      </c>
      <c r="EW14">
        <f>19.9+11.7</f>
        <v>31.599999999999998</v>
      </c>
      <c r="EX14" s="354" t="s">
        <v>1170</v>
      </c>
      <c r="EZ14" s="1" t="s">
        <v>1708</v>
      </c>
      <c r="FA14" s="276">
        <v>6000</v>
      </c>
      <c r="FB14" t="s">
        <v>1286</v>
      </c>
      <c r="FC14">
        <v>9.9</v>
      </c>
      <c r="FD14" s="350" t="s">
        <v>1792</v>
      </c>
      <c r="FE14">
        <v>10</v>
      </c>
      <c r="FF14" s="1" t="s">
        <v>1708</v>
      </c>
      <c r="FG14" s="276">
        <v>3000</v>
      </c>
      <c r="FJ14" s="350" t="s">
        <v>1799</v>
      </c>
      <c r="FK14" t="s">
        <v>692</v>
      </c>
      <c r="FL14" s="258" t="s">
        <v>1817</v>
      </c>
      <c r="FM14" s="258"/>
      <c r="FN14" t="s">
        <v>1806</v>
      </c>
      <c r="FO14" t="s">
        <v>692</v>
      </c>
      <c r="FP14" s="249" t="s">
        <v>1856</v>
      </c>
      <c r="FQ14">
        <v>1000</v>
      </c>
      <c r="FR14" t="s">
        <v>1829</v>
      </c>
      <c r="FS14" s="2">
        <f>-60000-24000</f>
        <v>-84000</v>
      </c>
      <c r="FT14" t="s">
        <v>1615</v>
      </c>
      <c r="FV14" s="249" t="s">
        <v>1856</v>
      </c>
      <c r="FW14">
        <v>4000</v>
      </c>
      <c r="FX14" s="66" t="s">
        <v>1900</v>
      </c>
      <c r="FY14">
        <v>1218</v>
      </c>
      <c r="GB14" s="355" t="s">
        <v>2077</v>
      </c>
      <c r="GC14">
        <v>1000</v>
      </c>
      <c r="GD14" s="66" t="s">
        <v>1900</v>
      </c>
      <c r="GE14">
        <v>1258</v>
      </c>
      <c r="GF14" t="s">
        <v>1568</v>
      </c>
      <c r="GG14">
        <v>43</v>
      </c>
      <c r="GH14" s="355" t="s">
        <v>1989</v>
      </c>
      <c r="GI14">
        <v>2000</v>
      </c>
      <c r="GJ14" s="66" t="s">
        <v>1905</v>
      </c>
      <c r="GK14">
        <v>567</v>
      </c>
      <c r="GL14" t="s">
        <v>1615</v>
      </c>
      <c r="GN14" s="249" t="s">
        <v>2028</v>
      </c>
      <c r="GP14" s="66" t="s">
        <v>1905</v>
      </c>
      <c r="GQ14">
        <v>642</v>
      </c>
      <c r="GR14" t="s">
        <v>1568</v>
      </c>
      <c r="GS14">
        <v>50</v>
      </c>
      <c r="GT14" s="355" t="s">
        <v>2076</v>
      </c>
      <c r="GU14">
        <v>1000.05</v>
      </c>
      <c r="GV14" s="66" t="s">
        <v>1905</v>
      </c>
      <c r="GW14">
        <v>21</v>
      </c>
      <c r="GX14" s="257" t="s">
        <v>429</v>
      </c>
      <c r="GY14">
        <v>137</v>
      </c>
      <c r="GZ14" s="249" t="s">
        <v>2079</v>
      </c>
      <c r="HA14" s="406">
        <f>HA19*5</f>
        <v>2104.9333333333334</v>
      </c>
      <c r="HB14" s="66" t="s">
        <v>1513</v>
      </c>
      <c r="HC14">
        <v>2184</v>
      </c>
      <c r="HD14" s="257" t="s">
        <v>2241</v>
      </c>
      <c r="HE14">
        <v>90</v>
      </c>
      <c r="HF14" s="249" t="s">
        <v>1842</v>
      </c>
      <c r="HG14">
        <v>1000</v>
      </c>
      <c r="HH14" s="66" t="s">
        <v>1905</v>
      </c>
      <c r="HI14">
        <v>3063</v>
      </c>
      <c r="HJ14" s="727" t="s">
        <v>2193</v>
      </c>
      <c r="HK14" s="727"/>
      <c r="HL14" s="349" t="s">
        <v>1202</v>
      </c>
      <c r="HM14">
        <f>6.5+15</f>
        <v>21.5</v>
      </c>
      <c r="HN14" s="66" t="s">
        <v>1513</v>
      </c>
      <c r="HO14">
        <v>912</v>
      </c>
      <c r="HR14" s="349" t="s">
        <v>1957</v>
      </c>
      <c r="HS14" s="6">
        <v>71.900000000000006</v>
      </c>
      <c r="HT14" s="66" t="s">
        <v>1512</v>
      </c>
      <c r="HU14">
        <v>1235</v>
      </c>
      <c r="HW14" s="246"/>
      <c r="HX14" s="249" t="s">
        <v>2659</v>
      </c>
      <c r="HY14" s="2">
        <f>-IA6</f>
        <v>420000</v>
      </c>
      <c r="HZ14" s="66" t="s">
        <v>1513</v>
      </c>
      <c r="IA14" s="145">
        <v>2028</v>
      </c>
      <c r="IB14" t="s">
        <v>2340</v>
      </c>
      <c r="IC14" s="534">
        <v>13.56</v>
      </c>
      <c r="ID14" s="554" t="s">
        <v>2397</v>
      </c>
      <c r="IE14" s="276">
        <v>2000</v>
      </c>
      <c r="IF14" s="66" t="s">
        <v>2210</v>
      </c>
      <c r="IG14" s="2">
        <v>1000</v>
      </c>
      <c r="II14" s="556"/>
      <c r="IJ14" s="249" t="s">
        <v>2265</v>
      </c>
      <c r="IK14">
        <v>100</v>
      </c>
      <c r="IL14" s="532" t="s">
        <v>2468</v>
      </c>
      <c r="IM14" s="272">
        <v>3140</v>
      </c>
      <c r="IN14" t="s">
        <v>2171</v>
      </c>
      <c r="IO14" s="556">
        <f>75+12</f>
        <v>87</v>
      </c>
      <c r="IP14" s="349" t="s">
        <v>2183</v>
      </c>
      <c r="IQ14" s="615">
        <v>30</v>
      </c>
      <c r="IR14" s="66" t="s">
        <v>2492</v>
      </c>
      <c r="IS14" s="2" t="s">
        <v>2578</v>
      </c>
      <c r="IT14" s="623" t="s">
        <v>2438</v>
      </c>
      <c r="IU14" s="556"/>
      <c r="IV14" s="349" t="s">
        <v>2574</v>
      </c>
      <c r="IW14" s="2">
        <f>3175.45/3</f>
        <v>1058.4833333333333</v>
      </c>
      <c r="IX14" s="626" t="s">
        <v>2586</v>
      </c>
      <c r="IY14" s="678">
        <v>24</v>
      </c>
      <c r="IZ14" s="679" t="s">
        <v>2676</v>
      </c>
      <c r="JB14" s="349" t="s">
        <v>2574</v>
      </c>
      <c r="JC14" s="2"/>
      <c r="JD14" s="683" t="s">
        <v>2586</v>
      </c>
      <c r="JE14" s="272">
        <v>3224</v>
      </c>
      <c r="JF14" s="665">
        <v>44987</v>
      </c>
    </row>
    <row r="15" spans="1:267" x14ac:dyDescent="0.2">
      <c r="A15" s="63" t="s">
        <v>1103</v>
      </c>
      <c r="B15" s="64">
        <v>-1047</v>
      </c>
      <c r="E15" s="173" t="s">
        <v>1009</v>
      </c>
      <c r="F15" s="173">
        <f>2500*5</f>
        <v>12500</v>
      </c>
      <c r="G15" s="63" t="s">
        <v>1103</v>
      </c>
      <c r="H15" s="64">
        <v>-1303</v>
      </c>
      <c r="K15" s="173" t="s">
        <v>1009</v>
      </c>
      <c r="L15" s="145">
        <v>0</v>
      </c>
      <c r="M15" s="63" t="s">
        <v>350</v>
      </c>
      <c r="N15" s="64">
        <v>0</v>
      </c>
      <c r="O15" t="s">
        <v>1062</v>
      </c>
      <c r="P15">
        <v>700</v>
      </c>
      <c r="Q15" s="195" t="s">
        <v>1009</v>
      </c>
      <c r="R15" s="145">
        <f>2500.09+2500.1</f>
        <v>5000.1900000000005</v>
      </c>
      <c r="S15" s="63" t="s">
        <v>350</v>
      </c>
      <c r="T15" s="64">
        <v>0</v>
      </c>
      <c r="U15" t="s">
        <v>1062</v>
      </c>
      <c r="V15">
        <v>0</v>
      </c>
      <c r="W15" s="195" t="s">
        <v>1072</v>
      </c>
      <c r="X15" s="145">
        <v>100</v>
      </c>
      <c r="Y15" s="63" t="s">
        <v>1084</v>
      </c>
      <c r="Z15" s="64">
        <v>110.001</v>
      </c>
      <c r="AA15" t="s">
        <v>1062</v>
      </c>
      <c r="AB15">
        <v>0</v>
      </c>
      <c r="AC15" s="248" t="s">
        <v>1036</v>
      </c>
      <c r="AD15" s="145">
        <v>0</v>
      </c>
      <c r="AE15" s="63" t="s">
        <v>1103</v>
      </c>
      <c r="AF15" s="64">
        <v>-1678.46</v>
      </c>
      <c r="AG15" t="s">
        <v>1068</v>
      </c>
      <c r="AI15" s="248" t="s">
        <v>1036</v>
      </c>
      <c r="AJ15" s="145">
        <v>0</v>
      </c>
      <c r="AK15" s="63" t="s">
        <v>1103</v>
      </c>
      <c r="AL15" s="64">
        <v>-2265</v>
      </c>
      <c r="AM15" t="s">
        <v>1148</v>
      </c>
      <c r="AN15">
        <v>17</v>
      </c>
      <c r="AO15" s="195" t="s">
        <v>1126</v>
      </c>
      <c r="AP15" s="145">
        <v>3300</v>
      </c>
      <c r="AQ15" s="63" t="s">
        <v>1103</v>
      </c>
      <c r="AR15" s="64">
        <v>-292</v>
      </c>
      <c r="AU15" s="195" t="s">
        <v>1164</v>
      </c>
      <c r="AV15" s="145">
        <v>200</v>
      </c>
      <c r="AW15" s="63" t="s">
        <v>1103</v>
      </c>
      <c r="AX15" s="64">
        <v>-1148</v>
      </c>
      <c r="AY15" s="195"/>
      <c r="BA15" s="63" t="s">
        <v>1103</v>
      </c>
      <c r="BB15" s="64">
        <f t="shared" si="0"/>
        <v>-1148</v>
      </c>
      <c r="BE15" s="195" t="s">
        <v>1201</v>
      </c>
      <c r="BF15" s="145" t="s">
        <v>692</v>
      </c>
      <c r="BG15" s="63" t="s">
        <v>1103</v>
      </c>
      <c r="BH15">
        <v>-1906</v>
      </c>
      <c r="BI15" s="9" t="s">
        <v>1068</v>
      </c>
      <c r="BJ15" s="6" t="s">
        <v>692</v>
      </c>
      <c r="BK15" s="267" t="s">
        <v>313</v>
      </c>
      <c r="BL15" s="221" t="s">
        <v>692</v>
      </c>
      <c r="BM15" s="63" t="s">
        <v>1103</v>
      </c>
      <c r="BN15" s="63">
        <v>-1333</v>
      </c>
      <c r="BO15" s="9" t="s">
        <v>1068</v>
      </c>
      <c r="BP15" s="6" t="s">
        <v>692</v>
      </c>
      <c r="BQ15" s="267" t="s">
        <v>313</v>
      </c>
      <c r="BR15" s="208" t="s">
        <v>692</v>
      </c>
      <c r="BS15" s="63" t="s">
        <v>1103</v>
      </c>
      <c r="BT15" s="231">
        <v>-1444</v>
      </c>
      <c r="BW15" s="267" t="s">
        <v>313</v>
      </c>
      <c r="BX15" s="208" t="s">
        <v>692</v>
      </c>
      <c r="BY15" s="63" t="s">
        <v>1067</v>
      </c>
      <c r="BZ15" s="64">
        <v>73</v>
      </c>
      <c r="CA15" s="6" t="s">
        <v>1273</v>
      </c>
      <c r="CC15" s="267" t="s">
        <v>313</v>
      </c>
      <c r="CD15" s="208" t="s">
        <v>692</v>
      </c>
      <c r="CE15" s="63" t="s">
        <v>129</v>
      </c>
      <c r="CF15" s="64">
        <v>0</v>
      </c>
      <c r="CG15" s="78" t="s">
        <v>1301</v>
      </c>
      <c r="CH15" s="6">
        <v>20.100000000000001</v>
      </c>
      <c r="CI15" s="267" t="s">
        <v>1309</v>
      </c>
      <c r="CJ15" s="208">
        <v>1000</v>
      </c>
      <c r="CK15" s="63" t="s">
        <v>1211</v>
      </c>
      <c r="CL15" s="64">
        <v>15.87</v>
      </c>
      <c r="CM15" s="78" t="s">
        <v>1335</v>
      </c>
      <c r="CN15" s="6">
        <v>5.8</v>
      </c>
      <c r="CO15" s="267" t="s">
        <v>313</v>
      </c>
      <c r="CP15" s="208" t="s">
        <v>692</v>
      </c>
      <c r="CQ15" s="63" t="s">
        <v>129</v>
      </c>
      <c r="CR15" s="64" t="s">
        <v>692</v>
      </c>
      <c r="CS15" s="6" t="s">
        <v>584</v>
      </c>
      <c r="CU15" s="293" t="s">
        <v>1299</v>
      </c>
      <c r="CV15" s="208">
        <v>100</v>
      </c>
      <c r="CW15" s="63" t="s">
        <v>129</v>
      </c>
      <c r="CX15" s="64" t="s">
        <v>692</v>
      </c>
      <c r="CY15" s="78" t="s">
        <v>1351</v>
      </c>
      <c r="CZ15" s="6"/>
      <c r="DA15" s="301" t="s">
        <v>1325</v>
      </c>
      <c r="DB15" s="221">
        <v>1800.12</v>
      </c>
      <c r="DC15" s="63" t="s">
        <v>1103</v>
      </c>
      <c r="DD15" s="64">
        <v>-2258</v>
      </c>
      <c r="DE15" s="78" t="s">
        <v>1811</v>
      </c>
      <c r="DF15" s="6">
        <v>11.94</v>
      </c>
      <c r="DG15" s="301" t="s">
        <v>1467</v>
      </c>
      <c r="DH15" s="283">
        <v>500</v>
      </c>
      <c r="DI15" s="63" t="s">
        <v>129</v>
      </c>
      <c r="DJ15" s="64">
        <v>0</v>
      </c>
      <c r="DK15" s="78"/>
      <c r="DL15" s="6"/>
      <c r="DM15" s="301" t="s">
        <v>1531</v>
      </c>
      <c r="DN15" s="283">
        <v>2700</v>
      </c>
      <c r="DO15" s="761" t="s">
        <v>1511</v>
      </c>
      <c r="DP15" s="762"/>
      <c r="DQ15" s="78" t="s">
        <v>1584</v>
      </c>
      <c r="DR15" s="6">
        <v>128.4</v>
      </c>
      <c r="DS15" s="301" t="s">
        <v>1545</v>
      </c>
      <c r="DT15" s="283" t="s">
        <v>692</v>
      </c>
      <c r="DU15" s="63" t="s">
        <v>1508</v>
      </c>
      <c r="DV15" s="231">
        <f>10013+1491</f>
        <v>11504</v>
      </c>
      <c r="DY15" s="247"/>
      <c r="DZ15" s="210"/>
      <c r="EA15" s="63" t="s">
        <v>1575</v>
      </c>
      <c r="EB15" s="274">
        <v>10000</v>
      </c>
      <c r="EC15" t="s">
        <v>1585</v>
      </c>
      <c r="EE15" s="247" t="s">
        <v>1034</v>
      </c>
      <c r="EF15" s="210" t="s">
        <v>692</v>
      </c>
      <c r="EH15" s="1" t="s">
        <v>1576</v>
      </c>
      <c r="EI15" s="276">
        <v>10000</v>
      </c>
      <c r="EL15" s="354" t="s">
        <v>1385</v>
      </c>
      <c r="EM15">
        <v>1476</v>
      </c>
      <c r="EN15" s="1" t="s">
        <v>1464</v>
      </c>
      <c r="EO15" s="276">
        <f>5000+5000</f>
        <v>10000</v>
      </c>
      <c r="ER15" s="350" t="s">
        <v>1699</v>
      </c>
      <c r="ES15" s="145">
        <v>10</v>
      </c>
      <c r="ET15" s="6" t="s">
        <v>1717</v>
      </c>
      <c r="EU15" s="278">
        <v>1000</v>
      </c>
      <c r="EV15" t="s">
        <v>1742</v>
      </c>
      <c r="EW15">
        <v>104</v>
      </c>
      <c r="EX15" s="350" t="s">
        <v>1738</v>
      </c>
      <c r="EY15" s="210">
        <v>481.5</v>
      </c>
      <c r="EZ15" s="6" t="s">
        <v>1717</v>
      </c>
      <c r="FA15" s="278">
        <v>1000</v>
      </c>
      <c r="FB15" t="s">
        <v>1760</v>
      </c>
      <c r="FC15">
        <v>31.1</v>
      </c>
      <c r="FD15" s="350" t="s">
        <v>1793</v>
      </c>
      <c r="FE15">
        <v>11.25</v>
      </c>
      <c r="FF15" s="6" t="s">
        <v>1717</v>
      </c>
      <c r="FG15" s="278">
        <v>1000</v>
      </c>
      <c r="FH15" s="60" t="s">
        <v>1586</v>
      </c>
      <c r="FJ15" s="350" t="s">
        <v>1821</v>
      </c>
      <c r="FK15" s="210">
        <v>35.32</v>
      </c>
      <c r="FL15" s="1" t="s">
        <v>1508</v>
      </c>
      <c r="FM15" s="276">
        <v>478</v>
      </c>
      <c r="FP15" s="249" t="s">
        <v>1842</v>
      </c>
      <c r="FQ15">
        <v>10000</v>
      </c>
      <c r="FR15" s="258" t="s">
        <v>1832</v>
      </c>
      <c r="FS15" s="258"/>
      <c r="FT15" s="257" t="s">
        <v>429</v>
      </c>
      <c r="FU15">
        <v>67</v>
      </c>
      <c r="FV15" s="249" t="s">
        <v>1913</v>
      </c>
      <c r="FW15">
        <f>10000+20000+30000</f>
        <v>60000</v>
      </c>
      <c r="FX15" s="66" t="s">
        <v>1419</v>
      </c>
      <c r="FY15" s="6">
        <v>0</v>
      </c>
      <c r="FZ15" t="s">
        <v>1615</v>
      </c>
      <c r="GB15" s="249" t="s">
        <v>1913</v>
      </c>
      <c r="GC15">
        <v>63477.54</v>
      </c>
      <c r="GD15" s="66" t="s">
        <v>1419</v>
      </c>
      <c r="GE15" s="6">
        <v>0</v>
      </c>
      <c r="GH15" s="249" t="s">
        <v>2028</v>
      </c>
      <c r="GJ15" s="66" t="s">
        <v>1900</v>
      </c>
      <c r="GK15">
        <v>268</v>
      </c>
      <c r="GL15" s="257" t="s">
        <v>429</v>
      </c>
      <c r="GM15">
        <v>114</v>
      </c>
      <c r="GN15" s="399" t="s">
        <v>2042</v>
      </c>
      <c r="GO15">
        <v>139.96</v>
      </c>
      <c r="GP15" s="66" t="s">
        <v>1900</v>
      </c>
      <c r="GQ15">
        <v>318</v>
      </c>
      <c r="GT15" s="355" t="s">
        <v>2081</v>
      </c>
      <c r="GU15">
        <v>35.1</v>
      </c>
      <c r="GV15" s="66" t="s">
        <v>1900</v>
      </c>
      <c r="GW15">
        <v>360</v>
      </c>
      <c r="GX15" t="s">
        <v>2120</v>
      </c>
      <c r="GY15">
        <v>40</v>
      </c>
      <c r="GZ15" s="399" t="s">
        <v>2119</v>
      </c>
      <c r="HA15">
        <v>1476</v>
      </c>
      <c r="HB15" s="66" t="s">
        <v>1905</v>
      </c>
      <c r="HC15">
        <v>2569</v>
      </c>
      <c r="HD15" t="s">
        <v>1806</v>
      </c>
      <c r="HE15" s="246"/>
      <c r="HF15" s="249" t="s">
        <v>2181</v>
      </c>
      <c r="HG15">
        <v>80</v>
      </c>
      <c r="HH15" s="66" t="s">
        <v>1900</v>
      </c>
      <c r="HI15">
        <v>357</v>
      </c>
      <c r="HJ15" s="423">
        <v>3179.26</v>
      </c>
      <c r="HK15" s="408" t="s">
        <v>2148</v>
      </c>
      <c r="HL15" s="349" t="s">
        <v>2195</v>
      </c>
      <c r="HM15">
        <f>9+10.96</f>
        <v>19.96</v>
      </c>
      <c r="HN15" s="66" t="s">
        <v>1905</v>
      </c>
      <c r="HO15">
        <v>111</v>
      </c>
      <c r="HP15" s="411"/>
      <c r="HQ15" s="408"/>
      <c r="HR15" s="349" t="s">
        <v>2183</v>
      </c>
      <c r="HS15">
        <v>132.94999999999999</v>
      </c>
      <c r="HT15" s="66" t="s">
        <v>1513</v>
      </c>
      <c r="HU15">
        <v>1573</v>
      </c>
      <c r="HV15" t="s">
        <v>2320</v>
      </c>
      <c r="HW15" s="52"/>
      <c r="HX15" s="249" t="s">
        <v>2327</v>
      </c>
      <c r="HY15" s="417">
        <f>HY16*5</f>
        <v>2104.9333333333334</v>
      </c>
      <c r="HZ15" s="66" t="s">
        <v>2315</v>
      </c>
      <c r="IA15" s="272">
        <v>442</v>
      </c>
      <c r="IB15" t="s">
        <v>2353</v>
      </c>
      <c r="IC15" s="534"/>
      <c r="ID15" s="555" t="s">
        <v>2398</v>
      </c>
      <c r="IE15" s="276">
        <v>4000</v>
      </c>
      <c r="IF15" s="66" t="s">
        <v>2345</v>
      </c>
      <c r="IG15" s="2">
        <f>12000+100000+33000</f>
        <v>145000</v>
      </c>
      <c r="IH15" t="s">
        <v>2438</v>
      </c>
      <c r="II15" s="534"/>
      <c r="IJ15" s="249" t="s">
        <v>2396</v>
      </c>
      <c r="IK15" s="417">
        <f>IK16*2</f>
        <v>1833.7466666666667</v>
      </c>
      <c r="IL15" s="66" t="s">
        <v>1905</v>
      </c>
      <c r="IM15" s="272">
        <v>450</v>
      </c>
      <c r="IN15" t="s">
        <v>2479</v>
      </c>
      <c r="IO15" s="534">
        <v>12.4</v>
      </c>
      <c r="IP15" s="349" t="s">
        <v>2362</v>
      </c>
      <c r="IQ15" s="577">
        <v>119.64</v>
      </c>
      <c r="IR15" s="258" t="s">
        <v>2477</v>
      </c>
      <c r="IS15" s="2">
        <f>100*(120+1000+330+310)</f>
        <v>176000</v>
      </c>
      <c r="IT15" s="623" t="s">
        <v>2656</v>
      </c>
      <c r="IU15" s="556">
        <v>43</v>
      </c>
      <c r="IV15" s="349" t="s">
        <v>2592</v>
      </c>
      <c r="IW15" s="61">
        <v>47.54</v>
      </c>
      <c r="IX15" s="532" t="s">
        <v>2494</v>
      </c>
      <c r="IY15" s="246">
        <v>65005</v>
      </c>
      <c r="IZ15" s="679" t="s">
        <v>2650</v>
      </c>
      <c r="JA15" s="534">
        <v>16.05</v>
      </c>
      <c r="JB15" s="349" t="s">
        <v>2672</v>
      </c>
      <c r="JC15" s="61">
        <v>110.79</v>
      </c>
      <c r="JD15" s="532" t="s">
        <v>2494</v>
      </c>
      <c r="JE15" s="246">
        <v>65005</v>
      </c>
      <c r="JF15" s="665"/>
    </row>
    <row r="16" spans="1:267" x14ac:dyDescent="0.2">
      <c r="A16" s="63" t="s">
        <v>129</v>
      </c>
      <c r="B16" s="64">
        <v>0</v>
      </c>
      <c r="E16" s="173"/>
      <c r="F16" s="173"/>
      <c r="G16" s="63" t="s">
        <v>129</v>
      </c>
      <c r="H16" s="64">
        <v>0</v>
      </c>
      <c r="K16" s="173"/>
      <c r="M16" s="1" t="s">
        <v>1000</v>
      </c>
      <c r="N16" s="84">
        <v>0</v>
      </c>
      <c r="Q16" s="195" t="s">
        <v>1056</v>
      </c>
      <c r="R16" s="145">
        <v>1000</v>
      </c>
      <c r="S16" s="1" t="s">
        <v>1000</v>
      </c>
      <c r="T16" s="84">
        <v>0</v>
      </c>
      <c r="W16" s="173"/>
      <c r="Y16" s="1" t="s">
        <v>1000</v>
      </c>
      <c r="Z16" s="84">
        <v>0</v>
      </c>
      <c r="AC16" s="248" t="s">
        <v>1033</v>
      </c>
      <c r="AD16" s="145">
        <v>0</v>
      </c>
      <c r="AE16" s="63" t="s">
        <v>1067</v>
      </c>
      <c r="AF16" s="64">
        <v>56.76</v>
      </c>
      <c r="AG16" s="108" t="s">
        <v>1109</v>
      </c>
      <c r="AH16">
        <v>0</v>
      </c>
      <c r="AI16" s="248" t="s">
        <v>1033</v>
      </c>
      <c r="AJ16" s="208">
        <v>0</v>
      </c>
      <c r="AK16" s="63" t="s">
        <v>1067</v>
      </c>
      <c r="AL16" s="64">
        <v>46</v>
      </c>
      <c r="AM16" t="s">
        <v>1149</v>
      </c>
      <c r="AN16">
        <v>54</v>
      </c>
      <c r="AO16" s="195" t="s">
        <v>1130</v>
      </c>
      <c r="AP16" s="145">
        <v>1000</v>
      </c>
      <c r="AQ16" s="63" t="s">
        <v>1067</v>
      </c>
      <c r="AR16" s="64">
        <v>46.47</v>
      </c>
      <c r="AS16" t="s">
        <v>1068</v>
      </c>
      <c r="AT16" t="s">
        <v>692</v>
      </c>
      <c r="AU16" s="195" t="s">
        <v>1165</v>
      </c>
      <c r="AV16" s="145">
        <v>500</v>
      </c>
      <c r="AW16" s="63" t="s">
        <v>1067</v>
      </c>
      <c r="AX16" s="64">
        <v>46.47</v>
      </c>
      <c r="AY16" s="195"/>
      <c r="BA16" s="63" t="s">
        <v>1067</v>
      </c>
      <c r="BB16" s="64">
        <f t="shared" si="0"/>
        <v>46.47</v>
      </c>
      <c r="BC16" t="s">
        <v>1068</v>
      </c>
      <c r="BD16" t="s">
        <v>692</v>
      </c>
      <c r="BE16" s="195" t="s">
        <v>1199</v>
      </c>
      <c r="BF16" s="208">
        <v>100</v>
      </c>
      <c r="BG16" s="63" t="s">
        <v>1067</v>
      </c>
      <c r="BH16" s="64">
        <v>46.47</v>
      </c>
      <c r="BI16" s="9" t="s">
        <v>1119</v>
      </c>
      <c r="BJ16" s="6" t="s">
        <v>692</v>
      </c>
      <c r="BK16" s="267"/>
      <c r="BM16" s="63" t="s">
        <v>1067</v>
      </c>
      <c r="BN16" s="64">
        <v>46.47</v>
      </c>
      <c r="BO16" s="9" t="s">
        <v>1119</v>
      </c>
      <c r="BP16" s="6" t="s">
        <v>692</v>
      </c>
      <c r="BQ16" s="267"/>
      <c r="BS16" s="63" t="s">
        <v>1067</v>
      </c>
      <c r="BT16" s="231">
        <v>27</v>
      </c>
      <c r="BW16" s="267"/>
      <c r="BY16" s="63" t="s">
        <v>1211</v>
      </c>
      <c r="BZ16" s="64">
        <v>17.001000000000001</v>
      </c>
      <c r="CA16" s="6" t="s">
        <v>1242</v>
      </c>
      <c r="CB16" s="6">
        <v>7</v>
      </c>
      <c r="CC16" s="267"/>
      <c r="CE16" s="63" t="s">
        <v>1211</v>
      </c>
      <c r="CF16" s="64">
        <v>17.001000000000001</v>
      </c>
      <c r="CH16" s="6">
        <v>22.3</v>
      </c>
      <c r="CI16" s="267" t="s">
        <v>313</v>
      </c>
      <c r="CJ16" s="208"/>
      <c r="CK16" t="s">
        <v>429</v>
      </c>
      <c r="CL16" s="78" t="s">
        <v>692</v>
      </c>
      <c r="CM16" s="78" t="s">
        <v>1336</v>
      </c>
      <c r="CN16" s="6"/>
      <c r="CO16" s="267"/>
      <c r="CQ16" s="63" t="s">
        <v>1211</v>
      </c>
      <c r="CR16" s="64">
        <v>15.87</v>
      </c>
      <c r="CS16" s="78" t="s">
        <v>1352</v>
      </c>
      <c r="CT16" s="6">
        <v>150</v>
      </c>
      <c r="CU16" s="293" t="s">
        <v>313</v>
      </c>
      <c r="CV16" s="208" t="s">
        <v>692</v>
      </c>
      <c r="CW16" s="63" t="s">
        <v>1211</v>
      </c>
      <c r="CX16" s="64">
        <v>15.87</v>
      </c>
      <c r="CY16" s="9" t="s">
        <v>1068</v>
      </c>
      <c r="CZ16" s="6"/>
      <c r="DA16" s="301" t="s">
        <v>1332</v>
      </c>
      <c r="DB16" s="221">
        <f>24+2.1+4</f>
        <v>30.1</v>
      </c>
      <c r="DC16" s="63" t="s">
        <v>129</v>
      </c>
      <c r="DD16" s="64" t="s">
        <v>692</v>
      </c>
      <c r="DE16" s="6"/>
      <c r="DF16" s="6"/>
      <c r="DG16" s="301" t="s">
        <v>1460</v>
      </c>
      <c r="DH16" s="283">
        <v>100</v>
      </c>
      <c r="DI16" s="63" t="s">
        <v>1211</v>
      </c>
      <c r="DJ16" s="64">
        <v>2.54</v>
      </c>
      <c r="DM16" s="301" t="s">
        <v>1525</v>
      </c>
      <c r="DN16" s="306">
        <v>10001</v>
      </c>
      <c r="DO16" s="63" t="s">
        <v>1508</v>
      </c>
      <c r="DP16" s="231">
        <v>1595</v>
      </c>
      <c r="DS16" s="301" t="s">
        <v>1539</v>
      </c>
      <c r="DT16" s="283">
        <v>100</v>
      </c>
      <c r="DU16" s="63" t="s">
        <v>1575</v>
      </c>
      <c r="DV16" s="274">
        <v>10000</v>
      </c>
      <c r="DW16" t="s">
        <v>1585</v>
      </c>
      <c r="DY16" s="248" t="s">
        <v>1669</v>
      </c>
      <c r="DZ16">
        <v>63.38</v>
      </c>
      <c r="EA16" s="63" t="s">
        <v>1576</v>
      </c>
      <c r="EB16" s="274">
        <v>10000</v>
      </c>
      <c r="EC16" t="s">
        <v>1625</v>
      </c>
      <c r="ED16">
        <v>14.65</v>
      </c>
      <c r="EE16" s="248" t="s">
        <v>1669</v>
      </c>
      <c r="EF16">
        <v>112.09</v>
      </c>
      <c r="EG16" s="210"/>
      <c r="EH16" s="1" t="s">
        <v>1507</v>
      </c>
      <c r="EI16" s="276">
        <v>10000</v>
      </c>
      <c r="EJ16" t="s">
        <v>1585</v>
      </c>
      <c r="EL16" s="350" t="s">
        <v>1657</v>
      </c>
      <c r="EM16" s="210">
        <f>17.77+10.35</f>
        <v>28.119999999999997</v>
      </c>
      <c r="EN16" s="1" t="s">
        <v>1575</v>
      </c>
      <c r="EO16" s="276">
        <v>20000</v>
      </c>
      <c r="EP16" s="60" t="s">
        <v>1586</v>
      </c>
      <c r="ER16" s="350" t="s">
        <v>1034</v>
      </c>
      <c r="ES16" s="361">
        <f>936.25+797.15</f>
        <v>1733.4</v>
      </c>
      <c r="ET16" s="1" t="s">
        <v>1712</v>
      </c>
      <c r="EU16" s="276">
        <v>12000</v>
      </c>
      <c r="EX16" s="349" t="s">
        <v>1344</v>
      </c>
      <c r="EY16">
        <v>125.36</v>
      </c>
      <c r="EZ16" s="6" t="s">
        <v>1746</v>
      </c>
      <c r="FA16" s="278" t="s">
        <v>1923</v>
      </c>
      <c r="FD16" s="350" t="s">
        <v>1034</v>
      </c>
      <c r="FE16" s="210">
        <f>797+936</f>
        <v>1733</v>
      </c>
      <c r="FF16" s="6" t="s">
        <v>1746</v>
      </c>
      <c r="FG16" s="278" t="s">
        <v>1923</v>
      </c>
      <c r="FH16" s="60" t="s">
        <v>1818</v>
      </c>
      <c r="FI16">
        <f>1.86+5.79</f>
        <v>7.65</v>
      </c>
      <c r="FJ16" s="349" t="s">
        <v>1797</v>
      </c>
      <c r="FK16">
        <v>102.91</v>
      </c>
      <c r="FL16" s="1" t="s">
        <v>1708</v>
      </c>
      <c r="FM16" s="276">
        <v>3000</v>
      </c>
      <c r="FN16" t="s">
        <v>1585</v>
      </c>
      <c r="FP16" s="366" t="s">
        <v>1608</v>
      </c>
      <c r="FQ16" t="s">
        <v>692</v>
      </c>
      <c r="FR16" s="1" t="s">
        <v>1508</v>
      </c>
      <c r="FS16" s="276">
        <v>424</v>
      </c>
      <c r="FT16" t="s">
        <v>1806</v>
      </c>
      <c r="FV16" s="249" t="s">
        <v>1842</v>
      </c>
      <c r="FW16">
        <v>5300</v>
      </c>
      <c r="FX16" s="1" t="s">
        <v>1632</v>
      </c>
      <c r="FY16">
        <v>120</v>
      </c>
      <c r="FZ16" s="257" t="s">
        <v>429</v>
      </c>
      <c r="GA16">
        <v>161.63999999999999</v>
      </c>
      <c r="GB16" s="366" t="s">
        <v>1982</v>
      </c>
      <c r="GC16">
        <v>378.81</v>
      </c>
      <c r="GD16" s="1" t="s">
        <v>1632</v>
      </c>
      <c r="GE16">
        <v>130</v>
      </c>
      <c r="GF16" t="s">
        <v>1615</v>
      </c>
      <c r="GH16" s="366" t="s">
        <v>1985</v>
      </c>
      <c r="GI16">
        <v>2454.0500000000002</v>
      </c>
      <c r="GJ16" s="66" t="s">
        <v>1419</v>
      </c>
      <c r="GK16" s="6">
        <v>0</v>
      </c>
      <c r="GN16" s="399" t="s">
        <v>2041</v>
      </c>
      <c r="GO16">
        <v>324.7</v>
      </c>
      <c r="GP16" s="66" t="s">
        <v>1419</v>
      </c>
      <c r="GQ16" s="6">
        <v>0</v>
      </c>
      <c r="GR16" t="s">
        <v>1615</v>
      </c>
      <c r="GT16" s="249" t="s">
        <v>2065</v>
      </c>
      <c r="GU16">
        <f>84250</f>
        <v>84250</v>
      </c>
      <c r="GV16" s="1" t="s">
        <v>1632</v>
      </c>
      <c r="GW16">
        <v>174</v>
      </c>
      <c r="GZ16" s="350" t="s">
        <v>2105</v>
      </c>
      <c r="HA16">
        <f>10+10+120*2</f>
        <v>260</v>
      </c>
      <c r="HB16" s="66" t="s">
        <v>1900</v>
      </c>
      <c r="HC16">
        <v>402</v>
      </c>
      <c r="HE16" s="246"/>
      <c r="HF16" s="249" t="s">
        <v>2079</v>
      </c>
      <c r="HG16" s="417">
        <f>HG20*5</f>
        <v>2104.9333333333334</v>
      </c>
      <c r="HH16" s="1" t="s">
        <v>1632</v>
      </c>
      <c r="HI16">
        <v>90</v>
      </c>
      <c r="HJ16" s="424">
        <v>-114.61</v>
      </c>
      <c r="HK16" t="s">
        <v>2154</v>
      </c>
      <c r="HL16" s="349" t="s">
        <v>2215</v>
      </c>
      <c r="HM16">
        <v>32</v>
      </c>
      <c r="HN16" s="66" t="s">
        <v>1900</v>
      </c>
      <c r="HO16">
        <v>407</v>
      </c>
      <c r="HP16" s="205"/>
      <c r="HR16" s="349" t="s">
        <v>2184</v>
      </c>
      <c r="HS16">
        <v>161.36000000000001</v>
      </c>
      <c r="HT16" s="66" t="s">
        <v>1514</v>
      </c>
      <c r="HU16">
        <v>0</v>
      </c>
      <c r="HV16" s="411" t="s">
        <v>2316</v>
      </c>
      <c r="HW16" s="531">
        <f>18.8+37.6</f>
        <v>56.400000000000006</v>
      </c>
      <c r="HX16" s="349" t="s">
        <v>2078</v>
      </c>
      <c r="HY16" s="417">
        <f>2525.92/6</f>
        <v>420.98666666666668</v>
      </c>
      <c r="HZ16" s="66" t="s">
        <v>1905</v>
      </c>
      <c r="IA16">
        <v>606</v>
      </c>
      <c r="IB16" s="539" t="s">
        <v>2346</v>
      </c>
      <c r="IC16" s="540">
        <f>208.9*2</f>
        <v>417.8</v>
      </c>
      <c r="ID16" s="249" t="s">
        <v>2265</v>
      </c>
      <c r="IE16">
        <v>100</v>
      </c>
      <c r="IF16" s="66" t="s">
        <v>2344</v>
      </c>
      <c r="IG16">
        <f>10500+2</f>
        <v>10502</v>
      </c>
      <c r="IH16" t="s">
        <v>2171</v>
      </c>
      <c r="II16" s="534">
        <f>1.64+37.8</f>
        <v>39.44</v>
      </c>
      <c r="IJ16" s="349" t="s">
        <v>2078</v>
      </c>
      <c r="IK16" s="417">
        <f>2750.62/3</f>
        <v>916.87333333333333</v>
      </c>
      <c r="IL16" s="66" t="s">
        <v>1900</v>
      </c>
      <c r="IM16" s="2">
        <v>102</v>
      </c>
      <c r="IN16" s="574" t="s">
        <v>1806</v>
      </c>
      <c r="IO16" s="534">
        <v>1.55</v>
      </c>
      <c r="IP16" s="349" t="s">
        <v>1202</v>
      </c>
      <c r="IQ16" s="61">
        <f>15+6.5</f>
        <v>21.5</v>
      </c>
      <c r="IR16" s="66" t="s">
        <v>2439</v>
      </c>
      <c r="IS16">
        <f>10502+14002</f>
        <v>24504</v>
      </c>
      <c r="IT16" s="623" t="s">
        <v>2585</v>
      </c>
      <c r="IU16" s="534">
        <v>7.57</v>
      </c>
      <c r="IV16" s="349" t="s">
        <v>2183</v>
      </c>
      <c r="IW16" s="623">
        <f>30+59.31</f>
        <v>89.31</v>
      </c>
      <c r="IX16" s="626" t="s">
        <v>2582</v>
      </c>
      <c r="IY16" s="664">
        <v>4175</v>
      </c>
      <c r="IZ16" s="707"/>
      <c r="JA16" s="707"/>
      <c r="JB16" s="349" t="s">
        <v>2743</v>
      </c>
      <c r="JC16" s="679">
        <v>30</v>
      </c>
      <c r="JD16" s="683" t="s">
        <v>2582</v>
      </c>
      <c r="JE16" s="664">
        <v>5117</v>
      </c>
      <c r="JF16" s="665">
        <v>44986</v>
      </c>
    </row>
    <row r="17" spans="1:266" ht="12" customHeight="1" x14ac:dyDescent="0.2">
      <c r="A17" s="63" t="s">
        <v>350</v>
      </c>
      <c r="B17" s="64">
        <v>0</v>
      </c>
      <c r="E17" s="169" t="s">
        <v>477</v>
      </c>
      <c r="F17" s="169"/>
      <c r="G17" s="63" t="s">
        <v>350</v>
      </c>
      <c r="H17" s="64">
        <v>0</v>
      </c>
      <c r="K17" s="169" t="s">
        <v>1029</v>
      </c>
      <c r="M17" t="s">
        <v>429</v>
      </c>
      <c r="N17" s="61">
        <v>0</v>
      </c>
      <c r="Q17" s="195" t="s">
        <v>1055</v>
      </c>
      <c r="R17" s="145">
        <v>200</v>
      </c>
      <c r="S17" t="s">
        <v>429</v>
      </c>
      <c r="T17" s="61">
        <v>0</v>
      </c>
      <c r="U17" t="s">
        <v>1068</v>
      </c>
      <c r="W17" s="169" t="s">
        <v>437</v>
      </c>
      <c r="Y17" t="s">
        <v>429</v>
      </c>
      <c r="Z17" s="61">
        <v>0</v>
      </c>
      <c r="AA17" t="s">
        <v>1068</v>
      </c>
      <c r="AC17" s="248" t="s">
        <v>1026</v>
      </c>
      <c r="AD17" s="145">
        <v>0</v>
      </c>
      <c r="AE17" s="63" t="s">
        <v>1084</v>
      </c>
      <c r="AF17" s="64">
        <v>115.37</v>
      </c>
      <c r="AI17" s="248" t="s">
        <v>1026</v>
      </c>
      <c r="AJ17" s="208">
        <v>0</v>
      </c>
      <c r="AK17" s="63" t="s">
        <v>1084</v>
      </c>
      <c r="AL17" s="64">
        <v>115.001</v>
      </c>
      <c r="AO17" s="195" t="s">
        <v>1182</v>
      </c>
      <c r="AP17" s="208">
        <v>100</v>
      </c>
      <c r="AQ17" s="63" t="s">
        <v>1144</v>
      </c>
      <c r="AR17" s="64">
        <v>19</v>
      </c>
      <c r="AS17" s="108"/>
      <c r="AU17" s="195" t="s">
        <v>1166</v>
      </c>
      <c r="AV17" s="145">
        <v>100</v>
      </c>
      <c r="AW17" s="63" t="s">
        <v>1144</v>
      </c>
      <c r="AX17" s="64">
        <v>19.001000000000001</v>
      </c>
      <c r="AY17" s="195"/>
      <c r="BA17" s="63" t="s">
        <v>1144</v>
      </c>
      <c r="BB17" s="64">
        <f t="shared" si="0"/>
        <v>19.001000000000001</v>
      </c>
      <c r="BC17" t="s">
        <v>1119</v>
      </c>
      <c r="BD17" t="s">
        <v>692</v>
      </c>
      <c r="BE17" s="169" t="s">
        <v>2002</v>
      </c>
      <c r="BF17" s="208">
        <v>420</v>
      </c>
      <c r="BG17" s="63" t="s">
        <v>1211</v>
      </c>
      <c r="BH17" s="64">
        <v>17.37</v>
      </c>
      <c r="BK17" s="268" t="s">
        <v>2003</v>
      </c>
      <c r="BL17" s="208">
        <v>459</v>
      </c>
      <c r="BM17" s="63" t="s">
        <v>1211</v>
      </c>
      <c r="BN17" s="64">
        <v>17.37</v>
      </c>
      <c r="BQ17" s="268" t="s">
        <v>477</v>
      </c>
      <c r="BR17" s="208" t="s">
        <v>692</v>
      </c>
      <c r="BS17" s="63" t="s">
        <v>1211</v>
      </c>
      <c r="BT17" s="64">
        <v>17.37</v>
      </c>
      <c r="BU17" s="9" t="s">
        <v>1068</v>
      </c>
      <c r="BV17" s="6" t="s">
        <v>692</v>
      </c>
      <c r="BW17" s="268" t="s">
        <v>1260</v>
      </c>
      <c r="BX17" s="208">
        <v>1476</v>
      </c>
      <c r="BY17" t="s">
        <v>429</v>
      </c>
      <c r="BZ17" s="78">
        <v>0</v>
      </c>
      <c r="CC17" s="268" t="s">
        <v>477</v>
      </c>
      <c r="CD17" s="208" t="s">
        <v>692</v>
      </c>
      <c r="CE17" t="s">
        <v>429</v>
      </c>
      <c r="CF17" s="78">
        <v>0</v>
      </c>
      <c r="CG17" s="9" t="s">
        <v>1068</v>
      </c>
      <c r="CH17" s="6" t="s">
        <v>692</v>
      </c>
      <c r="CI17" s="267" t="s">
        <v>1326</v>
      </c>
      <c r="CJ17" s="221">
        <v>100</v>
      </c>
      <c r="CK17" s="63" t="s">
        <v>1175</v>
      </c>
      <c r="CL17" s="64"/>
      <c r="CM17" s="9" t="s">
        <v>1068</v>
      </c>
      <c r="CN17" s="6" t="s">
        <v>692</v>
      </c>
      <c r="CO17" s="268" t="s">
        <v>477</v>
      </c>
      <c r="CP17" s="208" t="s">
        <v>692</v>
      </c>
      <c r="CQ17" t="s">
        <v>429</v>
      </c>
      <c r="CR17" s="78" t="s">
        <v>692</v>
      </c>
      <c r="CS17" s="78" t="s">
        <v>1350</v>
      </c>
      <c r="CT17" s="9">
        <v>9.75</v>
      </c>
      <c r="CU17" s="268" t="s">
        <v>477</v>
      </c>
      <c r="CV17" s="221" t="s">
        <v>692</v>
      </c>
      <c r="CW17" s="251" t="s">
        <v>1065</v>
      </c>
      <c r="CX17" s="70">
        <v>100.01</v>
      </c>
      <c r="CY17" s="78" t="s">
        <v>1324</v>
      </c>
      <c r="DA17" s="300" t="s">
        <v>1385</v>
      </c>
      <c r="DB17" s="221">
        <v>288.75</v>
      </c>
      <c r="DC17" s="63" t="s">
        <v>1211</v>
      </c>
      <c r="DD17" s="64">
        <v>14.37</v>
      </c>
      <c r="DE17" s="6" t="s">
        <v>584</v>
      </c>
      <c r="DG17" s="301" t="s">
        <v>1461</v>
      </c>
      <c r="DH17" s="283">
        <v>100</v>
      </c>
      <c r="DI17" s="251" t="s">
        <v>1065</v>
      </c>
      <c r="DJ17" s="70">
        <v>100.001</v>
      </c>
      <c r="DM17" s="301" t="s">
        <v>1009</v>
      </c>
      <c r="DN17" s="306">
        <f>1800.02+1800.03</f>
        <v>3600.05</v>
      </c>
      <c r="DO17" s="63" t="s">
        <v>1507</v>
      </c>
      <c r="DP17" s="274">
        <f>10000+10000</f>
        <v>20000</v>
      </c>
      <c r="DS17" s="301" t="s">
        <v>1009</v>
      </c>
      <c r="DT17" s="306">
        <v>1800.04</v>
      </c>
      <c r="DU17" s="63" t="s">
        <v>1576</v>
      </c>
      <c r="DV17" s="274">
        <v>10000</v>
      </c>
      <c r="DW17" t="s">
        <v>1584</v>
      </c>
      <c r="DX17">
        <v>32.1</v>
      </c>
      <c r="DY17" s="248" t="s">
        <v>1442</v>
      </c>
      <c r="DZ17">
        <v>64.88</v>
      </c>
      <c r="EA17" s="63" t="s">
        <v>1507</v>
      </c>
      <c r="EB17" s="274">
        <v>10000</v>
      </c>
      <c r="EE17" s="248" t="s">
        <v>1442</v>
      </c>
      <c r="EF17">
        <v>56.99</v>
      </c>
      <c r="EH17" s="1" t="s">
        <v>1506</v>
      </c>
      <c r="EI17" s="276">
        <v>40000</v>
      </c>
      <c r="EJ17" t="s">
        <v>1202</v>
      </c>
      <c r="EK17">
        <v>19.5</v>
      </c>
      <c r="EL17" s="248" t="s">
        <v>1344</v>
      </c>
      <c r="EM17" t="s">
        <v>1685</v>
      </c>
      <c r="EN17" s="1" t="s">
        <v>1576</v>
      </c>
      <c r="EO17" s="276">
        <v>10000</v>
      </c>
      <c r="EP17" s="6" t="s">
        <v>1506</v>
      </c>
      <c r="EQ17">
        <v>54.94</v>
      </c>
      <c r="ER17" s="349" t="s">
        <v>1344</v>
      </c>
      <c r="ES17" s="145">
        <v>88.98</v>
      </c>
      <c r="ET17" s="1" t="s">
        <v>1716</v>
      </c>
      <c r="EU17" s="276">
        <v>25000</v>
      </c>
      <c r="EX17" s="349" t="s">
        <v>1662</v>
      </c>
      <c r="EY17">
        <v>77.72</v>
      </c>
      <c r="EZ17" s="1" t="s">
        <v>1712</v>
      </c>
      <c r="FA17" s="276">
        <v>4000</v>
      </c>
      <c r="FB17" t="s">
        <v>1774</v>
      </c>
      <c r="FD17" s="349" t="s">
        <v>1344</v>
      </c>
      <c r="FE17">
        <v>50.06</v>
      </c>
      <c r="FF17" s="1" t="s">
        <v>1712</v>
      </c>
      <c r="FG17" s="276">
        <v>4000</v>
      </c>
      <c r="FH17" s="60" t="s">
        <v>1711</v>
      </c>
      <c r="FI17">
        <f>15053.39-15000</f>
        <v>53.389999999999418</v>
      </c>
      <c r="FJ17" s="349" t="s">
        <v>1662</v>
      </c>
      <c r="FK17">
        <v>67.08</v>
      </c>
      <c r="FL17" s="6" t="s">
        <v>1717</v>
      </c>
      <c r="FM17" s="278">
        <v>1000</v>
      </c>
      <c r="FN17" t="s">
        <v>1828</v>
      </c>
      <c r="FO17">
        <v>2730</v>
      </c>
      <c r="FP17" s="350" t="s">
        <v>1839</v>
      </c>
      <c r="FQ17">
        <f>143.5+188.4-28</f>
        <v>303.89999999999998</v>
      </c>
      <c r="FR17" s="1" t="s">
        <v>1708</v>
      </c>
      <c r="FS17" s="276">
        <v>3000</v>
      </c>
      <c r="FT17" t="s">
        <v>1585</v>
      </c>
      <c r="FV17" s="366" t="s">
        <v>1914</v>
      </c>
      <c r="FW17">
        <v>3779.24</v>
      </c>
      <c r="FX17" s="258" t="s">
        <v>1952</v>
      </c>
      <c r="FZ17" t="s">
        <v>1806</v>
      </c>
      <c r="GA17">
        <v>13.32</v>
      </c>
      <c r="GB17" s="366" t="s">
        <v>1976</v>
      </c>
      <c r="GC17">
        <v>134</v>
      </c>
      <c r="GD17" s="258" t="s">
        <v>1952</v>
      </c>
      <c r="GF17" s="257" t="s">
        <v>429</v>
      </c>
      <c r="GG17">
        <v>130.44999999999999</v>
      </c>
      <c r="GH17" s="399" t="s">
        <v>1527</v>
      </c>
      <c r="GI17">
        <v>350</v>
      </c>
      <c r="GJ17" s="1" t="s">
        <v>1632</v>
      </c>
      <c r="GK17">
        <v>160</v>
      </c>
      <c r="GL17" t="s">
        <v>1585</v>
      </c>
      <c r="GM17" s="246"/>
      <c r="GN17" s="350" t="s">
        <v>1793</v>
      </c>
      <c r="GO17">
        <v>29.25</v>
      </c>
      <c r="GP17" s="1" t="s">
        <v>1632</v>
      </c>
      <c r="GQ17">
        <v>156</v>
      </c>
      <c r="GR17" s="257" t="s">
        <v>429</v>
      </c>
      <c r="GS17">
        <v>141.44999999999999</v>
      </c>
      <c r="GT17" s="249" t="s">
        <v>2064</v>
      </c>
      <c r="GU17">
        <v>5</v>
      </c>
      <c r="GV17" s="258" t="s">
        <v>2058</v>
      </c>
      <c r="GY17" s="246"/>
      <c r="GZ17" s="350" t="s">
        <v>1034</v>
      </c>
      <c r="HA17">
        <v>1867.15</v>
      </c>
      <c r="HB17" s="1" t="s">
        <v>1632</v>
      </c>
      <c r="HC17">
        <v>90</v>
      </c>
      <c r="HD17" t="s">
        <v>1585</v>
      </c>
      <c r="HF17" s="399" t="s">
        <v>2142</v>
      </c>
      <c r="HG17">
        <v>48.24</v>
      </c>
      <c r="HH17" s="258" t="s">
        <v>2058</v>
      </c>
      <c r="HJ17" s="423">
        <v>258.44</v>
      </c>
      <c r="HK17" s="408" t="s">
        <v>2146</v>
      </c>
      <c r="HL17" s="349" t="s">
        <v>1992</v>
      </c>
      <c r="HM17">
        <f>HK7</f>
        <v>30.001000000000001</v>
      </c>
      <c r="HN17" s="66" t="s">
        <v>2210</v>
      </c>
      <c r="HO17">
        <v>89</v>
      </c>
      <c r="HP17" s="411"/>
      <c r="HQ17" s="408"/>
      <c r="HR17" s="349" t="s">
        <v>1823</v>
      </c>
      <c r="HS17">
        <v>113.11</v>
      </c>
      <c r="HT17" s="66" t="s">
        <v>1905</v>
      </c>
      <c r="HU17">
        <v>659</v>
      </c>
      <c r="HV17" s="205" t="s">
        <v>2317</v>
      </c>
      <c r="HW17" s="52">
        <v>37.6</v>
      </c>
      <c r="HX17" s="349" t="s">
        <v>1957</v>
      </c>
      <c r="HY17" s="417">
        <v>177.48</v>
      </c>
      <c r="HZ17" s="66" t="s">
        <v>1900</v>
      </c>
      <c r="IA17">
        <v>311</v>
      </c>
      <c r="IB17" s="541" t="s">
        <v>2350</v>
      </c>
      <c r="IC17" s="542">
        <v>835.6</v>
      </c>
      <c r="ID17" s="249" t="s">
        <v>2396</v>
      </c>
      <c r="IE17" s="417">
        <f>IE18*2</f>
        <v>1833.7466666666667</v>
      </c>
      <c r="IF17" s="66" t="s">
        <v>2380</v>
      </c>
      <c r="IG17" s="2" t="s">
        <v>692</v>
      </c>
      <c r="IH17" t="s">
        <v>1806</v>
      </c>
      <c r="II17" s="535">
        <v>1.67</v>
      </c>
      <c r="IJ17" s="349" t="s">
        <v>1957</v>
      </c>
      <c r="IK17" s="417" t="s">
        <v>2463</v>
      </c>
      <c r="IL17" s="66" t="s">
        <v>2210</v>
      </c>
      <c r="IM17" s="2">
        <v>4000</v>
      </c>
      <c r="IN17" t="s">
        <v>2491</v>
      </c>
      <c r="IO17" s="535">
        <f>149.59*2</f>
        <v>299.18</v>
      </c>
      <c r="IP17" s="349" t="s">
        <v>2195</v>
      </c>
      <c r="IQ17" s="61">
        <v>18</v>
      </c>
      <c r="IR17" s="532" t="s">
        <v>2494</v>
      </c>
      <c r="IS17" s="246">
        <v>65005</v>
      </c>
      <c r="IT17" s="623" t="s">
        <v>2676</v>
      </c>
      <c r="IU17" s="623">
        <v>13.86</v>
      </c>
      <c r="IV17" s="349" t="s">
        <v>2683</v>
      </c>
      <c r="IW17" s="577">
        <v>110.02</v>
      </c>
      <c r="IX17" s="677" t="s">
        <v>2678</v>
      </c>
      <c r="IY17" s="272">
        <v>10</v>
      </c>
      <c r="IZ17" s="411"/>
      <c r="JA17" s="552"/>
      <c r="JB17" s="349" t="s">
        <v>2680</v>
      </c>
      <c r="JC17" s="577" t="s">
        <v>2682</v>
      </c>
      <c r="JD17" s="706" t="s">
        <v>2722</v>
      </c>
      <c r="JE17" s="272">
        <v>0</v>
      </c>
      <c r="JF17" s="665">
        <v>44987</v>
      </c>
    </row>
    <row r="18" spans="1:266" ht="12.75" customHeight="1" x14ac:dyDescent="0.2">
      <c r="A18" s="1" t="s">
        <v>1000</v>
      </c>
      <c r="B18" s="84">
        <v>0</v>
      </c>
      <c r="E18" s="169" t="s">
        <v>437</v>
      </c>
      <c r="F18" s="169"/>
      <c r="G18" s="1" t="s">
        <v>1000</v>
      </c>
      <c r="H18" s="84">
        <v>0</v>
      </c>
      <c r="K18" s="169" t="s">
        <v>437</v>
      </c>
      <c r="M18" s="63" t="s">
        <v>1002</v>
      </c>
      <c r="N18" s="64"/>
      <c r="S18" s="63" t="s">
        <v>1002</v>
      </c>
      <c r="T18" s="64"/>
      <c r="U18" t="s">
        <v>1069</v>
      </c>
      <c r="V18">
        <v>100</v>
      </c>
      <c r="W18" s="169" t="s">
        <v>371</v>
      </c>
      <c r="X18" s="145">
        <v>288.75</v>
      </c>
      <c r="Y18" s="63" t="s">
        <v>1002</v>
      </c>
      <c r="Z18" s="64"/>
      <c r="AA18" t="s">
        <v>1069</v>
      </c>
      <c r="AB18">
        <v>0</v>
      </c>
      <c r="AC18" s="248" t="s">
        <v>1034</v>
      </c>
      <c r="AD18" s="208">
        <v>0</v>
      </c>
      <c r="AE18" t="s">
        <v>429</v>
      </c>
      <c r="AF18" s="61">
        <v>0</v>
      </c>
      <c r="AI18" s="248" t="s">
        <v>1034</v>
      </c>
      <c r="AJ18" s="208">
        <v>0</v>
      </c>
      <c r="AK18" t="s">
        <v>429</v>
      </c>
      <c r="AL18" s="61">
        <v>0</v>
      </c>
      <c r="AO18" s="169" t="s">
        <v>1145</v>
      </c>
      <c r="AP18" s="208">
        <v>2354.0500000000002</v>
      </c>
      <c r="AQ18" t="s">
        <v>429</v>
      </c>
      <c r="AR18" s="78">
        <v>0</v>
      </c>
      <c r="AU18" s="195" t="s">
        <v>1181</v>
      </c>
      <c r="AV18" s="208">
        <v>100</v>
      </c>
      <c r="AW18" t="s">
        <v>429</v>
      </c>
      <c r="AX18" s="78">
        <v>0</v>
      </c>
      <c r="AY18" s="195"/>
      <c r="AZ18" s="208"/>
      <c r="BA18" t="s">
        <v>429</v>
      </c>
      <c r="BB18" s="64">
        <f t="shared" si="0"/>
        <v>0</v>
      </c>
      <c r="BE18" s="169" t="s">
        <v>1170</v>
      </c>
      <c r="BF18" s="208"/>
      <c r="BG18" t="s">
        <v>429</v>
      </c>
      <c r="BH18" s="78">
        <v>0</v>
      </c>
      <c r="BK18" s="268"/>
      <c r="BL18" s="208"/>
      <c r="BM18" t="s">
        <v>429</v>
      </c>
      <c r="BN18" s="78">
        <v>0</v>
      </c>
      <c r="BO18" s="6" t="s">
        <v>1273</v>
      </c>
      <c r="BQ18" s="268"/>
      <c r="BR18" s="208"/>
      <c r="BS18" t="s">
        <v>429</v>
      </c>
      <c r="BT18" s="278">
        <v>0</v>
      </c>
      <c r="BU18" s="9" t="s">
        <v>1119</v>
      </c>
      <c r="BV18" s="6" t="s">
        <v>692</v>
      </c>
      <c r="BW18" s="268"/>
      <c r="BX18" s="208"/>
      <c r="BY18" s="63" t="s">
        <v>1175</v>
      </c>
      <c r="BZ18" s="64"/>
      <c r="CA18" s="9" t="s">
        <v>1068</v>
      </c>
      <c r="CB18" s="6" t="s">
        <v>692</v>
      </c>
      <c r="CC18" s="268"/>
      <c r="CD18" s="208"/>
      <c r="CE18" s="63" t="s">
        <v>1175</v>
      </c>
      <c r="CF18" s="64"/>
      <c r="CH18" s="221"/>
      <c r="CI18" s="268" t="s">
        <v>477</v>
      </c>
      <c r="CJ18" s="208"/>
      <c r="CK18" s="63" t="s">
        <v>1085</v>
      </c>
      <c r="CL18" s="64">
        <v>5920</v>
      </c>
      <c r="CN18" s="221"/>
      <c r="CO18" s="268"/>
      <c r="CP18" s="208"/>
      <c r="CQ18" s="63" t="s">
        <v>1175</v>
      </c>
      <c r="CR18" s="64"/>
      <c r="CU18" s="269" t="s">
        <v>1357</v>
      </c>
      <c r="CV18" s="221">
        <v>615.20000000000005</v>
      </c>
      <c r="CW18" s="63" t="s">
        <v>1175</v>
      </c>
      <c r="CX18" s="64"/>
      <c r="CY18" s="78" t="s">
        <v>1406</v>
      </c>
      <c r="CZ18" s="9">
        <v>14</v>
      </c>
      <c r="DA18" s="297" t="s">
        <v>1384</v>
      </c>
      <c r="DB18" s="221">
        <v>1316.1</v>
      </c>
      <c r="DC18" s="251" t="s">
        <v>1065</v>
      </c>
      <c r="DD18" s="70">
        <v>150</v>
      </c>
      <c r="DE18" s="78" t="s">
        <v>1451</v>
      </c>
      <c r="DF18" s="6">
        <v>19.8</v>
      </c>
      <c r="DG18" s="301" t="s">
        <v>1491</v>
      </c>
      <c r="DH18" s="283">
        <v>132.93</v>
      </c>
      <c r="DI18" s="1" t="s">
        <v>1368</v>
      </c>
      <c r="DJ18" s="78" t="s">
        <v>648</v>
      </c>
      <c r="DK18" s="78" t="s">
        <v>1496</v>
      </c>
      <c r="DM18" s="301" t="s">
        <v>1494</v>
      </c>
      <c r="DN18" s="283">
        <v>18</v>
      </c>
      <c r="DO18" s="63" t="s">
        <v>1506</v>
      </c>
      <c r="DP18" s="274">
        <f>40000+10000+10000</f>
        <v>60000</v>
      </c>
      <c r="DQ18" s="78" t="s">
        <v>1496</v>
      </c>
      <c r="DS18" s="301" t="s">
        <v>1332</v>
      </c>
      <c r="DT18" s="283" t="s">
        <v>692</v>
      </c>
      <c r="DU18" s="63" t="s">
        <v>1507</v>
      </c>
      <c r="DV18" s="274">
        <v>10000</v>
      </c>
      <c r="DW18" t="s">
        <v>1286</v>
      </c>
      <c r="DX18">
        <v>12.9</v>
      </c>
      <c r="DY18" s="248" t="s">
        <v>1202</v>
      </c>
      <c r="DZ18">
        <f>6.5+15</f>
        <v>21.5</v>
      </c>
      <c r="EA18" s="63" t="s">
        <v>1506</v>
      </c>
      <c r="EB18" s="274">
        <v>40000</v>
      </c>
      <c r="EE18" s="248" t="s">
        <v>1202</v>
      </c>
      <c r="EF18">
        <f>15+6.5+97.5</f>
        <v>119</v>
      </c>
      <c r="EH18" s="1" t="s">
        <v>1574</v>
      </c>
      <c r="EI18" s="276">
        <v>20000</v>
      </c>
      <c r="EJ18" t="s">
        <v>1286</v>
      </c>
      <c r="EK18">
        <v>3.9</v>
      </c>
      <c r="EL18" s="248" t="s">
        <v>1662</v>
      </c>
      <c r="EM18">
        <v>73.87</v>
      </c>
      <c r="EN18" s="1" t="s">
        <v>1643</v>
      </c>
      <c r="EO18" s="276">
        <v>5000</v>
      </c>
      <c r="ER18" s="349" t="s">
        <v>1662</v>
      </c>
      <c r="ES18" s="145">
        <v>78.400000000000006</v>
      </c>
      <c r="ET18" s="1" t="s">
        <v>1576</v>
      </c>
      <c r="EU18" s="276">
        <v>10000</v>
      </c>
      <c r="EX18" s="349" t="s">
        <v>1651</v>
      </c>
      <c r="EY18">
        <v>72</v>
      </c>
      <c r="EZ18" s="1" t="s">
        <v>1716</v>
      </c>
      <c r="FA18" s="276">
        <v>25000</v>
      </c>
      <c r="FB18" t="s">
        <v>1775</v>
      </c>
      <c r="FC18">
        <v>1888</v>
      </c>
      <c r="FD18" s="349" t="s">
        <v>1662</v>
      </c>
      <c r="FE18">
        <v>81.84</v>
      </c>
      <c r="FF18" s="1" t="s">
        <v>1764</v>
      </c>
      <c r="FG18" s="276">
        <v>25000</v>
      </c>
      <c r="FH18" t="s">
        <v>1710</v>
      </c>
      <c r="FI18">
        <f>20057.44-20000</f>
        <v>57.43999999999869</v>
      </c>
      <c r="FJ18" s="349" t="s">
        <v>1823</v>
      </c>
      <c r="FK18">
        <v>140.44999999999999</v>
      </c>
      <c r="FL18" s="6" t="s">
        <v>1746</v>
      </c>
      <c r="FM18" s="278" t="s">
        <v>1923</v>
      </c>
      <c r="FN18" t="s">
        <v>1851</v>
      </c>
      <c r="FO18">
        <v>103</v>
      </c>
      <c r="FP18" s="350" t="s">
        <v>1034</v>
      </c>
      <c r="FQ18" s="210">
        <v>1861.8</v>
      </c>
      <c r="FR18" s="6" t="s">
        <v>1717</v>
      </c>
      <c r="FS18" s="278" t="s">
        <v>1086</v>
      </c>
      <c r="FT18" t="s">
        <v>1934</v>
      </c>
      <c r="FU18" s="246">
        <v>18.399999999999999</v>
      </c>
      <c r="FV18" s="350" t="s">
        <v>1943</v>
      </c>
      <c r="FW18" s="210">
        <v>29.62</v>
      </c>
      <c r="FX18" s="1" t="s">
        <v>1930</v>
      </c>
      <c r="FY18" s="258">
        <v>748</v>
      </c>
      <c r="GB18" s="350" t="s">
        <v>1870</v>
      </c>
      <c r="GD18" s="1" t="s">
        <v>1930</v>
      </c>
      <c r="GE18" s="258">
        <v>856</v>
      </c>
      <c r="GF18" t="s">
        <v>1806</v>
      </c>
      <c r="GG18" t="s">
        <v>692</v>
      </c>
      <c r="GH18" s="350" t="s">
        <v>1444</v>
      </c>
      <c r="GI18">
        <v>3.87</v>
      </c>
      <c r="GJ18" s="7" t="s">
        <v>2007</v>
      </c>
      <c r="GK18">
        <v>1200</v>
      </c>
      <c r="GM18" s="246"/>
      <c r="GN18" s="350" t="s">
        <v>2050</v>
      </c>
      <c r="GO18">
        <v>54.38</v>
      </c>
      <c r="GP18" s="258" t="s">
        <v>2055</v>
      </c>
      <c r="GR18" t="s">
        <v>1806</v>
      </c>
      <c r="GS18">
        <v>13.53</v>
      </c>
      <c r="GT18" s="349" t="s">
        <v>2033</v>
      </c>
      <c r="GU18">
        <v>67.42</v>
      </c>
      <c r="GV18" s="7" t="s">
        <v>2007</v>
      </c>
      <c r="GW18">
        <v>1001</v>
      </c>
      <c r="GY18" s="246"/>
      <c r="GZ18" s="405" t="s">
        <v>2128</v>
      </c>
      <c r="HA18" s="6">
        <f>109.5+145</f>
        <v>254.5</v>
      </c>
      <c r="HB18" s="258" t="s">
        <v>2058</v>
      </c>
      <c r="HD18" t="s">
        <v>2151</v>
      </c>
      <c r="HE18">
        <f>1.25*3</f>
        <v>3.75</v>
      </c>
      <c r="HF18" s="350" t="s">
        <v>2131</v>
      </c>
      <c r="HG18">
        <v>33</v>
      </c>
      <c r="HH18" s="7" t="s">
        <v>2007</v>
      </c>
      <c r="HI18">
        <v>2041</v>
      </c>
      <c r="HJ18" s="423">
        <v>23.05</v>
      </c>
      <c r="HK18" s="408" t="s">
        <v>2146</v>
      </c>
      <c r="HL18" s="349" t="s">
        <v>1993</v>
      </c>
      <c r="HM18" s="421">
        <f>15.88+15.81+18.55+16.76+17.32+18.76</f>
        <v>103.08</v>
      </c>
      <c r="HN18" s="1" t="s">
        <v>1632</v>
      </c>
      <c r="HO18">
        <v>150</v>
      </c>
      <c r="HP18" s="411"/>
      <c r="HQ18" s="408"/>
      <c r="HR18" s="349" t="s">
        <v>1202</v>
      </c>
      <c r="HS18">
        <f>6.5+15</f>
        <v>21.5</v>
      </c>
      <c r="HT18" s="66" t="s">
        <v>1900</v>
      </c>
      <c r="HU18">
        <v>457</v>
      </c>
      <c r="HV18" s="411" t="s">
        <v>2319</v>
      </c>
      <c r="HW18" s="531">
        <f>18.8*3+56.4</f>
        <v>112.80000000000001</v>
      </c>
      <c r="HX18" s="349" t="s">
        <v>2184</v>
      </c>
      <c r="HY18">
        <v>96.35</v>
      </c>
      <c r="HZ18" s="66" t="s">
        <v>2210</v>
      </c>
      <c r="IA18">
        <v>0</v>
      </c>
      <c r="IB18" s="543" t="s">
        <v>2347</v>
      </c>
      <c r="IC18" s="542">
        <f>20.89*3</f>
        <v>62.67</v>
      </c>
      <c r="ID18" s="349" t="s">
        <v>2078</v>
      </c>
      <c r="IE18" s="417">
        <f>2750.62/3</f>
        <v>916.87333333333333</v>
      </c>
      <c r="IF18" s="532" t="s">
        <v>2295</v>
      </c>
      <c r="IG18" s="272">
        <v>295021.18</v>
      </c>
      <c r="IH18" t="s">
        <v>2478</v>
      </c>
      <c r="II18" s="535">
        <v>17.73</v>
      </c>
      <c r="IJ18" s="349" t="s">
        <v>2183</v>
      </c>
      <c r="IK18" t="s">
        <v>2463</v>
      </c>
      <c r="IL18" s="258" t="s">
        <v>2440</v>
      </c>
      <c r="IM18" s="2">
        <f>100*(120+1000+330+310)</f>
        <v>176000</v>
      </c>
      <c r="IN18" t="s">
        <v>2524</v>
      </c>
      <c r="IO18">
        <v>3</v>
      </c>
      <c r="IP18" s="349" t="s">
        <v>2490</v>
      </c>
      <c r="IQ18" s="61">
        <v>42.65</v>
      </c>
      <c r="IR18" s="66" t="s">
        <v>2212</v>
      </c>
      <c r="IS18" s="272">
        <v>1143</v>
      </c>
      <c r="IT18" s="623" t="s">
        <v>2650</v>
      </c>
      <c r="IU18" s="534">
        <v>14</v>
      </c>
      <c r="IV18" s="349" t="s">
        <v>2195</v>
      </c>
      <c r="IW18" s="61">
        <f>9</f>
        <v>9</v>
      </c>
      <c r="IX18" s="627" t="s">
        <v>2577</v>
      </c>
      <c r="IY18" s="623">
        <v>190</v>
      </c>
      <c r="IZ18" s="411"/>
      <c r="JA18" s="552"/>
      <c r="JB18" s="349" t="s">
        <v>1202</v>
      </c>
      <c r="JC18" s="61"/>
      <c r="JD18" s="683" t="s">
        <v>2678</v>
      </c>
      <c r="JE18" s="272">
        <v>219</v>
      </c>
      <c r="JF18" s="665">
        <v>44984</v>
      </c>
    </row>
    <row r="19" spans="1:266" x14ac:dyDescent="0.2">
      <c r="A19" t="s">
        <v>429</v>
      </c>
      <c r="B19" s="61">
        <v>0</v>
      </c>
      <c r="E19" s="169" t="s">
        <v>371</v>
      </c>
      <c r="F19" s="169"/>
      <c r="G19" t="s">
        <v>429</v>
      </c>
      <c r="H19" s="61">
        <v>0</v>
      </c>
      <c r="K19" s="169" t="s">
        <v>371</v>
      </c>
      <c r="M19" s="63" t="s">
        <v>1003</v>
      </c>
      <c r="N19" s="64">
        <v>1218</v>
      </c>
      <c r="Q19" s="173"/>
      <c r="S19" s="63" t="s">
        <v>1003</v>
      </c>
      <c r="T19" s="64">
        <v>1142</v>
      </c>
      <c r="W19" s="169" t="s">
        <v>375</v>
      </c>
      <c r="Y19" s="63" t="s">
        <v>1085</v>
      </c>
      <c r="Z19" s="64">
        <v>100.54</v>
      </c>
      <c r="AC19" s="146" t="s">
        <v>1087</v>
      </c>
      <c r="AD19" s="145">
        <v>104</v>
      </c>
      <c r="AE19" s="63" t="s">
        <v>1002</v>
      </c>
      <c r="AF19" s="64"/>
      <c r="AI19" s="146" t="s">
        <v>1059</v>
      </c>
      <c r="AJ19" s="208">
        <v>0</v>
      </c>
      <c r="AK19" s="63" t="s">
        <v>1002</v>
      </c>
      <c r="AL19" s="64"/>
      <c r="AM19" t="s">
        <v>1068</v>
      </c>
      <c r="AO19" s="169" t="s">
        <v>1146</v>
      </c>
      <c r="AP19" s="208">
        <v>378.81</v>
      </c>
      <c r="AQ19" s="63" t="s">
        <v>1002</v>
      </c>
      <c r="AR19" s="64"/>
      <c r="AS19" t="s">
        <v>1119</v>
      </c>
      <c r="AT19" t="s">
        <v>692</v>
      </c>
      <c r="AU19" s="169" t="s">
        <v>1170</v>
      </c>
      <c r="AV19" s="208"/>
      <c r="AW19" s="63" t="s">
        <v>1175</v>
      </c>
      <c r="AX19" s="64"/>
      <c r="AY19" s="169"/>
      <c r="AZ19" s="208"/>
      <c r="BA19" s="63" t="s">
        <v>1175</v>
      </c>
      <c r="BB19" s="64">
        <f t="shared" si="0"/>
        <v>0</v>
      </c>
      <c r="BE19" s="248" t="s">
        <v>1133</v>
      </c>
      <c r="BF19" s="208" t="s">
        <v>692</v>
      </c>
      <c r="BG19" s="63" t="s">
        <v>1175</v>
      </c>
      <c r="BH19" s="64"/>
      <c r="BJ19" s="6"/>
      <c r="BK19" s="269" t="s">
        <v>1133</v>
      </c>
      <c r="BL19" s="208">
        <f>172+215</f>
        <v>387</v>
      </c>
      <c r="BM19" s="63" t="s">
        <v>1175</v>
      </c>
      <c r="BN19" s="64"/>
      <c r="BO19" s="6" t="s">
        <v>1242</v>
      </c>
      <c r="BP19" s="6">
        <v>7</v>
      </c>
      <c r="BQ19" s="269" t="s">
        <v>1239</v>
      </c>
      <c r="BR19" s="208">
        <v>172</v>
      </c>
      <c r="BS19" s="63" t="s">
        <v>1175</v>
      </c>
      <c r="BT19" s="231"/>
      <c r="BU19" s="6"/>
      <c r="BV19" s="6"/>
      <c r="BW19" s="269" t="s">
        <v>1262</v>
      </c>
      <c r="BX19" s="208">
        <v>172</v>
      </c>
      <c r="BY19" s="63" t="s">
        <v>1085</v>
      </c>
      <c r="BZ19" s="64">
        <v>1013</v>
      </c>
      <c r="CA19" s="9" t="s">
        <v>1119</v>
      </c>
      <c r="CB19" s="6" t="s">
        <v>692</v>
      </c>
      <c r="CC19" s="269" t="s">
        <v>1279</v>
      </c>
      <c r="CD19" s="208">
        <v>215</v>
      </c>
      <c r="CE19" s="63" t="s">
        <v>1085</v>
      </c>
      <c r="CF19" s="64">
        <v>1014</v>
      </c>
      <c r="CG19" s="78"/>
      <c r="CI19" s="268"/>
      <c r="CJ19" s="208"/>
      <c r="CK19" s="63" t="s">
        <v>1003</v>
      </c>
      <c r="CL19" s="64">
        <v>21145.64</v>
      </c>
      <c r="CM19" s="78" t="s">
        <v>1324</v>
      </c>
      <c r="CN19" s="9">
        <f>5+5</f>
        <v>10</v>
      </c>
      <c r="CO19" s="269" t="s">
        <v>1133</v>
      </c>
      <c r="CP19" s="208" t="s">
        <v>692</v>
      </c>
      <c r="CQ19" s="63" t="s">
        <v>1085</v>
      </c>
      <c r="CR19" s="64">
        <v>60</v>
      </c>
      <c r="CS19" s="78" t="s">
        <v>1351</v>
      </c>
      <c r="CT19" s="6"/>
      <c r="CU19" s="269" t="s">
        <v>1033</v>
      </c>
      <c r="CV19" s="208" t="s">
        <v>692</v>
      </c>
      <c r="CW19" s="63" t="s">
        <v>1085</v>
      </c>
      <c r="CX19" s="64">
        <v>60</v>
      </c>
      <c r="CY19" s="6" t="s">
        <v>584</v>
      </c>
      <c r="DA19" s="269" t="s">
        <v>1400</v>
      </c>
      <c r="DB19" s="208">
        <v>115.81</v>
      </c>
      <c r="DC19" s="63" t="s">
        <v>1175</v>
      </c>
      <c r="DD19" s="64"/>
      <c r="DE19" s="78" t="s">
        <v>1452</v>
      </c>
      <c r="DF19" s="6">
        <v>57.6</v>
      </c>
      <c r="DG19" s="301" t="s">
        <v>1421</v>
      </c>
      <c r="DH19" s="283">
        <v>2000</v>
      </c>
      <c r="DI19" s="761" t="s">
        <v>1481</v>
      </c>
      <c r="DJ19" s="762"/>
      <c r="DK19" s="78"/>
      <c r="DM19" s="301" t="s">
        <v>1332</v>
      </c>
      <c r="DN19" s="283"/>
      <c r="DO19" s="63" t="s">
        <v>1505</v>
      </c>
      <c r="DP19" s="274">
        <v>10000</v>
      </c>
      <c r="DQ19" s="78"/>
      <c r="DS19" s="300" t="s">
        <v>1577</v>
      </c>
      <c r="DT19" s="306">
        <v>382</v>
      </c>
      <c r="DU19" s="63" t="s">
        <v>1506</v>
      </c>
      <c r="DV19" s="274">
        <v>40000</v>
      </c>
      <c r="DY19" s="248" t="s">
        <v>1293</v>
      </c>
      <c r="DZ19">
        <v>140.94999999999999</v>
      </c>
      <c r="EA19" s="63" t="s">
        <v>1574</v>
      </c>
      <c r="EB19" s="274">
        <v>10000</v>
      </c>
      <c r="EE19" s="248" t="s">
        <v>1293</v>
      </c>
      <c r="EF19">
        <v>140.44999999999999</v>
      </c>
      <c r="EH19" s="1" t="s">
        <v>1504</v>
      </c>
      <c r="EI19" s="276">
        <v>10000</v>
      </c>
      <c r="EJ19" t="s">
        <v>1286</v>
      </c>
      <c r="EK19">
        <v>28.7</v>
      </c>
      <c r="EL19" s="248" t="s">
        <v>1651</v>
      </c>
      <c r="EM19">
        <f>34.42+10.73</f>
        <v>45.150000000000006</v>
      </c>
      <c r="EN19" s="1" t="s">
        <v>1644</v>
      </c>
      <c r="EO19" s="276">
        <v>5000</v>
      </c>
      <c r="ER19" s="349" t="s">
        <v>1651</v>
      </c>
      <c r="ES19" s="145">
        <v>0</v>
      </c>
      <c r="ET19" s="1" t="s">
        <v>1705</v>
      </c>
      <c r="EU19" s="276">
        <v>5000</v>
      </c>
      <c r="EV19" s="60" t="s">
        <v>1586</v>
      </c>
      <c r="EX19" s="349" t="s">
        <v>1202</v>
      </c>
      <c r="EY19">
        <f>15+6.5</f>
        <v>21.5</v>
      </c>
      <c r="EZ19" s="1" t="s">
        <v>1576</v>
      </c>
      <c r="FA19" s="276">
        <v>15000</v>
      </c>
      <c r="FB19" s="60" t="s">
        <v>1586</v>
      </c>
      <c r="FD19" s="349" t="s">
        <v>1782</v>
      </c>
      <c r="FE19">
        <v>139.01</v>
      </c>
      <c r="FF19" s="1" t="s">
        <v>1576</v>
      </c>
      <c r="FG19" s="276">
        <v>15000</v>
      </c>
      <c r="FH19" s="6" t="s">
        <v>1477</v>
      </c>
      <c r="FI19" s="3">
        <f>1021.65+992.81-2000</f>
        <v>14.460000000000036</v>
      </c>
      <c r="FJ19" s="349" t="s">
        <v>1202</v>
      </c>
      <c r="FK19">
        <f>6.5+15+7.2</f>
        <v>28.7</v>
      </c>
      <c r="FL19" s="1" t="s">
        <v>1712</v>
      </c>
      <c r="FM19" s="276">
        <v>4000</v>
      </c>
      <c r="FN19" t="s">
        <v>1859</v>
      </c>
      <c r="FO19" s="246">
        <v>55</v>
      </c>
      <c r="FP19" s="349" t="s">
        <v>1848</v>
      </c>
      <c r="FQ19">
        <v>184.77</v>
      </c>
      <c r="FR19" s="6" t="s">
        <v>1924</v>
      </c>
      <c r="FS19" s="278"/>
      <c r="FU19" s="246"/>
      <c r="FV19" s="349" t="s">
        <v>1945</v>
      </c>
      <c r="FW19">
        <f>3.08+89.15</f>
        <v>92.23</v>
      </c>
      <c r="FX19" s="1" t="s">
        <v>1931</v>
      </c>
      <c r="FY19" s="258">
        <v>39</v>
      </c>
      <c r="FZ19" s="60" t="s">
        <v>1911</v>
      </c>
      <c r="GB19" s="349" t="s">
        <v>1957</v>
      </c>
      <c r="GC19">
        <v>90.65</v>
      </c>
      <c r="GD19" s="1" t="s">
        <v>1931</v>
      </c>
      <c r="GE19" s="258">
        <v>33</v>
      </c>
      <c r="GH19" s="349" t="s">
        <v>1957</v>
      </c>
      <c r="GI19">
        <v>73.959999999999994</v>
      </c>
      <c r="GJ19" s="258" t="s">
        <v>2010</v>
      </c>
      <c r="GL19" s="60" t="s">
        <v>2009</v>
      </c>
      <c r="GN19" s="350" t="s">
        <v>2024</v>
      </c>
      <c r="GO19">
        <v>1867</v>
      </c>
      <c r="GP19" s="7" t="s">
        <v>2007</v>
      </c>
      <c r="GQ19">
        <v>2000.001</v>
      </c>
      <c r="GR19" t="s">
        <v>2088</v>
      </c>
      <c r="GS19">
        <v>129.43</v>
      </c>
      <c r="GT19" s="349" t="s">
        <v>2116</v>
      </c>
      <c r="GU19" t="s">
        <v>2062</v>
      </c>
      <c r="GV19" s="1" t="s">
        <v>1930</v>
      </c>
      <c r="GW19" s="258">
        <v>745</v>
      </c>
      <c r="GX19" s="60"/>
      <c r="GZ19" s="349" t="s">
        <v>2078</v>
      </c>
      <c r="HA19" s="417">
        <f>2525.92/6</f>
        <v>420.98666666666668</v>
      </c>
      <c r="HB19" s="7" t="s">
        <v>2007</v>
      </c>
      <c r="HC19">
        <v>2041</v>
      </c>
      <c r="HD19" t="s">
        <v>2161</v>
      </c>
      <c r="HE19">
        <v>106.89</v>
      </c>
      <c r="HF19" s="350" t="s">
        <v>2133</v>
      </c>
      <c r="HG19">
        <v>12</v>
      </c>
      <c r="HH19" s="1" t="s">
        <v>2136</v>
      </c>
      <c r="HI19" s="258" t="s">
        <v>2137</v>
      </c>
      <c r="HJ19" s="425">
        <v>1580.64</v>
      </c>
      <c r="HK19" s="410" t="s">
        <v>2159</v>
      </c>
      <c r="HL19" s="341" t="s">
        <v>2200</v>
      </c>
      <c r="HM19">
        <v>20</v>
      </c>
      <c r="HN19" s="258" t="s">
        <v>2058</v>
      </c>
      <c r="HP19" s="412"/>
      <c r="HQ19" s="410"/>
      <c r="HR19" s="349" t="s">
        <v>2195</v>
      </c>
      <c r="HS19">
        <f>9+10.96</f>
        <v>19.96</v>
      </c>
      <c r="HT19" s="66" t="s">
        <v>2210</v>
      </c>
      <c r="HU19">
        <v>0</v>
      </c>
      <c r="HV19" s="411" t="s">
        <v>2318</v>
      </c>
      <c r="HW19" s="531">
        <v>18.8</v>
      </c>
      <c r="HX19" s="349" t="s">
        <v>1823</v>
      </c>
      <c r="HY19">
        <v>112.57</v>
      </c>
      <c r="HZ19" s="66" t="s">
        <v>2345</v>
      </c>
      <c r="IA19">
        <v>12000</v>
      </c>
      <c r="IB19" s="541" t="s">
        <v>2348</v>
      </c>
      <c r="IC19" s="542">
        <v>146.22999999999999</v>
      </c>
      <c r="ID19" s="349" t="s">
        <v>1957</v>
      </c>
      <c r="IE19" s="417">
        <v>16.18</v>
      </c>
      <c r="IF19" s="66" t="s">
        <v>2382</v>
      </c>
      <c r="IG19" s="2">
        <v>2234</v>
      </c>
      <c r="IH19" t="s">
        <v>2411</v>
      </c>
      <c r="II19" s="534">
        <v>35.67</v>
      </c>
      <c r="IJ19" s="349" t="s">
        <v>2362</v>
      </c>
      <c r="IK19">
        <v>114.44</v>
      </c>
      <c r="IL19" s="66" t="s">
        <v>2439</v>
      </c>
      <c r="IM19">
        <f>10502+14002</f>
        <v>24504</v>
      </c>
      <c r="IN19" t="s">
        <v>2583</v>
      </c>
      <c r="IO19" s="534">
        <v>5</v>
      </c>
      <c r="IP19" s="349" t="s">
        <v>2562</v>
      </c>
      <c r="IQ19" s="61">
        <f>IM29</f>
        <v>21.35</v>
      </c>
      <c r="IR19" s="1" t="s">
        <v>2481</v>
      </c>
      <c r="IS19">
        <v>170</v>
      </c>
      <c r="IT19" s="412" t="s">
        <v>2693</v>
      </c>
      <c r="IU19" s="552">
        <v>6</v>
      </c>
      <c r="IV19" s="349" t="s">
        <v>2392</v>
      </c>
      <c r="IW19" s="61">
        <f>15.7+10+18.29+10+10+15.09+18.53+17.55+15.01+10+16.79</f>
        <v>156.95999999999998</v>
      </c>
      <c r="IX19" s="629" t="s">
        <v>2480</v>
      </c>
      <c r="IY19" s="623">
        <v>2013</v>
      </c>
      <c r="IZ19" s="412"/>
      <c r="JA19" s="707"/>
      <c r="JB19" s="349" t="s">
        <v>2195</v>
      </c>
      <c r="JC19" s="61">
        <v>9</v>
      </c>
      <c r="JD19" s="682" t="s">
        <v>2577</v>
      </c>
      <c r="JE19" s="679">
        <v>210</v>
      </c>
      <c r="JF19" s="665">
        <v>44987</v>
      </c>
    </row>
    <row r="20" spans="1:266" x14ac:dyDescent="0.2">
      <c r="A20" s="63" t="s">
        <v>1002</v>
      </c>
      <c r="B20" s="64"/>
      <c r="E20" s="169" t="s">
        <v>375</v>
      </c>
      <c r="F20" s="169"/>
      <c r="G20" s="63" t="s">
        <v>1002</v>
      </c>
      <c r="H20" s="64"/>
      <c r="K20" s="169" t="s">
        <v>375</v>
      </c>
      <c r="M20" s="63" t="s">
        <v>1004</v>
      </c>
      <c r="N20" s="64">
        <v>550</v>
      </c>
      <c r="Q20" s="169" t="s">
        <v>1029</v>
      </c>
      <c r="S20" s="63" t="s">
        <v>1052</v>
      </c>
      <c r="T20" s="64">
        <v>550</v>
      </c>
      <c r="W20" s="169" t="s">
        <v>1063</v>
      </c>
      <c r="Y20" s="63" t="s">
        <v>1003</v>
      </c>
      <c r="Z20" s="64">
        <v>1142</v>
      </c>
      <c r="AA20" t="s">
        <v>1093</v>
      </c>
      <c r="AB20">
        <v>50</v>
      </c>
      <c r="AC20" s="146" t="s">
        <v>1058</v>
      </c>
      <c r="AD20" s="145">
        <v>0</v>
      </c>
      <c r="AE20" s="63" t="s">
        <v>1085</v>
      </c>
      <c r="AF20" s="64">
        <v>10001</v>
      </c>
      <c r="AI20" s="146" t="s">
        <v>1107</v>
      </c>
      <c r="AJ20" s="208">
        <v>56</v>
      </c>
      <c r="AK20" s="63" t="s">
        <v>1085</v>
      </c>
      <c r="AL20" s="64" t="s">
        <v>1086</v>
      </c>
      <c r="AM20" s="108"/>
      <c r="AO20" s="169" t="s">
        <v>1147</v>
      </c>
      <c r="AP20" s="208">
        <v>146</v>
      </c>
      <c r="AQ20" s="63" t="s">
        <v>1085</v>
      </c>
      <c r="AR20" s="64">
        <f>AN22</f>
        <v>2200</v>
      </c>
      <c r="AU20" s="169" t="s">
        <v>1159</v>
      </c>
      <c r="AV20" s="208">
        <v>42.53</v>
      </c>
      <c r="AW20" s="63" t="s">
        <v>1085</v>
      </c>
      <c r="AX20" s="64">
        <f>10000+2200</f>
        <v>12200</v>
      </c>
      <c r="AY20" s="169"/>
      <c r="AZ20" s="208"/>
      <c r="BA20" s="63" t="s">
        <v>1085</v>
      </c>
      <c r="BB20" s="64">
        <f t="shared" si="0"/>
        <v>12200</v>
      </c>
      <c r="BC20" t="s">
        <v>1195</v>
      </c>
      <c r="BE20" s="248" t="s">
        <v>1161</v>
      </c>
      <c r="BF20" s="208">
        <v>325.27999999999997</v>
      </c>
      <c r="BG20" s="63" t="s">
        <v>1085</v>
      </c>
      <c r="BH20" s="64">
        <v>10000</v>
      </c>
      <c r="BI20" s="221"/>
      <c r="BJ20" s="221"/>
      <c r="BK20" s="269" t="s">
        <v>1161</v>
      </c>
      <c r="BL20" s="221" t="s">
        <v>692</v>
      </c>
      <c r="BM20" s="63" t="s">
        <v>1085</v>
      </c>
      <c r="BN20" s="64">
        <v>10000</v>
      </c>
      <c r="BO20" s="6" t="s">
        <v>1242</v>
      </c>
      <c r="BP20" s="221">
        <v>7</v>
      </c>
      <c r="BQ20" s="269" t="s">
        <v>1246</v>
      </c>
      <c r="BR20" s="221">
        <v>280</v>
      </c>
      <c r="BS20" s="63" t="s">
        <v>1085</v>
      </c>
      <c r="BT20" s="231">
        <v>7025</v>
      </c>
      <c r="BU20" s="6"/>
      <c r="BV20" s="221"/>
      <c r="BW20" s="269" t="s">
        <v>1161</v>
      </c>
      <c r="BX20" s="221" t="s">
        <v>692</v>
      </c>
      <c r="BY20" s="63" t="s">
        <v>1003</v>
      </c>
      <c r="BZ20" s="64">
        <v>7142</v>
      </c>
      <c r="CA20" s="6"/>
      <c r="CB20" s="221"/>
      <c r="CC20" s="269" t="s">
        <v>1161</v>
      </c>
      <c r="CD20" s="221" t="s">
        <v>1311</v>
      </c>
      <c r="CE20" s="63" t="s">
        <v>1003</v>
      </c>
      <c r="CF20" s="64">
        <v>11142</v>
      </c>
      <c r="CG20" s="78"/>
      <c r="CI20" s="269" t="s">
        <v>1308</v>
      </c>
      <c r="CJ20" s="208">
        <v>172</v>
      </c>
      <c r="CK20" s="63" t="s">
        <v>1052</v>
      </c>
      <c r="CL20" s="64">
        <v>527.62</v>
      </c>
      <c r="CM20" s="78"/>
      <c r="CO20" s="269" t="s">
        <v>1034</v>
      </c>
      <c r="CP20" s="290" t="s">
        <v>692</v>
      </c>
      <c r="CQ20" s="63" t="s">
        <v>1003</v>
      </c>
      <c r="CR20" s="64">
        <v>26991</v>
      </c>
      <c r="CS20" s="9" t="s">
        <v>1068</v>
      </c>
      <c r="CT20" s="6" t="s">
        <v>692</v>
      </c>
      <c r="CU20" s="270" t="s">
        <v>1370</v>
      </c>
      <c r="CV20" s="208">
        <v>70.38</v>
      </c>
      <c r="CW20" s="63" t="s">
        <v>1053</v>
      </c>
      <c r="CX20" s="64">
        <v>17242.32</v>
      </c>
      <c r="CY20" s="78"/>
      <c r="CZ20" s="6"/>
      <c r="DA20" s="269" t="s">
        <v>1402</v>
      </c>
      <c r="DB20" s="208">
        <v>51.41</v>
      </c>
      <c r="DC20" s="63" t="s">
        <v>1085</v>
      </c>
      <c r="DD20" s="64">
        <v>60</v>
      </c>
      <c r="DE20" s="78" t="s">
        <v>1424</v>
      </c>
      <c r="DF20" s="9">
        <v>192.6</v>
      </c>
      <c r="DG20" s="301" t="s">
        <v>1009</v>
      </c>
      <c r="DH20" s="306">
        <v>1800.01</v>
      </c>
      <c r="DI20" s="63" t="s">
        <v>1454</v>
      </c>
      <c r="DJ20" s="231">
        <v>2065</v>
      </c>
      <c r="DM20" s="300" t="s">
        <v>1510</v>
      </c>
      <c r="DN20" s="306">
        <v>2454.0500000000002</v>
      </c>
      <c r="DO20" s="63" t="s">
        <v>1504</v>
      </c>
      <c r="DP20" s="274">
        <v>10000</v>
      </c>
      <c r="DS20" s="269" t="s">
        <v>1344</v>
      </c>
      <c r="DT20" s="283" t="s">
        <v>1571</v>
      </c>
      <c r="DU20" s="63" t="s">
        <v>1574</v>
      </c>
      <c r="DV20" s="274">
        <v>10000</v>
      </c>
      <c r="DY20" s="248" t="s">
        <v>1614</v>
      </c>
      <c r="DZ20">
        <v>11</v>
      </c>
      <c r="EA20" s="63" t="s">
        <v>1504</v>
      </c>
      <c r="EB20" s="274">
        <v>10000</v>
      </c>
      <c r="EC20" s="60" t="s">
        <v>1586</v>
      </c>
      <c r="ED20" t="s">
        <v>692</v>
      </c>
      <c r="EE20" s="248" t="s">
        <v>1614</v>
      </c>
      <c r="EF20">
        <v>11</v>
      </c>
      <c r="EH20" s="1" t="s">
        <v>1476</v>
      </c>
      <c r="EI20" s="276">
        <v>5000</v>
      </c>
      <c r="EL20" s="248" t="s">
        <v>1202</v>
      </c>
      <c r="EM20">
        <f>15+6.5</f>
        <v>21.5</v>
      </c>
      <c r="EN20" s="1" t="s">
        <v>1645</v>
      </c>
      <c r="EO20" s="276">
        <f>5000+2000</f>
        <v>7000</v>
      </c>
      <c r="ER20" s="349" t="s">
        <v>1202</v>
      </c>
      <c r="ES20" s="145">
        <f>15+6.5</f>
        <v>21.5</v>
      </c>
      <c r="ET20" s="1" t="s">
        <v>1705</v>
      </c>
      <c r="EU20" s="276">
        <v>5000</v>
      </c>
      <c r="EV20" s="6" t="s">
        <v>1574</v>
      </c>
      <c r="EW20">
        <v>39.85</v>
      </c>
      <c r="EX20" s="349" t="s">
        <v>1293</v>
      </c>
      <c r="EY20">
        <v>145.44999999999999</v>
      </c>
      <c r="EZ20" s="1" t="s">
        <v>1705</v>
      </c>
      <c r="FA20" s="276">
        <v>0</v>
      </c>
      <c r="FB20" s="60" t="s">
        <v>1794</v>
      </c>
      <c r="FC20">
        <v>30</v>
      </c>
      <c r="FD20" s="349" t="s">
        <v>1768</v>
      </c>
      <c r="FE20">
        <f>6.5+15</f>
        <v>21.5</v>
      </c>
      <c r="FF20" s="1" t="s">
        <v>1705</v>
      </c>
      <c r="FG20" s="276">
        <v>1000</v>
      </c>
      <c r="FH20" s="6" t="s">
        <v>1805</v>
      </c>
      <c r="FI20" s="3">
        <v>7.64</v>
      </c>
      <c r="FJ20" s="349" t="s">
        <v>1544</v>
      </c>
      <c r="FK20">
        <v>64</v>
      </c>
      <c r="FL20" s="1" t="s">
        <v>1764</v>
      </c>
      <c r="FM20" s="276">
        <v>25000</v>
      </c>
      <c r="FN20" s="60" t="s">
        <v>1586</v>
      </c>
      <c r="FP20" s="349" t="s">
        <v>1823</v>
      </c>
      <c r="FQ20">
        <v>140.44999999999999</v>
      </c>
      <c r="FR20" s="1" t="s">
        <v>1712</v>
      </c>
      <c r="FS20" s="276">
        <v>4000</v>
      </c>
      <c r="FT20" s="60" t="s">
        <v>1912</v>
      </c>
      <c r="FV20" s="349" t="s">
        <v>1823</v>
      </c>
      <c r="FW20">
        <v>140.44999999999999</v>
      </c>
      <c r="FX20" s="1" t="s">
        <v>1932</v>
      </c>
      <c r="FY20" s="276">
        <v>209</v>
      </c>
      <c r="FZ20" t="s">
        <v>1981</v>
      </c>
      <c r="GA20">
        <f>207-202</f>
        <v>5</v>
      </c>
      <c r="GB20" s="349" t="s">
        <v>1975</v>
      </c>
      <c r="GC20">
        <v>126.93</v>
      </c>
      <c r="GD20" s="1" t="s">
        <v>1932</v>
      </c>
      <c r="GE20" s="276">
        <v>1202</v>
      </c>
      <c r="GF20" t="s">
        <v>1585</v>
      </c>
      <c r="GG20" s="246"/>
      <c r="GH20" s="349" t="s">
        <v>1975</v>
      </c>
      <c r="GI20">
        <v>95.54</v>
      </c>
      <c r="GJ20" s="1" t="s">
        <v>1930</v>
      </c>
      <c r="GK20" s="258">
        <v>744</v>
      </c>
      <c r="GL20" t="s">
        <v>1895</v>
      </c>
      <c r="GM20">
        <f>1966-2002</f>
        <v>-36</v>
      </c>
      <c r="GN20" s="349" t="s">
        <v>2033</v>
      </c>
      <c r="GO20" t="s">
        <v>2032</v>
      </c>
      <c r="GP20" s="1" t="s">
        <v>1930</v>
      </c>
      <c r="GQ20" s="258">
        <v>745</v>
      </c>
      <c r="GT20" s="349" t="s">
        <v>1823</v>
      </c>
      <c r="GU20">
        <v>140.44999999999999</v>
      </c>
      <c r="GV20" s="1" t="s">
        <v>1931</v>
      </c>
      <c r="GW20" s="258">
        <v>33</v>
      </c>
      <c r="GZ20" s="349" t="s">
        <v>2113</v>
      </c>
      <c r="HA20">
        <v>77.3</v>
      </c>
      <c r="HB20" s="1" t="s">
        <v>1930</v>
      </c>
      <c r="HC20" s="258">
        <v>827</v>
      </c>
      <c r="HF20" s="349" t="s">
        <v>2078</v>
      </c>
      <c r="HG20" s="417">
        <f>2525.92/6</f>
        <v>420.98666666666668</v>
      </c>
      <c r="HH20" s="1" t="s">
        <v>2020</v>
      </c>
      <c r="HI20" s="276">
        <v>3000</v>
      </c>
      <c r="HJ20" s="426">
        <f>SUM(HJ15:HJ19)</f>
        <v>4926.7800000000007</v>
      </c>
      <c r="HK20" s="410" t="s">
        <v>2163</v>
      </c>
      <c r="HL20" s="341" t="s">
        <v>2165</v>
      </c>
      <c r="HM20">
        <v>33.5</v>
      </c>
      <c r="HN20" s="7" t="s">
        <v>2007</v>
      </c>
      <c r="HO20">
        <v>1000</v>
      </c>
      <c r="HR20" s="349" t="s">
        <v>2259</v>
      </c>
      <c r="HS20">
        <v>160</v>
      </c>
      <c r="HT20" s="66" t="s">
        <v>2212</v>
      </c>
      <c r="HU20">
        <v>2063</v>
      </c>
      <c r="HV20" s="412"/>
      <c r="HW20" s="530"/>
      <c r="HX20" s="349" t="s">
        <v>1202</v>
      </c>
      <c r="HY20">
        <f>6.5+15+10+6.7</f>
        <v>38.200000000000003</v>
      </c>
      <c r="HZ20" s="66" t="s">
        <v>2344</v>
      </c>
      <c r="IB20" s="544" t="s">
        <v>2349</v>
      </c>
      <c r="IC20" s="545">
        <v>626.70000000000005</v>
      </c>
      <c r="ID20" s="349" t="s">
        <v>2183</v>
      </c>
      <c r="IE20" s="417" t="s">
        <v>2426</v>
      </c>
      <c r="IF20" s="66" t="s">
        <v>2275</v>
      </c>
      <c r="IG20" s="2">
        <v>60000</v>
      </c>
      <c r="IH20" t="s">
        <v>2414</v>
      </c>
      <c r="II20">
        <f>18*2</f>
        <v>36</v>
      </c>
      <c r="IJ20" s="349" t="s">
        <v>1202</v>
      </c>
      <c r="IK20">
        <f>6.5+15</f>
        <v>21.5</v>
      </c>
      <c r="IL20" s="66" t="s">
        <v>2275</v>
      </c>
      <c r="IM20" s="2">
        <v>60000</v>
      </c>
      <c r="IN20" s="588"/>
      <c r="IO20" s="534"/>
      <c r="IP20" s="349" t="s">
        <v>2392</v>
      </c>
      <c r="IQ20" s="61">
        <f>17.6+10+15.04+18.67+17.63+10+18.43+12.51+10+16.42</f>
        <v>146.30000000000001</v>
      </c>
      <c r="IR20" s="565" t="s">
        <v>2520</v>
      </c>
      <c r="IT20" s="411"/>
      <c r="IU20" s="552"/>
      <c r="IV20" s="341" t="s">
        <v>2662</v>
      </c>
      <c r="IW20" s="61">
        <v>80</v>
      </c>
      <c r="IX20" s="628" t="s">
        <v>2506</v>
      </c>
      <c r="JB20" s="349" t="s">
        <v>2490</v>
      </c>
      <c r="JC20" s="61">
        <v>96</v>
      </c>
      <c r="JD20" s="684" t="s">
        <v>2480</v>
      </c>
      <c r="JE20" s="679">
        <v>2013</v>
      </c>
      <c r="JF20" s="665"/>
    </row>
    <row r="21" spans="1:266" x14ac:dyDescent="0.2">
      <c r="A21" s="63" t="s">
        <v>1003</v>
      </c>
      <c r="B21" s="64">
        <v>1218</v>
      </c>
      <c r="E21" s="169"/>
      <c r="F21" s="169"/>
      <c r="G21" s="63" t="s">
        <v>1003</v>
      </c>
      <c r="H21" s="64">
        <v>1218</v>
      </c>
      <c r="K21" s="169"/>
      <c r="M21" s="63"/>
      <c r="N21" s="64"/>
      <c r="Q21" s="169" t="s">
        <v>437</v>
      </c>
      <c r="S21" s="63" t="s">
        <v>1053</v>
      </c>
      <c r="T21" s="64">
        <v>3800</v>
      </c>
      <c r="W21" s="248" t="s">
        <v>1036</v>
      </c>
      <c r="X21" s="145">
        <v>0</v>
      </c>
      <c r="Y21" s="63" t="s">
        <v>1052</v>
      </c>
      <c r="Z21" s="64">
        <v>550</v>
      </c>
      <c r="AC21" s="146" t="s">
        <v>1023</v>
      </c>
      <c r="AD21" s="145">
        <v>132.35</v>
      </c>
      <c r="AE21" s="63" t="s">
        <v>1003</v>
      </c>
      <c r="AF21" s="64">
        <v>1142</v>
      </c>
      <c r="AI21" s="146" t="s">
        <v>1023</v>
      </c>
      <c r="AJ21" s="145">
        <v>250</v>
      </c>
      <c r="AK21" s="63" t="s">
        <v>1003</v>
      </c>
      <c r="AL21" s="64">
        <v>1142</v>
      </c>
      <c r="AO21" s="248" t="s">
        <v>1033</v>
      </c>
      <c r="AP21" s="208">
        <v>0</v>
      </c>
      <c r="AQ21" s="63" t="s">
        <v>1003</v>
      </c>
      <c r="AR21" s="64">
        <v>1142</v>
      </c>
      <c r="AU21" s="248" t="s">
        <v>1033</v>
      </c>
      <c r="AV21" s="208" t="s">
        <v>692</v>
      </c>
      <c r="AW21" s="63" t="s">
        <v>1003</v>
      </c>
      <c r="AX21" s="64">
        <v>1142</v>
      </c>
      <c r="AY21" s="248"/>
      <c r="AZ21" s="208"/>
      <c r="BA21" s="63" t="s">
        <v>1003</v>
      </c>
      <c r="BB21" s="64">
        <f t="shared" si="0"/>
        <v>1142</v>
      </c>
      <c r="BC21" s="145" t="s">
        <v>1203</v>
      </c>
      <c r="BD21" s="145">
        <v>34.799999999999997</v>
      </c>
      <c r="BE21" s="248" t="s">
        <v>1034</v>
      </c>
      <c r="BF21" s="208">
        <f>930.9+385.2</f>
        <v>1316.1</v>
      </c>
      <c r="BG21" s="63" t="s">
        <v>1003</v>
      </c>
      <c r="BH21" s="64">
        <v>1142</v>
      </c>
      <c r="BI21" s="78"/>
      <c r="BK21" s="269" t="s">
        <v>1034</v>
      </c>
      <c r="BL21" s="208" t="s">
        <v>692</v>
      </c>
      <c r="BM21" s="63" t="s">
        <v>1003</v>
      </c>
      <c r="BN21" s="64">
        <v>1142</v>
      </c>
      <c r="BO21" s="78"/>
      <c r="BQ21" s="269" t="s">
        <v>1034</v>
      </c>
      <c r="BR21" s="208" t="s">
        <v>692</v>
      </c>
      <c r="BS21" s="63" t="s">
        <v>1003</v>
      </c>
      <c r="BT21" s="231">
        <v>1142</v>
      </c>
      <c r="BU21" s="78"/>
      <c r="BW21" s="269" t="s">
        <v>1034</v>
      </c>
      <c r="BX21" s="208" t="s">
        <v>692</v>
      </c>
      <c r="BY21" s="63" t="s">
        <v>1052</v>
      </c>
      <c r="BZ21" s="64">
        <f>BT22</f>
        <v>527.62</v>
      </c>
      <c r="CA21" s="78"/>
      <c r="CC21" s="269" t="s">
        <v>1034</v>
      </c>
      <c r="CD21" s="208" t="s">
        <v>692</v>
      </c>
      <c r="CE21" s="63" t="s">
        <v>1052</v>
      </c>
      <c r="CF21" s="64">
        <v>527.62</v>
      </c>
      <c r="CI21" s="269" t="s">
        <v>1034</v>
      </c>
      <c r="CJ21" s="290">
        <v>1316.1</v>
      </c>
      <c r="CK21" s="63" t="s">
        <v>1053</v>
      </c>
      <c r="CL21" s="64">
        <v>17242.32</v>
      </c>
      <c r="CO21" s="269" t="s">
        <v>1033</v>
      </c>
      <c r="CP21" s="208" t="s">
        <v>692</v>
      </c>
      <c r="CQ21" s="63" t="s">
        <v>1052</v>
      </c>
      <c r="CR21" s="64">
        <v>527.62</v>
      </c>
      <c r="CS21" s="78" t="s">
        <v>1324</v>
      </c>
      <c r="CU21" s="270" t="s">
        <v>1383</v>
      </c>
      <c r="CV21" s="208">
        <v>45.3</v>
      </c>
      <c r="CW21" s="63" t="s">
        <v>1052</v>
      </c>
      <c r="CX21" s="64">
        <v>527.62</v>
      </c>
      <c r="CY21" s="78"/>
      <c r="DA21" s="269" t="s">
        <v>1202</v>
      </c>
      <c r="DB21" s="208">
        <f>6.5+6.5+12</f>
        <v>25</v>
      </c>
      <c r="DC21" s="63" t="s">
        <v>1053</v>
      </c>
      <c r="DD21" s="64">
        <v>17242</v>
      </c>
      <c r="DE21" s="78" t="s">
        <v>1443</v>
      </c>
      <c r="DF21" s="9">
        <v>100</v>
      </c>
      <c r="DG21" s="301" t="s">
        <v>1415</v>
      </c>
      <c r="DH21" s="306">
        <v>30.01</v>
      </c>
      <c r="DI21" s="63" t="s">
        <v>1473</v>
      </c>
      <c r="DJ21" s="274">
        <v>10000</v>
      </c>
      <c r="DK21" s="273" t="s">
        <v>1497</v>
      </c>
      <c r="DM21" s="300" t="s">
        <v>1527</v>
      </c>
      <c r="DN21" s="306">
        <v>420</v>
      </c>
      <c r="DO21" s="63" t="s">
        <v>1490</v>
      </c>
      <c r="DP21" s="274">
        <v>10000</v>
      </c>
      <c r="DQ21" s="273" t="s">
        <v>1586</v>
      </c>
      <c r="DS21" s="269" t="s">
        <v>1442</v>
      </c>
      <c r="DT21" s="283">
        <v>49.07</v>
      </c>
      <c r="DU21" s="63" t="s">
        <v>1504</v>
      </c>
      <c r="DV21" s="274">
        <v>10000</v>
      </c>
      <c r="DW21" s="60"/>
      <c r="DY21" s="248" t="s">
        <v>1544</v>
      </c>
      <c r="DZ21" t="s">
        <v>1611</v>
      </c>
      <c r="EA21" s="63"/>
      <c r="EB21" s="274"/>
      <c r="EE21" s="248" t="s">
        <v>1544</v>
      </c>
      <c r="EF21">
        <v>64</v>
      </c>
      <c r="EH21" s="1" t="s">
        <v>1464</v>
      </c>
      <c r="EI21" s="276">
        <v>5000</v>
      </c>
      <c r="EJ21" s="60" t="s">
        <v>1586</v>
      </c>
      <c r="EL21" s="248" t="s">
        <v>1293</v>
      </c>
      <c r="EM21">
        <v>158.44999999999999</v>
      </c>
      <c r="EN21" s="1" t="s">
        <v>1646</v>
      </c>
      <c r="EO21" s="276">
        <f>5000+5000</f>
        <v>10000</v>
      </c>
      <c r="ER21" s="349" t="s">
        <v>1293</v>
      </c>
      <c r="ES21" s="145">
        <v>136.79</v>
      </c>
      <c r="ET21" s="1" t="s">
        <v>1644</v>
      </c>
      <c r="EU21" s="276">
        <v>7000</v>
      </c>
      <c r="EV21" s="6" t="s">
        <v>1731</v>
      </c>
      <c r="EW21">
        <v>15</v>
      </c>
      <c r="EX21" s="349" t="s">
        <v>1614</v>
      </c>
      <c r="EY21" t="s">
        <v>1751</v>
      </c>
      <c r="EZ21" s="1" t="s">
        <v>1705</v>
      </c>
      <c r="FA21" s="276">
        <v>1000</v>
      </c>
      <c r="FB21" t="s">
        <v>1731</v>
      </c>
      <c r="FC21">
        <v>8.7100000000000009</v>
      </c>
      <c r="FD21" s="349" t="s">
        <v>1769</v>
      </c>
      <c r="FE21">
        <v>32</v>
      </c>
      <c r="FF21" s="1" t="s">
        <v>1705</v>
      </c>
      <c r="FG21" s="276">
        <v>1000</v>
      </c>
      <c r="FH21" s="6"/>
      <c r="FI21" s="3"/>
      <c r="FJ21" s="349" t="s">
        <v>1796</v>
      </c>
      <c r="FK21">
        <v>12</v>
      </c>
      <c r="FL21" s="1" t="s">
        <v>1576</v>
      </c>
      <c r="FM21" s="276">
        <v>15000</v>
      </c>
      <c r="FN21" s="60" t="s">
        <v>1717</v>
      </c>
      <c r="FO21">
        <v>6.37</v>
      </c>
      <c r="FP21" s="349" t="s">
        <v>1651</v>
      </c>
      <c r="FQ21" s="145">
        <f>20+20+31</f>
        <v>71</v>
      </c>
      <c r="FR21" s="1" t="s">
        <v>1764</v>
      </c>
      <c r="FS21" s="276">
        <v>25000</v>
      </c>
      <c r="FT21" s="390" t="s">
        <v>1893</v>
      </c>
      <c r="FU21">
        <v>1200</v>
      </c>
      <c r="FV21" s="349" t="s">
        <v>1202</v>
      </c>
      <c r="FW21">
        <f>6.5+15</f>
        <v>21.5</v>
      </c>
      <c r="FX21" s="1" t="s">
        <v>1708</v>
      </c>
      <c r="FY21" s="276">
        <v>3000</v>
      </c>
      <c r="FZ21" t="s">
        <v>1980</v>
      </c>
      <c r="GA21">
        <f>992-1001</f>
        <v>-9</v>
      </c>
      <c r="GB21" s="349" t="s">
        <v>1823</v>
      </c>
      <c r="GC21">
        <v>140.44999999999999</v>
      </c>
      <c r="GD21" s="1" t="s">
        <v>1708</v>
      </c>
      <c r="GE21" s="276">
        <v>3000</v>
      </c>
      <c r="GG21" s="246"/>
      <c r="GH21" s="349" t="s">
        <v>1823</v>
      </c>
      <c r="GI21">
        <v>140.44999999999999</v>
      </c>
      <c r="GJ21" s="1" t="s">
        <v>1931</v>
      </c>
      <c r="GK21" s="258">
        <v>33</v>
      </c>
      <c r="GL21" t="s">
        <v>1895</v>
      </c>
      <c r="GM21">
        <f>819.61-808</f>
        <v>11.610000000000014</v>
      </c>
      <c r="GN21" s="349" t="s">
        <v>1975</v>
      </c>
      <c r="GO21">
        <v>111.54</v>
      </c>
      <c r="GP21" s="1" t="s">
        <v>1931</v>
      </c>
      <c r="GQ21" s="258">
        <v>33</v>
      </c>
      <c r="GR21" t="s">
        <v>1585</v>
      </c>
      <c r="GS21" s="246"/>
      <c r="GT21" s="349" t="s">
        <v>2166</v>
      </c>
      <c r="GU21">
        <f>9.01+15+6.5</f>
        <v>30.509999999999998</v>
      </c>
      <c r="GV21" s="1" t="s">
        <v>1932</v>
      </c>
      <c r="GW21" s="276">
        <v>48</v>
      </c>
      <c r="GZ21" s="349" t="s">
        <v>2116</v>
      </c>
      <c r="HA21">
        <v>97.12</v>
      </c>
      <c r="HB21" s="1" t="s">
        <v>1931</v>
      </c>
      <c r="HC21" s="258">
        <v>0</v>
      </c>
      <c r="HD21" t="s">
        <v>2194</v>
      </c>
      <c r="HF21" s="349" t="s">
        <v>2150</v>
      </c>
      <c r="HG21" s="6">
        <v>85</v>
      </c>
      <c r="HH21" s="1" t="s">
        <v>2021</v>
      </c>
      <c r="HI21" s="276">
        <v>4000</v>
      </c>
      <c r="HK21" s="410"/>
      <c r="HL21" s="341" t="s">
        <v>2176</v>
      </c>
      <c r="HM21">
        <v>48.88</v>
      </c>
      <c r="HN21" s="1" t="s">
        <v>2020</v>
      </c>
      <c r="HO21" s="276">
        <v>3000</v>
      </c>
      <c r="HR21" s="349" t="s">
        <v>2258</v>
      </c>
      <c r="HS21">
        <v>42.65</v>
      </c>
      <c r="HT21" s="66" t="s">
        <v>2213</v>
      </c>
      <c r="HU21">
        <f>5000+5000+5000</f>
        <v>15000</v>
      </c>
      <c r="HW21" s="530"/>
      <c r="HX21" s="349" t="s">
        <v>1019</v>
      </c>
      <c r="HY21">
        <f>9</f>
        <v>9</v>
      </c>
      <c r="HZ21" s="532" t="s">
        <v>2295</v>
      </c>
      <c r="IA21" s="547">
        <v>345026.96</v>
      </c>
      <c r="IB21" s="548" t="s">
        <v>2349</v>
      </c>
      <c r="IC21" s="549">
        <v>598.5</v>
      </c>
      <c r="ID21" s="349" t="s">
        <v>2427</v>
      </c>
      <c r="IE21" s="145">
        <v>137.03</v>
      </c>
      <c r="IF21" s="66" t="s">
        <v>2276</v>
      </c>
      <c r="IG21" s="2">
        <v>50001</v>
      </c>
      <c r="IH21" t="s">
        <v>2420</v>
      </c>
      <c r="II21">
        <v>18</v>
      </c>
      <c r="IJ21" s="349" t="s">
        <v>2195</v>
      </c>
      <c r="IK21">
        <v>9</v>
      </c>
      <c r="IL21" s="532" t="s">
        <v>2295</v>
      </c>
      <c r="IM21" s="246">
        <v>65005</v>
      </c>
      <c r="IN21" s="588"/>
      <c r="IO21" s="534"/>
      <c r="IP21" s="341" t="s">
        <v>2550</v>
      </c>
      <c r="IQ21" s="61">
        <v>30</v>
      </c>
      <c r="IR21" s="7" t="s">
        <v>2480</v>
      </c>
      <c r="IS21">
        <v>2007</v>
      </c>
      <c r="IT21" s="411"/>
      <c r="IU21" s="552"/>
      <c r="IV21" s="341" t="s">
        <v>2653</v>
      </c>
      <c r="IW21" s="61">
        <v>42.51</v>
      </c>
      <c r="IX21" s="628"/>
      <c r="IZ21" s="411"/>
      <c r="JA21" s="552"/>
      <c r="JB21" s="349" t="s">
        <v>2392</v>
      </c>
      <c r="JC21" s="61">
        <f>17.98+13.67</f>
        <v>31.65</v>
      </c>
      <c r="JD21" s="681" t="s">
        <v>2506</v>
      </c>
    </row>
    <row r="22" spans="1:266" x14ac:dyDescent="0.2">
      <c r="A22" s="63" t="s">
        <v>1004</v>
      </c>
      <c r="B22" s="64">
        <v>551</v>
      </c>
      <c r="E22" s="167"/>
      <c r="F22" s="169"/>
      <c r="G22" s="63" t="s">
        <v>1004</v>
      </c>
      <c r="H22" s="64">
        <v>551</v>
      </c>
      <c r="K22" s="248" t="s">
        <v>1036</v>
      </c>
      <c r="L22" s="145">
        <v>0</v>
      </c>
      <c r="M22" s="777" t="s">
        <v>513</v>
      </c>
      <c r="N22" s="777"/>
      <c r="Q22" s="169" t="s">
        <v>371</v>
      </c>
      <c r="S22" s="777" t="s">
        <v>513</v>
      </c>
      <c r="T22" s="777"/>
      <c r="W22" s="248" t="s">
        <v>1033</v>
      </c>
      <c r="X22" s="145">
        <v>0</v>
      </c>
      <c r="Y22" s="63" t="s">
        <v>1053</v>
      </c>
      <c r="Z22" s="64">
        <v>13800</v>
      </c>
      <c r="AC22" s="146" t="s">
        <v>1022</v>
      </c>
      <c r="AD22" s="145">
        <v>0</v>
      </c>
      <c r="AE22" s="63" t="s">
        <v>1052</v>
      </c>
      <c r="AF22" s="64">
        <v>527</v>
      </c>
      <c r="AI22" s="146" t="s">
        <v>1022</v>
      </c>
      <c r="AJ22" s="208">
        <v>64</v>
      </c>
      <c r="AK22" s="63" t="s">
        <v>1052</v>
      </c>
      <c r="AL22" s="64">
        <v>527</v>
      </c>
      <c r="AM22" t="s">
        <v>1119</v>
      </c>
      <c r="AN22">
        <v>2200</v>
      </c>
      <c r="AO22" s="248" t="s">
        <v>1128</v>
      </c>
      <c r="AP22" s="208">
        <v>325</v>
      </c>
      <c r="AQ22" s="63" t="s">
        <v>1052</v>
      </c>
      <c r="AR22" s="64">
        <v>527</v>
      </c>
      <c r="AU22" s="248" t="s">
        <v>1161</v>
      </c>
      <c r="AV22" s="208" t="s">
        <v>692</v>
      </c>
      <c r="AW22" s="63" t="s">
        <v>1052</v>
      </c>
      <c r="AX22" s="64">
        <v>527.62</v>
      </c>
      <c r="AY22" s="248"/>
      <c r="AZ22" s="208"/>
      <c r="BA22" s="63" t="s">
        <v>1052</v>
      </c>
      <c r="BB22" s="64">
        <f t="shared" si="0"/>
        <v>527.62</v>
      </c>
      <c r="BC22" s="78"/>
      <c r="BE22" s="248" t="s">
        <v>1033</v>
      </c>
      <c r="BF22" s="208"/>
      <c r="BG22" s="63" t="s">
        <v>1052</v>
      </c>
      <c r="BH22" s="64">
        <v>527.62</v>
      </c>
      <c r="BK22" s="269" t="s">
        <v>1033</v>
      </c>
      <c r="BL22" s="208" t="s">
        <v>692</v>
      </c>
      <c r="BM22" s="63" t="s">
        <v>1052</v>
      </c>
      <c r="BN22" s="64">
        <v>527.62</v>
      </c>
      <c r="BO22" s="78" t="s">
        <v>1243</v>
      </c>
      <c r="BP22" s="9">
        <v>4.5</v>
      </c>
      <c r="BQ22" s="269" t="s">
        <v>1033</v>
      </c>
      <c r="BR22" s="208" t="s">
        <v>692</v>
      </c>
      <c r="BS22" s="63" t="s">
        <v>1052</v>
      </c>
      <c r="BT22" s="231">
        <v>527.62</v>
      </c>
      <c r="BU22" s="78"/>
      <c r="BW22" s="269" t="s">
        <v>1033</v>
      </c>
      <c r="BX22" s="208" t="s">
        <v>692</v>
      </c>
      <c r="BY22" s="63" t="s">
        <v>1053</v>
      </c>
      <c r="BZ22" s="64">
        <f>BT23</f>
        <v>22203.86</v>
      </c>
      <c r="CA22" s="78"/>
      <c r="CC22" s="269" t="s">
        <v>1033</v>
      </c>
      <c r="CD22" s="208" t="s">
        <v>692</v>
      </c>
      <c r="CE22" s="63" t="s">
        <v>1053</v>
      </c>
      <c r="CF22" s="64">
        <v>22203.86</v>
      </c>
      <c r="CI22" s="269" t="s">
        <v>1033</v>
      </c>
      <c r="CJ22" s="208" t="s">
        <v>692</v>
      </c>
      <c r="CK22" s="63" t="s">
        <v>1280</v>
      </c>
      <c r="CL22" s="64" t="s">
        <v>692</v>
      </c>
      <c r="CO22" s="270" t="s">
        <v>1344</v>
      </c>
      <c r="CP22" s="208" t="s">
        <v>1343</v>
      </c>
      <c r="CQ22" s="63" t="s">
        <v>1053</v>
      </c>
      <c r="CR22" s="64">
        <v>17242.32</v>
      </c>
      <c r="CS22" s="78"/>
      <c r="CU22" s="270" t="s">
        <v>1202</v>
      </c>
      <c r="CV22" s="208">
        <v>13</v>
      </c>
      <c r="CW22" s="63" t="s">
        <v>1003</v>
      </c>
      <c r="CX22" s="64">
        <f>26991+10000</f>
        <v>36991</v>
      </c>
      <c r="DA22" s="269" t="s">
        <v>1293</v>
      </c>
      <c r="DB22" s="208">
        <v>119.11</v>
      </c>
      <c r="DC22" s="63" t="s">
        <v>1052</v>
      </c>
      <c r="DD22" s="64">
        <v>527</v>
      </c>
      <c r="DE22" s="78"/>
      <c r="DF22" s="6"/>
      <c r="DG22" s="301" t="s">
        <v>1332</v>
      </c>
      <c r="DH22" s="283">
        <f>24+2.1</f>
        <v>26.1</v>
      </c>
      <c r="DI22" s="63" t="s">
        <v>1474</v>
      </c>
      <c r="DJ22" s="274">
        <v>10000</v>
      </c>
      <c r="DK22" s="6" t="s">
        <v>1477</v>
      </c>
      <c r="DL22" s="9">
        <f>10027-10000</f>
        <v>27</v>
      </c>
      <c r="DM22" s="297" t="s">
        <v>1384</v>
      </c>
      <c r="DO22" s="63"/>
      <c r="DP22" s="274"/>
      <c r="DQ22" s="6" t="s">
        <v>1506</v>
      </c>
      <c r="DR22" s="283">
        <v>80.19</v>
      </c>
      <c r="DS22" s="269" t="s">
        <v>1567</v>
      </c>
      <c r="DT22" s="283">
        <f>6.5+15+171+12</f>
        <v>204.5</v>
      </c>
      <c r="DU22" s="63"/>
      <c r="DV22" s="274"/>
      <c r="DY22" s="248" t="s">
        <v>1519</v>
      </c>
      <c r="DZ22">
        <f>15.9+16.73+14.68+13.7+15.31+11.22+16.8+10</f>
        <v>114.34</v>
      </c>
      <c r="EA22" s="63" t="s">
        <v>1476</v>
      </c>
      <c r="EB22" s="274">
        <v>5000</v>
      </c>
      <c r="EE22" s="248" t="s">
        <v>1519</v>
      </c>
      <c r="EF22">
        <f>12.24+16.64+6.43+4+7.12+8</f>
        <v>54.43</v>
      </c>
      <c r="EH22" s="1" t="s">
        <v>1643</v>
      </c>
      <c r="EI22" s="276">
        <v>5000</v>
      </c>
      <c r="EJ22" t="s">
        <v>1652</v>
      </c>
      <c r="EK22">
        <v>57.67</v>
      </c>
      <c r="EL22" s="248" t="s">
        <v>1614</v>
      </c>
      <c r="EM22">
        <v>11</v>
      </c>
      <c r="EN22" s="1" t="s">
        <v>1507</v>
      </c>
      <c r="EO22" s="276">
        <v>10000</v>
      </c>
      <c r="ER22" s="349" t="s">
        <v>1614</v>
      </c>
      <c r="ES22" s="145">
        <v>11</v>
      </c>
      <c r="ET22" s="1" t="s">
        <v>1706</v>
      </c>
      <c r="EU22" s="276">
        <v>12000</v>
      </c>
      <c r="EV22" s="6" t="s">
        <v>1735</v>
      </c>
      <c r="EW22">
        <v>18</v>
      </c>
      <c r="EX22" s="349" t="s">
        <v>1544</v>
      </c>
      <c r="EY22">
        <f>64+64</f>
        <v>128</v>
      </c>
      <c r="EZ22" s="1" t="s">
        <v>1644</v>
      </c>
      <c r="FA22" s="276">
        <v>8000</v>
      </c>
      <c r="FB22" s="6" t="s">
        <v>1759</v>
      </c>
      <c r="FC22" s="764" t="s">
        <v>1757</v>
      </c>
      <c r="FD22" s="349" t="s">
        <v>1019</v>
      </c>
      <c r="FE22">
        <v>9</v>
      </c>
      <c r="FF22" s="1" t="s">
        <v>1644</v>
      </c>
      <c r="FG22" s="276">
        <v>2000</v>
      </c>
      <c r="FH22" s="6"/>
      <c r="FI22" s="6"/>
      <c r="FJ22" s="349" t="s">
        <v>1019</v>
      </c>
      <c r="FK22">
        <v>9</v>
      </c>
      <c r="FL22" s="1" t="s">
        <v>1705</v>
      </c>
      <c r="FM22" s="276">
        <v>0</v>
      </c>
      <c r="FN22" s="60" t="s">
        <v>1855</v>
      </c>
      <c r="FO22">
        <v>4.68</v>
      </c>
      <c r="FP22" s="349" t="s">
        <v>1202</v>
      </c>
      <c r="FQ22">
        <f>15+6.5</f>
        <v>21.5</v>
      </c>
      <c r="FR22" s="1" t="s">
        <v>1576</v>
      </c>
      <c r="FS22" s="276">
        <v>15000</v>
      </c>
      <c r="FT22" s="60" t="s">
        <v>1894</v>
      </c>
      <c r="FU22">
        <v>200</v>
      </c>
      <c r="FV22" s="349" t="s">
        <v>1941</v>
      </c>
      <c r="FW22">
        <v>10.96</v>
      </c>
      <c r="FX22" s="1" t="s">
        <v>1712</v>
      </c>
      <c r="FY22" s="276">
        <v>4000</v>
      </c>
      <c r="FZ22" s="60"/>
      <c r="GB22" s="349" t="s">
        <v>1202</v>
      </c>
      <c r="GC22" t="s">
        <v>692</v>
      </c>
      <c r="GD22" s="1" t="s">
        <v>1712</v>
      </c>
      <c r="GE22" s="276">
        <v>4000</v>
      </c>
      <c r="GF22" s="60" t="s">
        <v>2009</v>
      </c>
      <c r="GH22" s="349" t="s">
        <v>1202</v>
      </c>
      <c r="GI22">
        <f>13+30</f>
        <v>43</v>
      </c>
      <c r="GJ22" s="1" t="s">
        <v>1932</v>
      </c>
      <c r="GK22" s="276">
        <v>182</v>
      </c>
      <c r="GL22" s="60"/>
      <c r="GN22" s="349" t="s">
        <v>1823</v>
      </c>
      <c r="GO22">
        <v>140.44999999999999</v>
      </c>
      <c r="GP22" s="1" t="s">
        <v>1932</v>
      </c>
      <c r="GQ22" s="276">
        <v>2148</v>
      </c>
      <c r="GS22" s="246"/>
      <c r="GT22" s="349" t="s">
        <v>1941</v>
      </c>
      <c r="GU22">
        <v>10.96</v>
      </c>
      <c r="GV22" s="1" t="s">
        <v>2020</v>
      </c>
      <c r="GW22" s="276">
        <v>3000</v>
      </c>
      <c r="GX22" s="60"/>
      <c r="GZ22" s="349" t="s">
        <v>1823</v>
      </c>
      <c r="HA22">
        <v>140.44999999999999</v>
      </c>
      <c r="HB22" s="1" t="s">
        <v>1932</v>
      </c>
      <c r="HC22" s="276">
        <v>0</v>
      </c>
      <c r="HD22" s="60" t="s">
        <v>2138</v>
      </c>
      <c r="HE22">
        <v>10</v>
      </c>
      <c r="HF22" s="349" t="s">
        <v>2116</v>
      </c>
      <c r="HG22">
        <v>16.71</v>
      </c>
      <c r="HH22" s="1" t="s">
        <v>2022</v>
      </c>
      <c r="HI22" s="276">
        <v>25000</v>
      </c>
      <c r="HK22" s="410"/>
      <c r="HL22" s="341" t="s">
        <v>2186</v>
      </c>
      <c r="HM22">
        <v>115.9</v>
      </c>
      <c r="HN22" s="1" t="s">
        <v>2179</v>
      </c>
      <c r="HO22" s="276">
        <v>4000</v>
      </c>
      <c r="HR22" s="349" t="s">
        <v>2257</v>
      </c>
      <c r="HS22">
        <v>64</v>
      </c>
      <c r="HT22" s="66" t="s">
        <v>2214</v>
      </c>
      <c r="HU22">
        <f>5002+10000+5002+10002+5000</f>
        <v>35006</v>
      </c>
      <c r="HW22" s="410"/>
      <c r="HX22" s="349" t="s">
        <v>2291</v>
      </c>
      <c r="HY22">
        <v>64</v>
      </c>
      <c r="HZ22" s="66" t="s">
        <v>2212</v>
      </c>
      <c r="IA22" s="276">
        <v>2000</v>
      </c>
      <c r="IB22" s="550" t="s">
        <v>2347</v>
      </c>
      <c r="IC22" s="551">
        <f>19.95*3</f>
        <v>59.849999999999994</v>
      </c>
      <c r="ID22" s="349" t="s">
        <v>2362</v>
      </c>
      <c r="IE22">
        <v>167</v>
      </c>
      <c r="IF22" s="1" t="s">
        <v>2306</v>
      </c>
      <c r="IG22" s="276">
        <v>-80000</v>
      </c>
      <c r="IH22" t="s">
        <v>2443</v>
      </c>
      <c r="II22">
        <f>9.86*4</f>
        <v>39.44</v>
      </c>
      <c r="IJ22" s="349" t="s">
        <v>2272</v>
      </c>
      <c r="IK22">
        <v>64</v>
      </c>
      <c r="IL22" s="66" t="s">
        <v>2382</v>
      </c>
      <c r="IM22" s="272">
        <v>2190</v>
      </c>
      <c r="IN22" s="614"/>
      <c r="IO22" s="534"/>
      <c r="IP22" s="341" t="s">
        <v>2502</v>
      </c>
      <c r="IQ22" s="61">
        <v>10</v>
      </c>
      <c r="IR22" s="580" t="s">
        <v>2506</v>
      </c>
      <c r="IS22" s="579"/>
      <c r="IT22" s="412"/>
      <c r="IV22" s="341" t="s">
        <v>2670</v>
      </c>
      <c r="IW22" s="61">
        <v>45.98</v>
      </c>
      <c r="IX22" s="628" t="s">
        <v>2449</v>
      </c>
      <c r="IZ22" s="411"/>
      <c r="JA22" s="552"/>
      <c r="JB22" s="341" t="s">
        <v>1870</v>
      </c>
      <c r="JC22" s="61"/>
      <c r="JD22" s="681" t="s">
        <v>2449</v>
      </c>
    </row>
    <row r="23" spans="1:266" x14ac:dyDescent="0.2">
      <c r="A23" s="63"/>
      <c r="B23" s="64"/>
      <c r="E23" s="168" t="s">
        <v>452</v>
      </c>
      <c r="F23" s="169"/>
      <c r="G23" s="63"/>
      <c r="H23" s="64"/>
      <c r="K23" s="248" t="s">
        <v>1033</v>
      </c>
      <c r="L23" s="145">
        <v>0</v>
      </c>
      <c r="M23" s="772" t="s">
        <v>997</v>
      </c>
      <c r="N23" s="772"/>
      <c r="Q23" s="169" t="s">
        <v>375</v>
      </c>
      <c r="S23" s="772" t="s">
        <v>997</v>
      </c>
      <c r="T23" s="772"/>
      <c r="W23" s="248" t="s">
        <v>1026</v>
      </c>
      <c r="X23" s="145">
        <v>0</v>
      </c>
      <c r="Y23" s="777" t="s">
        <v>513</v>
      </c>
      <c r="Z23" s="777"/>
      <c r="AC23" s="146" t="s">
        <v>1021</v>
      </c>
      <c r="AD23" s="145">
        <v>80.001000000000005</v>
      </c>
      <c r="AE23" s="63" t="s">
        <v>1053</v>
      </c>
      <c r="AF23" s="64" t="s">
        <v>1086</v>
      </c>
      <c r="AI23" s="146" t="s">
        <v>1021</v>
      </c>
      <c r="AJ23" s="208">
        <v>150</v>
      </c>
      <c r="AK23" s="63" t="s">
        <v>1053</v>
      </c>
      <c r="AL23" s="64" t="s">
        <v>1086</v>
      </c>
      <c r="AO23" s="248" t="s">
        <v>1133</v>
      </c>
      <c r="AP23" s="208">
        <v>0</v>
      </c>
      <c r="AQ23" s="63" t="s">
        <v>1053</v>
      </c>
      <c r="AR23" s="64">
        <v>20000</v>
      </c>
      <c r="AU23" s="248" t="s">
        <v>1133</v>
      </c>
      <c r="AV23" s="208">
        <f>200+150+172</f>
        <v>522</v>
      </c>
      <c r="AW23" s="63" t="s">
        <v>1053</v>
      </c>
      <c r="AX23" s="90">
        <v>19203.86</v>
      </c>
      <c r="AY23" s="248"/>
      <c r="AZ23" s="208"/>
      <c r="BA23" s="63" t="s">
        <v>1053</v>
      </c>
      <c r="BB23" s="64">
        <f t="shared" si="0"/>
        <v>19203.86</v>
      </c>
      <c r="BE23" s="248" t="s">
        <v>1036</v>
      </c>
      <c r="BG23" s="63" t="s">
        <v>1053</v>
      </c>
      <c r="BH23" s="90">
        <v>19203.86</v>
      </c>
      <c r="BK23" s="269" t="s">
        <v>1036</v>
      </c>
      <c r="BL23" s="221" t="s">
        <v>692</v>
      </c>
      <c r="BM23" s="63" t="s">
        <v>1053</v>
      </c>
      <c r="BN23" s="90">
        <v>19203.86</v>
      </c>
      <c r="BQ23" s="269" t="s">
        <v>1036</v>
      </c>
      <c r="BR23" s="221" t="s">
        <v>692</v>
      </c>
      <c r="BS23" s="63" t="s">
        <v>1053</v>
      </c>
      <c r="BT23" s="231">
        <v>22203.86</v>
      </c>
      <c r="BW23" s="269" t="s">
        <v>1036</v>
      </c>
      <c r="BX23" s="221" t="s">
        <v>692</v>
      </c>
      <c r="BY23" s="63" t="s">
        <v>1269</v>
      </c>
      <c r="BZ23" s="64">
        <f>10000+4000</f>
        <v>14000</v>
      </c>
      <c r="CC23" s="269" t="s">
        <v>1036</v>
      </c>
      <c r="CD23" s="221" t="s">
        <v>692</v>
      </c>
      <c r="CE23" s="63" t="s">
        <v>1280</v>
      </c>
      <c r="CF23" s="64">
        <v>10000</v>
      </c>
      <c r="CI23" s="270" t="s">
        <v>1331</v>
      </c>
      <c r="CJ23" s="208">
        <v>91.86</v>
      </c>
      <c r="CK23" s="263" t="s">
        <v>1275</v>
      </c>
      <c r="CL23" s="284">
        <v>-20000</v>
      </c>
      <c r="CO23" s="270" t="s">
        <v>1358</v>
      </c>
      <c r="CP23" s="208">
        <v>57.34</v>
      </c>
      <c r="CQ23" s="263" t="s">
        <v>1275</v>
      </c>
      <c r="CR23" s="284">
        <v>-20000</v>
      </c>
      <c r="CS23" s="78" t="s">
        <v>1379</v>
      </c>
      <c r="CT23" s="78" t="s">
        <v>1380</v>
      </c>
      <c r="CU23" s="270" t="s">
        <v>1293</v>
      </c>
      <c r="CV23" s="208">
        <v>136.53</v>
      </c>
      <c r="CW23" s="263" t="s">
        <v>1275</v>
      </c>
      <c r="CX23" s="284">
        <v>-20000</v>
      </c>
      <c r="DA23" s="269" t="s">
        <v>1341</v>
      </c>
      <c r="DB23" s="208">
        <v>53.24</v>
      </c>
      <c r="DC23" s="63" t="s">
        <v>1003</v>
      </c>
      <c r="DD23" s="64">
        <v>45991</v>
      </c>
      <c r="DF23" s="6"/>
      <c r="DG23" s="301" t="s">
        <v>1422</v>
      </c>
      <c r="DH23" s="283" t="s">
        <v>692</v>
      </c>
      <c r="DI23" s="63" t="s">
        <v>1465</v>
      </c>
      <c r="DJ23" s="274">
        <v>10000</v>
      </c>
      <c r="DM23" s="297" t="s">
        <v>1524</v>
      </c>
      <c r="DN23" s="311">
        <v>189.2</v>
      </c>
      <c r="DO23" s="63" t="s">
        <v>1476</v>
      </c>
      <c r="DP23" s="274">
        <v>5000</v>
      </c>
      <c r="DQ23" s="6" t="s">
        <v>1507</v>
      </c>
      <c r="DR23" s="9">
        <v>10.51</v>
      </c>
      <c r="DS23" s="269" t="s">
        <v>1293</v>
      </c>
      <c r="DT23" s="283">
        <v>140.44999999999999</v>
      </c>
      <c r="DU23" s="63" t="s">
        <v>1476</v>
      </c>
      <c r="DV23" s="274">
        <v>5000</v>
      </c>
      <c r="EA23" s="63" t="s">
        <v>1464</v>
      </c>
      <c r="EB23" s="274">
        <v>5000</v>
      </c>
      <c r="EE23" s="341" t="s">
        <v>1647</v>
      </c>
      <c r="EF23">
        <v>10</v>
      </c>
      <c r="EH23" s="1" t="s">
        <v>1644</v>
      </c>
      <c r="EI23" s="276">
        <v>10000</v>
      </c>
      <c r="EJ23" t="s">
        <v>1653</v>
      </c>
      <c r="EK23">
        <v>33.71</v>
      </c>
      <c r="EL23" s="248" t="s">
        <v>1544</v>
      </c>
      <c r="EM23">
        <f>64+32</f>
        <v>96</v>
      </c>
      <c r="EN23" s="1" t="s">
        <v>1506</v>
      </c>
      <c r="EO23" s="276">
        <v>30000</v>
      </c>
      <c r="ER23" s="349" t="s">
        <v>1544</v>
      </c>
      <c r="ES23" s="145">
        <v>0</v>
      </c>
      <c r="ET23" s="1" t="s">
        <v>1707</v>
      </c>
      <c r="EU23" s="276">
        <v>13000</v>
      </c>
      <c r="EV23" s="6" t="s">
        <v>1743</v>
      </c>
      <c r="EW23">
        <f>4074+4965-9000</f>
        <v>39</v>
      </c>
      <c r="EX23" s="349" t="s">
        <v>1519</v>
      </c>
      <c r="EY23">
        <f>5.2+0.88+2.24+16.2+10+1.44+10.21+16.7+1.31+15.1+2.62+2.62+2.53+2.62+2.62+4.71</f>
        <v>97</v>
      </c>
      <c r="EZ23" s="1" t="s">
        <v>1706</v>
      </c>
      <c r="FA23" s="276">
        <v>2000</v>
      </c>
      <c r="FB23" s="6"/>
      <c r="FC23" s="764"/>
      <c r="FD23" s="349" t="s">
        <v>1519</v>
      </c>
      <c r="FE23">
        <f>2.62+4.71+2.62+13.99+15.65+7.92+10.66+6.21</f>
        <v>64.38</v>
      </c>
      <c r="FF23" s="1" t="s">
        <v>1706</v>
      </c>
      <c r="FG23" s="276">
        <v>2000</v>
      </c>
      <c r="FH23" s="6"/>
      <c r="FJ23" s="349" t="s">
        <v>1519</v>
      </c>
      <c r="FK23">
        <f>8.69+8.74+7.36+10.96+7.08+7.26</f>
        <v>50.089999999999996</v>
      </c>
      <c r="FL23" s="1" t="s">
        <v>1705</v>
      </c>
      <c r="FM23" s="276">
        <v>0</v>
      </c>
      <c r="FP23" s="349" t="s">
        <v>1544</v>
      </c>
      <c r="FQ23">
        <v>64</v>
      </c>
      <c r="FR23" s="1" t="s">
        <v>1644</v>
      </c>
      <c r="FS23" s="276" t="s">
        <v>1086</v>
      </c>
      <c r="FT23" t="s">
        <v>1910</v>
      </c>
      <c r="FU23">
        <v>1193.8599999999999</v>
      </c>
      <c r="FV23" s="349" t="s">
        <v>1544</v>
      </c>
      <c r="FW23" t="s">
        <v>663</v>
      </c>
      <c r="FX23" s="1" t="s">
        <v>1764</v>
      </c>
      <c r="FY23" s="276">
        <v>25000</v>
      </c>
      <c r="GB23" s="349" t="s">
        <v>1941</v>
      </c>
      <c r="GC23">
        <v>10.96</v>
      </c>
      <c r="GD23" s="1" t="s">
        <v>1764</v>
      </c>
      <c r="GE23" s="276">
        <v>25000</v>
      </c>
      <c r="GF23" t="s">
        <v>1895</v>
      </c>
      <c r="GG23">
        <f>990.58-1001</f>
        <v>-10.419999999999959</v>
      </c>
      <c r="GH23" s="349" t="s">
        <v>1941</v>
      </c>
      <c r="GI23">
        <v>10.96</v>
      </c>
      <c r="GJ23" s="1" t="s">
        <v>1708</v>
      </c>
      <c r="GK23" s="276">
        <v>3000</v>
      </c>
      <c r="GN23" s="349" t="s">
        <v>1202</v>
      </c>
      <c r="GO23">
        <f>15+6.5+25.7</f>
        <v>47.2</v>
      </c>
      <c r="GP23" s="1" t="s">
        <v>2020</v>
      </c>
      <c r="GQ23" s="276">
        <v>3000</v>
      </c>
      <c r="GR23" s="60" t="s">
        <v>2057</v>
      </c>
      <c r="GT23" s="349" t="s">
        <v>1544</v>
      </c>
      <c r="GU23">
        <v>64</v>
      </c>
      <c r="GV23" s="1" t="s">
        <v>2021</v>
      </c>
      <c r="GW23" s="276">
        <v>4000</v>
      </c>
      <c r="GZ23" s="349" t="s">
        <v>2167</v>
      </c>
      <c r="HA23">
        <f>10.96+9.01+6.5+15</f>
        <v>41.47</v>
      </c>
      <c r="HB23" s="1" t="s">
        <v>2020</v>
      </c>
      <c r="HC23" s="276">
        <v>3000</v>
      </c>
      <c r="HD23" t="s">
        <v>2157</v>
      </c>
      <c r="HF23" s="349" t="s">
        <v>1823</v>
      </c>
      <c r="HG23">
        <v>140.44999999999999</v>
      </c>
      <c r="HH23" s="1" t="s">
        <v>1645</v>
      </c>
      <c r="HI23" s="276">
        <v>2000</v>
      </c>
      <c r="HJ23" s="718" t="s">
        <v>2178</v>
      </c>
      <c r="HK23" s="718"/>
      <c r="HL23" s="341" t="s">
        <v>2185</v>
      </c>
      <c r="HM23">
        <v>57.3</v>
      </c>
      <c r="HN23" s="1" t="s">
        <v>2022</v>
      </c>
      <c r="HO23" s="276">
        <v>25000</v>
      </c>
      <c r="HR23" s="349" t="s">
        <v>2262</v>
      </c>
      <c r="HS23">
        <v>10</v>
      </c>
      <c r="HT23" s="66" t="s">
        <v>2237</v>
      </c>
      <c r="HU23">
        <f>5002+10000+10000+5000</f>
        <v>30002</v>
      </c>
      <c r="HV23" s="718" t="s">
        <v>2178</v>
      </c>
      <c r="HW23" s="718"/>
      <c r="HX23" s="349" t="s">
        <v>2331</v>
      </c>
      <c r="HY23">
        <v>30</v>
      </c>
      <c r="HZ23" s="66" t="s">
        <v>2275</v>
      </c>
      <c r="IA23" s="2">
        <v>60000.04</v>
      </c>
      <c r="IB23" s="412"/>
      <c r="ID23" s="349" t="s">
        <v>1202</v>
      </c>
      <c r="IE23">
        <f>15+6.5</f>
        <v>21.5</v>
      </c>
      <c r="IF23" s="1" t="s">
        <v>515</v>
      </c>
      <c r="IG23">
        <v>80</v>
      </c>
      <c r="IH23" t="s">
        <v>2444</v>
      </c>
      <c r="II23">
        <f>2.74+2.52+1.19*2</f>
        <v>7.64</v>
      </c>
      <c r="IJ23" s="349" t="s">
        <v>2392</v>
      </c>
      <c r="IK23" s="421">
        <f>20.75+15.85+16.8+10+21.56+17.42+14.05+10</f>
        <v>126.43</v>
      </c>
      <c r="IL23" s="1" t="s">
        <v>2476</v>
      </c>
      <c r="IM23">
        <v>150</v>
      </c>
      <c r="IN23" s="614"/>
      <c r="IO23" s="534"/>
      <c r="IP23" s="341" t="s">
        <v>1898</v>
      </c>
      <c r="IQ23" s="61">
        <v>80</v>
      </c>
      <c r="IR23" s="257" t="s">
        <v>2498</v>
      </c>
      <c r="IS23" s="282"/>
      <c r="IT23" s="718" t="s">
        <v>2178</v>
      </c>
      <c r="IU23" s="718"/>
      <c r="IV23" s="341" t="s">
        <v>2673</v>
      </c>
      <c r="IW23" s="61">
        <v>45.2</v>
      </c>
      <c r="IX23" s="675"/>
      <c r="IY23" s="635"/>
      <c r="IZ23" s="412"/>
      <c r="JB23" s="341" t="s">
        <v>2692</v>
      </c>
      <c r="JC23" s="61">
        <v>34</v>
      </c>
      <c r="JD23" s="709" t="s">
        <v>2736</v>
      </c>
      <c r="JE23" s="679">
        <v>165.24</v>
      </c>
    </row>
    <row r="24" spans="1:266" x14ac:dyDescent="0.2">
      <c r="A24" s="777" t="s">
        <v>513</v>
      </c>
      <c r="B24" s="777"/>
      <c r="E24" s="167" t="s">
        <v>237</v>
      </c>
      <c r="F24" s="169"/>
      <c r="G24" s="777" t="s">
        <v>513</v>
      </c>
      <c r="H24" s="777"/>
      <c r="K24" s="248" t="s">
        <v>1026</v>
      </c>
      <c r="L24" s="145">
        <v>0</v>
      </c>
      <c r="M24" s="738"/>
      <c r="N24" s="738"/>
      <c r="Q24" s="169" t="s">
        <v>1063</v>
      </c>
      <c r="S24" s="738"/>
      <c r="T24" s="738"/>
      <c r="W24" s="248" t="s">
        <v>1034</v>
      </c>
      <c r="X24" s="208">
        <v>0</v>
      </c>
      <c r="Y24" s="772" t="s">
        <v>997</v>
      </c>
      <c r="Z24" s="772"/>
      <c r="AC24"/>
      <c r="AE24" s="777" t="s">
        <v>513</v>
      </c>
      <c r="AF24" s="777"/>
      <c r="AI24"/>
      <c r="AK24" s="777" t="s">
        <v>513</v>
      </c>
      <c r="AL24" s="777"/>
      <c r="AO24" s="248" t="s">
        <v>1036</v>
      </c>
      <c r="AP24" s="145">
        <v>140</v>
      </c>
      <c r="AQ24" s="251" t="s">
        <v>513</v>
      </c>
      <c r="AR24" s="251"/>
      <c r="AU24" s="248" t="s">
        <v>1036</v>
      </c>
      <c r="AV24" s="145" t="s">
        <v>692</v>
      </c>
      <c r="AW24" s="251" t="s">
        <v>513</v>
      </c>
      <c r="AX24" s="263"/>
      <c r="AY24" s="248"/>
      <c r="BA24" s="263" t="s">
        <v>353</v>
      </c>
      <c r="BB24" s="263">
        <v>-30000</v>
      </c>
      <c r="BE24" s="146" t="s">
        <v>1059</v>
      </c>
      <c r="BF24" s="208" t="s">
        <v>663</v>
      </c>
      <c r="BG24" s="263" t="s">
        <v>353</v>
      </c>
      <c r="BH24" s="263">
        <v>-30000</v>
      </c>
      <c r="BK24" s="270" t="s">
        <v>1059</v>
      </c>
      <c r="BL24" s="208" t="s">
        <v>663</v>
      </c>
      <c r="BM24" s="263" t="s">
        <v>353</v>
      </c>
      <c r="BN24" s="263">
        <v>-30000</v>
      </c>
      <c r="BQ24" s="270" t="s">
        <v>1264</v>
      </c>
      <c r="BR24" s="208">
        <v>121.05</v>
      </c>
      <c r="BS24" s="263" t="s">
        <v>1236</v>
      </c>
      <c r="BT24" s="279">
        <v>-20000</v>
      </c>
      <c r="BW24" s="270" t="s">
        <v>1059</v>
      </c>
      <c r="BX24" s="208" t="s">
        <v>663</v>
      </c>
      <c r="BY24" s="263" t="s">
        <v>1275</v>
      </c>
      <c r="BZ24" s="284">
        <v>-20000</v>
      </c>
      <c r="CC24" s="270" t="s">
        <v>1059</v>
      </c>
      <c r="CD24" s="208">
        <v>47.12</v>
      </c>
      <c r="CE24" s="263" t="s">
        <v>1275</v>
      </c>
      <c r="CF24" s="284">
        <v>-20000</v>
      </c>
      <c r="CI24" s="270" t="s">
        <v>1318</v>
      </c>
      <c r="CJ24" s="208">
        <v>72.42</v>
      </c>
      <c r="CK24" s="6" t="s">
        <v>1320</v>
      </c>
      <c r="CL24" s="287">
        <v>802</v>
      </c>
      <c r="CO24" s="270" t="s">
        <v>1202</v>
      </c>
      <c r="CP24" s="208">
        <v>13</v>
      </c>
      <c r="CQ24" s="257" t="s">
        <v>1320</v>
      </c>
      <c r="CR24" s="257">
        <f>802-791</f>
        <v>11</v>
      </c>
      <c r="CU24" s="270" t="s">
        <v>1341</v>
      </c>
      <c r="CV24" s="208">
        <v>53.24</v>
      </c>
      <c r="CW24" s="294" t="s">
        <v>1320</v>
      </c>
      <c r="CX24" s="64"/>
      <c r="DA24" s="269" t="s">
        <v>1310</v>
      </c>
      <c r="DB24" s="208">
        <v>64</v>
      </c>
      <c r="DC24" s="263" t="s">
        <v>1275</v>
      </c>
      <c r="DD24" s="284">
        <v>-20000</v>
      </c>
      <c r="DE24" s="78" t="s">
        <v>1446</v>
      </c>
      <c r="DF24" s="9">
        <f>7.1+13</f>
        <v>20.100000000000001</v>
      </c>
      <c r="DG24" s="300" t="s">
        <v>1468</v>
      </c>
      <c r="DH24" s="306">
        <v>35.630000000000003</v>
      </c>
      <c r="DI24" s="63" t="s">
        <v>1466</v>
      </c>
      <c r="DJ24" s="274">
        <v>10000</v>
      </c>
      <c r="DK24" s="6"/>
      <c r="DM24" s="297"/>
      <c r="DN24" s="283"/>
      <c r="DO24" s="63" t="s">
        <v>1464</v>
      </c>
      <c r="DP24" s="274">
        <v>5000</v>
      </c>
      <c r="DQ24" s="6"/>
      <c r="DS24" s="269" t="s">
        <v>1341</v>
      </c>
      <c r="DT24" s="283">
        <v>11</v>
      </c>
      <c r="DU24" s="63" t="s">
        <v>1464</v>
      </c>
      <c r="DV24" s="274">
        <v>5000</v>
      </c>
      <c r="DY24" s="341" t="s">
        <v>1609</v>
      </c>
      <c r="DZ24">
        <v>25</v>
      </c>
      <c r="EA24" s="63" t="s">
        <v>1501</v>
      </c>
      <c r="EB24" s="274">
        <v>5000</v>
      </c>
      <c r="EE24" s="763" t="s">
        <v>1543</v>
      </c>
      <c r="EF24" s="763"/>
      <c r="EH24" s="1" t="s">
        <v>1645</v>
      </c>
      <c r="EI24" s="276">
        <v>5000</v>
      </c>
      <c r="EL24" s="248" t="s">
        <v>1519</v>
      </c>
      <c r="EM24">
        <f>5.43+3.52+5.66+9.02+8.26</f>
        <v>31.89</v>
      </c>
      <c r="EN24" s="1" t="s">
        <v>1574</v>
      </c>
      <c r="EO24" s="276">
        <v>20000</v>
      </c>
      <c r="ER24" s="349" t="s">
        <v>1519</v>
      </c>
      <c r="ES24" s="145">
        <f>7.48+6.15+3.6+2.24+10+2.24</f>
        <v>31.71</v>
      </c>
      <c r="ET24" s="1" t="s">
        <v>1711</v>
      </c>
      <c r="EU24" s="276">
        <v>10000</v>
      </c>
      <c r="EV24" s="6" t="s">
        <v>1758</v>
      </c>
      <c r="EW24" s="764" t="s">
        <v>1757</v>
      </c>
      <c r="EX24" s="341" t="s">
        <v>1734</v>
      </c>
      <c r="EY24">
        <f>6+3.65</f>
        <v>9.65</v>
      </c>
      <c r="EZ24" s="1" t="s">
        <v>1707</v>
      </c>
      <c r="FA24" s="276">
        <v>3000</v>
      </c>
      <c r="FB24" s="6"/>
      <c r="FC24" s="764"/>
      <c r="FD24" s="341" t="s">
        <v>1765</v>
      </c>
      <c r="FE24">
        <v>10</v>
      </c>
      <c r="FF24" s="1" t="s">
        <v>1707</v>
      </c>
      <c r="FG24" s="276">
        <v>3000</v>
      </c>
      <c r="FJ24" s="341" t="s">
        <v>1800</v>
      </c>
      <c r="FK24">
        <v>70</v>
      </c>
      <c r="FL24" s="1" t="s">
        <v>1644</v>
      </c>
      <c r="FM24" s="276">
        <v>2000</v>
      </c>
      <c r="FN24" s="6"/>
      <c r="FO24" s="3"/>
      <c r="FP24" s="349" t="s">
        <v>1796</v>
      </c>
      <c r="FQ24">
        <v>12</v>
      </c>
      <c r="FR24" s="1" t="s">
        <v>1706</v>
      </c>
      <c r="FS24" s="276">
        <v>2000</v>
      </c>
      <c r="FT24" s="60" t="s">
        <v>1911</v>
      </c>
      <c r="FV24" s="349" t="s">
        <v>1796</v>
      </c>
      <c r="FW24">
        <v>12</v>
      </c>
      <c r="FX24" s="1" t="s">
        <v>1706</v>
      </c>
      <c r="FY24" s="276">
        <v>2000</v>
      </c>
      <c r="GB24" s="349" t="s">
        <v>1995</v>
      </c>
      <c r="GC24">
        <v>64</v>
      </c>
      <c r="GD24" s="1" t="s">
        <v>1706</v>
      </c>
      <c r="GE24" s="276">
        <v>2000</v>
      </c>
      <c r="GF24" t="s">
        <v>1990</v>
      </c>
      <c r="GG24">
        <f>989.5-1001</f>
        <v>-11.5</v>
      </c>
      <c r="GH24" s="349" t="s">
        <v>1544</v>
      </c>
      <c r="GI24">
        <v>64</v>
      </c>
      <c r="GJ24" s="1" t="s">
        <v>1712</v>
      </c>
      <c r="GK24" s="276">
        <v>4000</v>
      </c>
      <c r="GN24" s="349" t="s">
        <v>1941</v>
      </c>
      <c r="GO24">
        <v>10.96</v>
      </c>
      <c r="GP24" s="1" t="s">
        <v>2021</v>
      </c>
      <c r="GQ24" s="276">
        <v>4000</v>
      </c>
      <c r="GT24" s="349" t="s">
        <v>1992</v>
      </c>
      <c r="GU24">
        <f>10+10</f>
        <v>20</v>
      </c>
      <c r="GV24" s="1" t="s">
        <v>2022</v>
      </c>
      <c r="GW24" s="276">
        <v>25000</v>
      </c>
      <c r="GZ24" s="349" t="s">
        <v>2168</v>
      </c>
      <c r="HA24">
        <f>10+2.2</f>
        <v>12.2</v>
      </c>
      <c r="HB24" s="1" t="s">
        <v>2021</v>
      </c>
      <c r="HC24" s="276">
        <v>4000</v>
      </c>
      <c r="HD24" t="s">
        <v>2160</v>
      </c>
      <c r="HF24" s="349" t="s">
        <v>1202</v>
      </c>
      <c r="HG24">
        <f>6.5+15+90</f>
        <v>111.5</v>
      </c>
      <c r="HH24" s="1" t="s">
        <v>1646</v>
      </c>
      <c r="HI24" s="276">
        <v>4000</v>
      </c>
      <c r="HJ24" s="356" t="s">
        <v>1966</v>
      </c>
      <c r="HK24" s="290">
        <f>SUM(HM7:HM7)</f>
        <v>1900.08</v>
      </c>
      <c r="HL24" t="s">
        <v>2205</v>
      </c>
      <c r="HM24" s="6">
        <v>130</v>
      </c>
      <c r="HN24" s="1" t="s">
        <v>1645</v>
      </c>
      <c r="HO24" s="276">
        <v>2000</v>
      </c>
      <c r="HR24" s="349" t="s">
        <v>1993</v>
      </c>
      <c r="HS24" s="421">
        <f>16.5+14.09+10+1.34+13.21+16.39+15.89+17.3</f>
        <v>104.72</v>
      </c>
      <c r="HT24" s="1" t="s">
        <v>1632</v>
      </c>
      <c r="HU24">
        <v>150</v>
      </c>
      <c r="HV24" s="355" t="s">
        <v>1966</v>
      </c>
      <c r="HW24" s="290">
        <f>SUM(HY8:HY8)</f>
        <v>1900.1</v>
      </c>
      <c r="HX24" s="349" t="s">
        <v>1993</v>
      </c>
      <c r="HY24" s="421">
        <f>17.86+15.16+7.54+15.3+16.45+13.02</f>
        <v>85.33</v>
      </c>
      <c r="HZ24" s="66" t="s">
        <v>2276</v>
      </c>
      <c r="IA24" s="2">
        <v>160001.65</v>
      </c>
      <c r="IB24" s="412"/>
      <c r="ID24" s="349" t="s">
        <v>1019</v>
      </c>
      <c r="IE24">
        <f>9</f>
        <v>9</v>
      </c>
      <c r="IF24" s="7" t="s">
        <v>2007</v>
      </c>
      <c r="IG24">
        <v>1002</v>
      </c>
      <c r="IJ24" s="341" t="s">
        <v>2459</v>
      </c>
      <c r="IK24">
        <v>60</v>
      </c>
      <c r="IL24" s="567" t="s">
        <v>2480</v>
      </c>
      <c r="IM24">
        <v>1004</v>
      </c>
      <c r="IN24" s="614"/>
      <c r="IO24" s="534"/>
      <c r="IP24" s="341" t="s">
        <v>2499</v>
      </c>
      <c r="IQ24" s="61">
        <v>40.5</v>
      </c>
      <c r="IR24" s="581" t="s">
        <v>2508</v>
      </c>
      <c r="IS24" s="579">
        <v>28</v>
      </c>
      <c r="IT24" s="355" t="s">
        <v>1966</v>
      </c>
      <c r="IU24" s="290">
        <f>SUM(IW6:IW8)</f>
        <v>3911.02</v>
      </c>
      <c r="IV24" s="341" t="s">
        <v>2671</v>
      </c>
      <c r="IW24" s="61">
        <v>54.7</v>
      </c>
      <c r="IX24" s="546"/>
      <c r="IZ24" s="718" t="s">
        <v>2178</v>
      </c>
      <c r="JA24" s="718"/>
      <c r="JB24" s="341" t="s">
        <v>2730</v>
      </c>
      <c r="JC24" s="61">
        <v>64.75</v>
      </c>
      <c r="JD24" s="681"/>
    </row>
    <row r="25" spans="1:266" x14ac:dyDescent="0.2">
      <c r="A25" s="772" t="s">
        <v>997</v>
      </c>
      <c r="B25" s="772"/>
      <c r="E25" s="167" t="s">
        <v>139</v>
      </c>
      <c r="F25" s="169"/>
      <c r="G25" s="772" t="s">
        <v>997</v>
      </c>
      <c r="H25" s="772"/>
      <c r="K25" s="248" t="s">
        <v>1034</v>
      </c>
      <c r="L25" s="208">
        <v>0</v>
      </c>
      <c r="M25" s="738"/>
      <c r="N25" s="738"/>
      <c r="Q25" s="248" t="s">
        <v>1036</v>
      </c>
      <c r="R25" s="145">
        <v>0</v>
      </c>
      <c r="S25" s="738"/>
      <c r="T25" s="738"/>
      <c r="W25" s="248" t="s">
        <v>1057</v>
      </c>
      <c r="X25" s="145">
        <v>910.17</v>
      </c>
      <c r="Y25" s="738"/>
      <c r="Z25" s="738"/>
      <c r="AC25" s="252" t="s">
        <v>1090</v>
      </c>
      <c r="AD25" s="145">
        <v>90</v>
      </c>
      <c r="AE25" s="772" t="s">
        <v>997</v>
      </c>
      <c r="AF25" s="772"/>
      <c r="AI25" s="249" t="s">
        <v>1108</v>
      </c>
      <c r="AJ25" s="145">
        <v>30</v>
      </c>
      <c r="AK25" s="772" t="s">
        <v>997</v>
      </c>
      <c r="AL25" s="772"/>
      <c r="AO25" s="248" t="s">
        <v>1034</v>
      </c>
      <c r="AP25" s="208">
        <v>0</v>
      </c>
      <c r="AQ25" s="6" t="s">
        <v>1153</v>
      </c>
      <c r="AR25" s="6"/>
      <c r="AU25" s="248" t="s">
        <v>1034</v>
      </c>
      <c r="AV25" s="208" t="s">
        <v>692</v>
      </c>
      <c r="AW25" s="6" t="s">
        <v>353</v>
      </c>
      <c r="AY25" s="248"/>
      <c r="AZ25" s="208"/>
      <c r="BE25" s="146" t="s">
        <v>1058</v>
      </c>
      <c r="BF25" s="208">
        <v>54.83</v>
      </c>
      <c r="BG25" s="772"/>
      <c r="BH25" s="772"/>
      <c r="BK25" s="270" t="s">
        <v>1229</v>
      </c>
      <c r="BL25" s="208">
        <v>48.54</v>
      </c>
      <c r="BM25" s="772"/>
      <c r="BN25" s="772"/>
      <c r="BQ25" s="270" t="s">
        <v>1058</v>
      </c>
      <c r="BR25" s="208">
        <v>50.15</v>
      </c>
      <c r="BS25" s="772" t="s">
        <v>1252</v>
      </c>
      <c r="BT25" s="772"/>
      <c r="BW25" s="270" t="s">
        <v>1058</v>
      </c>
      <c r="BX25" s="208">
        <v>48.54</v>
      </c>
      <c r="BY25" s="772"/>
      <c r="BZ25" s="772"/>
      <c r="CC25" s="270" t="s">
        <v>1058</v>
      </c>
      <c r="CD25" s="208">
        <v>142.91</v>
      </c>
      <c r="CE25" s="772"/>
      <c r="CF25" s="772"/>
      <c r="CI25" s="270" t="s">
        <v>1319</v>
      </c>
      <c r="CJ25" s="208">
        <v>35.049999999999997</v>
      </c>
      <c r="CK25" s="738"/>
      <c r="CL25" s="738"/>
      <c r="CO25" s="270" t="s">
        <v>1293</v>
      </c>
      <c r="CP25" s="208">
        <v>153.41</v>
      </c>
      <c r="CQ25" s="738" t="s">
        <v>1334</v>
      </c>
      <c r="CR25" s="738"/>
      <c r="CU25" s="270" t="s">
        <v>1310</v>
      </c>
      <c r="CV25" s="208">
        <v>32</v>
      </c>
      <c r="CW25" s="294" t="s">
        <v>1359</v>
      </c>
      <c r="CX25" s="294" t="s">
        <v>1374</v>
      </c>
      <c r="DA25" s="269" t="s">
        <v>1409</v>
      </c>
      <c r="DB25" s="208">
        <v>0</v>
      </c>
      <c r="DC25" s="294" t="s">
        <v>1320</v>
      </c>
      <c r="DD25" s="64"/>
      <c r="DE25" s="78" t="s">
        <v>1425</v>
      </c>
      <c r="DF25" s="9">
        <v>14</v>
      </c>
      <c r="DG25" s="300" t="s">
        <v>1566</v>
      </c>
      <c r="DH25" s="306">
        <v>152</v>
      </c>
      <c r="DI25" s="63" t="s">
        <v>1475</v>
      </c>
      <c r="DJ25" s="274">
        <v>40000</v>
      </c>
      <c r="DK25" s="6"/>
      <c r="DM25" s="269" t="s">
        <v>1572</v>
      </c>
      <c r="DN25" s="283">
        <v>118.12</v>
      </c>
      <c r="DO25" s="63" t="s">
        <v>1501</v>
      </c>
      <c r="DP25" s="274">
        <v>5000</v>
      </c>
      <c r="DQ25" s="6"/>
      <c r="DS25" s="269" t="s">
        <v>1535</v>
      </c>
      <c r="DT25" s="283">
        <v>10340.549999999999</v>
      </c>
      <c r="DU25" s="63" t="s">
        <v>1501</v>
      </c>
      <c r="DV25" s="274">
        <v>5000</v>
      </c>
      <c r="DY25" s="341" t="s">
        <v>1619</v>
      </c>
      <c r="DZ25">
        <v>20.100000000000001</v>
      </c>
      <c r="EA25" s="63" t="s">
        <v>1502</v>
      </c>
      <c r="EB25" s="274">
        <v>5000</v>
      </c>
      <c r="EE25" s="343">
        <v>100</v>
      </c>
      <c r="EF25" s="320">
        <f>EB12+EE25-EI10</f>
        <v>50</v>
      </c>
      <c r="EH25" s="1" t="s">
        <v>1646</v>
      </c>
      <c r="EI25" s="276">
        <v>5000</v>
      </c>
      <c r="EL25" s="341" t="s">
        <v>1654</v>
      </c>
      <c r="EM25">
        <v>70</v>
      </c>
      <c r="EN25" s="1" t="s">
        <v>1504</v>
      </c>
      <c r="EO25" s="276">
        <v>10000</v>
      </c>
      <c r="ER25" s="341" t="s">
        <v>1664</v>
      </c>
      <c r="ES25" s="145">
        <v>0</v>
      </c>
      <c r="ET25" s="6" t="s">
        <v>1709</v>
      </c>
      <c r="EU25" s="276">
        <v>0</v>
      </c>
      <c r="EW25" s="764"/>
      <c r="EX25" s="341" t="s">
        <v>1744</v>
      </c>
      <c r="EY25">
        <v>10</v>
      </c>
      <c r="EZ25" s="1" t="s">
        <v>1707</v>
      </c>
      <c r="FA25" s="276">
        <v>1000</v>
      </c>
      <c r="FB25" s="6"/>
      <c r="FC25" s="6"/>
      <c r="FD25" s="341" t="s">
        <v>1786</v>
      </c>
      <c r="FE25">
        <f>8*2</f>
        <v>16</v>
      </c>
      <c r="FF25" s="1" t="s">
        <v>1707</v>
      </c>
      <c r="FG25" s="276">
        <v>1000</v>
      </c>
      <c r="FJ25" s="341" t="s">
        <v>1801</v>
      </c>
      <c r="FK25">
        <v>60.14</v>
      </c>
      <c r="FL25" s="1" t="s">
        <v>1706</v>
      </c>
      <c r="FM25" s="276">
        <v>2000</v>
      </c>
      <c r="FN25" s="6"/>
      <c r="FO25" s="3"/>
      <c r="FP25" s="349" t="s">
        <v>1019</v>
      </c>
      <c r="FQ25">
        <v>9</v>
      </c>
      <c r="FR25" s="1" t="s">
        <v>1707</v>
      </c>
      <c r="FS25" s="276">
        <v>3000</v>
      </c>
      <c r="FT25" t="s">
        <v>1939</v>
      </c>
      <c r="FU25">
        <v>15.000999999999999</v>
      </c>
      <c r="FV25" s="349" t="s">
        <v>2019</v>
      </c>
      <c r="FW25">
        <v>18</v>
      </c>
      <c r="FX25" s="1" t="s">
        <v>1707</v>
      </c>
      <c r="FY25" s="276">
        <v>3000</v>
      </c>
      <c r="GB25" s="349" t="s">
        <v>1962</v>
      </c>
      <c r="GC25">
        <v>6</v>
      </c>
      <c r="GD25" s="1" t="s">
        <v>1707</v>
      </c>
      <c r="GE25" s="276">
        <v>3000</v>
      </c>
      <c r="GF25" s="60"/>
      <c r="GH25" s="349" t="s">
        <v>2011</v>
      </c>
      <c r="GI25">
        <v>11.24</v>
      </c>
      <c r="GJ25" s="1" t="s">
        <v>1764</v>
      </c>
      <c r="GK25" s="276">
        <v>25000</v>
      </c>
      <c r="GN25" s="349" t="s">
        <v>1544</v>
      </c>
      <c r="GO25" t="s">
        <v>1611</v>
      </c>
      <c r="GP25" s="1" t="s">
        <v>2022</v>
      </c>
      <c r="GQ25" s="276">
        <v>25000</v>
      </c>
      <c r="GT25" s="349" t="s">
        <v>1993</v>
      </c>
      <c r="GU25">
        <f>19.42+13.02+12.12+17.99+16.7+14.44</f>
        <v>93.69</v>
      </c>
      <c r="GV25" s="1" t="s">
        <v>1645</v>
      </c>
      <c r="GW25" s="276">
        <v>2000</v>
      </c>
      <c r="GZ25" s="349" t="s">
        <v>1993</v>
      </c>
      <c r="HA25">
        <f>15.19+14.56+13.54+14.83+17.61+15.15</f>
        <v>90.88</v>
      </c>
      <c r="HB25" s="1" t="s">
        <v>2022</v>
      </c>
      <c r="HC25" s="276">
        <v>25000</v>
      </c>
      <c r="HD25" t="s">
        <v>2156</v>
      </c>
      <c r="HF25" s="349" t="s">
        <v>2175</v>
      </c>
      <c r="HG25">
        <f>9+10.96</f>
        <v>19.96</v>
      </c>
      <c r="HH25" s="6" t="s">
        <v>1818</v>
      </c>
      <c r="HI25" s="276" t="s">
        <v>1086</v>
      </c>
      <c r="HJ25" s="398" t="s">
        <v>1967</v>
      </c>
      <c r="HK25" s="290">
        <f>SUM(HM8:HM9)</f>
        <v>2450.5333333333333</v>
      </c>
      <c r="HL25" s="9" t="s">
        <v>2204</v>
      </c>
      <c r="HM25" s="9">
        <v>530</v>
      </c>
      <c r="HN25" s="1" t="s">
        <v>1646</v>
      </c>
      <c r="HO25" s="276">
        <v>4000</v>
      </c>
      <c r="HQ25" s="410"/>
      <c r="HR25" s="341" t="s">
        <v>2220</v>
      </c>
      <c r="HS25">
        <v>20</v>
      </c>
      <c r="HT25" s="258" t="s">
        <v>2244</v>
      </c>
      <c r="HV25" s="249" t="s">
        <v>1967</v>
      </c>
      <c r="HW25" s="290">
        <f>SUM(HY10:HY15)</f>
        <v>605426.56333333335</v>
      </c>
      <c r="HX25" s="341" t="s">
        <v>2330</v>
      </c>
      <c r="HY25">
        <f>10+10</f>
        <v>20</v>
      </c>
      <c r="HZ25" s="1" t="s">
        <v>2277</v>
      </c>
      <c r="IA25" s="482">
        <v>-13000</v>
      </c>
      <c r="IB25" s="718" t="s">
        <v>2178</v>
      </c>
      <c r="IC25" s="718"/>
      <c r="ID25" s="349" t="s">
        <v>2272</v>
      </c>
      <c r="IE25">
        <v>32</v>
      </c>
      <c r="IF25" s="569" t="s">
        <v>2482</v>
      </c>
      <c r="IG25" s="568">
        <v>4</v>
      </c>
      <c r="IH25" t="s">
        <v>2353</v>
      </c>
      <c r="II25" s="534"/>
      <c r="IJ25" s="341" t="s">
        <v>2413</v>
      </c>
      <c r="IK25">
        <v>10</v>
      </c>
      <c r="IL25" s="569" t="s">
        <v>2482</v>
      </c>
      <c r="IM25" s="568">
        <v>4</v>
      </c>
      <c r="IN25" s="588"/>
      <c r="IO25" s="534"/>
      <c r="IP25" s="341" t="s">
        <v>2512</v>
      </c>
      <c r="IQ25" s="61">
        <v>88.51</v>
      </c>
      <c r="IR25" s="590" t="s">
        <v>2525</v>
      </c>
      <c r="IS25" s="589" t="s">
        <v>2566</v>
      </c>
      <c r="IT25" s="249" t="s">
        <v>1967</v>
      </c>
      <c r="IU25" s="290">
        <f>SUM(IW13:IW13)</f>
        <v>2116.9666666666667</v>
      </c>
      <c r="IV25" s="623" t="s">
        <v>2504</v>
      </c>
      <c r="IW25" s="78">
        <f>2+59+11+23</f>
        <v>95</v>
      </c>
      <c r="IX25" s="546"/>
      <c r="IY25" s="636"/>
      <c r="IZ25" s="355" t="s">
        <v>1966</v>
      </c>
      <c r="JA25" s="290">
        <f>SUM(JC6:JC8)</f>
        <v>1900.03</v>
      </c>
      <c r="JB25" s="341" t="s">
        <v>1870</v>
      </c>
      <c r="JC25" s="61"/>
      <c r="JD25" s="679" t="s">
        <v>512</v>
      </c>
    </row>
    <row r="26" spans="1:266" x14ac:dyDescent="0.2">
      <c r="A26" s="738"/>
      <c r="B26" s="738"/>
      <c r="E26" s="201" t="s">
        <v>368</v>
      </c>
      <c r="F26" s="173"/>
      <c r="G26" s="738"/>
      <c r="H26" s="738"/>
      <c r="K26" s="248" t="s">
        <v>1025</v>
      </c>
      <c r="L26" s="145">
        <f>910+40</f>
        <v>950</v>
      </c>
      <c r="M26" s="738"/>
      <c r="N26" s="738"/>
      <c r="Q26" s="248" t="s">
        <v>1033</v>
      </c>
      <c r="R26" s="145">
        <v>0</v>
      </c>
      <c r="S26" s="738"/>
      <c r="T26" s="738"/>
      <c r="W26" s="146" t="s">
        <v>1092</v>
      </c>
      <c r="X26" s="145">
        <v>110.58</v>
      </c>
      <c r="Y26" s="738"/>
      <c r="Z26" s="738"/>
      <c r="AE26" s="738"/>
      <c r="AF26" s="738"/>
      <c r="AK26" s="738"/>
      <c r="AL26" s="738"/>
      <c r="AO26" s="146" t="s">
        <v>1129</v>
      </c>
      <c r="AP26" s="208">
        <v>33</v>
      </c>
      <c r="AR26"/>
      <c r="AU26" s="146" t="s">
        <v>1162</v>
      </c>
      <c r="AV26" s="208">
        <v>172.57</v>
      </c>
      <c r="AW26" s="738"/>
      <c r="AX26" s="738"/>
      <c r="AY26" s="146"/>
      <c r="AZ26" s="208"/>
      <c r="BA26" s="738"/>
      <c r="BB26" s="738"/>
      <c r="BE26" s="146" t="s">
        <v>1202</v>
      </c>
      <c r="BF26" s="208">
        <f>6.5*2</f>
        <v>13</v>
      </c>
      <c r="BG26" s="738"/>
      <c r="BH26" s="738"/>
      <c r="BK26" s="270" t="s">
        <v>1202</v>
      </c>
      <c r="BL26" s="208">
        <f>6.5*2</f>
        <v>13</v>
      </c>
      <c r="BM26" s="738"/>
      <c r="BN26" s="738"/>
      <c r="BQ26" s="270" t="s">
        <v>1202</v>
      </c>
      <c r="BR26" s="208">
        <v>13</v>
      </c>
      <c r="BS26" s="738"/>
      <c r="BT26" s="738"/>
      <c r="BW26" s="270" t="s">
        <v>1202</v>
      </c>
      <c r="BX26" s="208">
        <v>13</v>
      </c>
      <c r="BY26" s="738"/>
      <c r="BZ26" s="738"/>
      <c r="CC26" s="270" t="s">
        <v>1202</v>
      </c>
      <c r="CD26" s="208">
        <v>13</v>
      </c>
      <c r="CE26" s="738"/>
      <c r="CF26" s="738"/>
      <c r="CI26" s="270" t="s">
        <v>1202</v>
      </c>
      <c r="CJ26" s="208">
        <v>13</v>
      </c>
      <c r="CK26" s="60" t="s">
        <v>512</v>
      </c>
      <c r="CL26" s="285"/>
      <c r="CO26" s="270" t="s">
        <v>1341</v>
      </c>
      <c r="CP26" s="208">
        <v>53.24</v>
      </c>
      <c r="CQ26" s="257"/>
      <c r="CR26" s="257"/>
      <c r="CU26" s="270" t="s">
        <v>1021</v>
      </c>
      <c r="CV26" s="208">
        <v>100.001</v>
      </c>
      <c r="CW26" s="294" t="s">
        <v>1394</v>
      </c>
      <c r="CX26" s="294" t="s">
        <v>1373</v>
      </c>
      <c r="DA26" s="299" t="s">
        <v>1108</v>
      </c>
      <c r="DB26" s="221">
        <v>52.3</v>
      </c>
      <c r="DC26" s="294" t="s">
        <v>1396</v>
      </c>
      <c r="DD26" s="294">
        <v>81</v>
      </c>
      <c r="DG26" s="300" t="s">
        <v>1469</v>
      </c>
      <c r="DH26" s="306">
        <v>378.81</v>
      </c>
      <c r="DI26" s="63" t="s">
        <v>1455</v>
      </c>
      <c r="DJ26" s="274">
        <v>10000</v>
      </c>
      <c r="DM26" s="269" t="s">
        <v>1442</v>
      </c>
      <c r="DN26" s="283"/>
      <c r="DO26" s="63" t="s">
        <v>1502</v>
      </c>
      <c r="DP26" s="274">
        <v>5000</v>
      </c>
      <c r="DS26" s="269" t="s">
        <v>1544</v>
      </c>
      <c r="DT26" s="283">
        <v>64</v>
      </c>
      <c r="DU26" s="63" t="s">
        <v>1502</v>
      </c>
      <c r="DV26" s="274">
        <v>5000</v>
      </c>
      <c r="DY26" s="768" t="s">
        <v>1543</v>
      </c>
      <c r="DZ26" s="769"/>
      <c r="EA26" s="63" t="s">
        <v>1500</v>
      </c>
      <c r="EB26" s="274">
        <v>5000</v>
      </c>
      <c r="EE26" s="344" t="s">
        <v>1630</v>
      </c>
      <c r="EF26" s="345"/>
      <c r="EH26" s="1" t="s">
        <v>1640</v>
      </c>
      <c r="EI26" s="276">
        <v>0</v>
      </c>
      <c r="EL26" s="341" t="s">
        <v>1664</v>
      </c>
      <c r="EM26">
        <v>7</v>
      </c>
      <c r="EN26" s="1" t="s">
        <v>1640</v>
      </c>
      <c r="EO26" s="276">
        <v>0</v>
      </c>
      <c r="ER26" s="763" t="s">
        <v>1543</v>
      </c>
      <c r="ES26" s="763"/>
      <c r="ET26" s="1" t="s">
        <v>1710</v>
      </c>
      <c r="EU26" s="276">
        <v>20000</v>
      </c>
      <c r="EW26" s="764"/>
      <c r="EX26" s="341" t="s">
        <v>1736</v>
      </c>
      <c r="EY26">
        <v>40.299999999999997</v>
      </c>
      <c r="EZ26" s="1" t="s">
        <v>1711</v>
      </c>
      <c r="FA26" s="276">
        <v>10000</v>
      </c>
      <c r="FB26" s="6"/>
      <c r="FD26" s="341" t="s">
        <v>1763</v>
      </c>
      <c r="FE26">
        <v>33.9</v>
      </c>
      <c r="FF26" s="1" t="s">
        <v>1711</v>
      </c>
      <c r="FG26" s="276">
        <v>15000</v>
      </c>
      <c r="FJ26" s="341" t="s">
        <v>1831</v>
      </c>
      <c r="FK26">
        <v>7.3</v>
      </c>
      <c r="FL26" s="1" t="s">
        <v>1707</v>
      </c>
      <c r="FM26" s="276">
        <v>3000</v>
      </c>
      <c r="FN26" s="6"/>
      <c r="FO26" s="3"/>
      <c r="FP26" s="349" t="s">
        <v>1519</v>
      </c>
      <c r="FQ26">
        <f>7.74+13.99+8.86+10.74+6.17</f>
        <v>47.5</v>
      </c>
      <c r="FR26" s="1" t="s">
        <v>1707</v>
      </c>
      <c r="FS26" s="276">
        <v>1000</v>
      </c>
      <c r="FT26" t="s">
        <v>1893</v>
      </c>
      <c r="FU26">
        <f>1346.59-FU21</f>
        <v>146.58999999999992</v>
      </c>
      <c r="FV26" s="349" t="s">
        <v>1519</v>
      </c>
      <c r="FW26">
        <f>15.09+8.94+6.74+13.3+10+14.76</f>
        <v>68.830000000000013</v>
      </c>
      <c r="FX26" s="1" t="s">
        <v>1707</v>
      </c>
      <c r="FY26" s="276">
        <v>1000</v>
      </c>
      <c r="FZ26" s="6"/>
      <c r="GB26" s="349" t="s">
        <v>2019</v>
      </c>
      <c r="GC26">
        <v>9</v>
      </c>
      <c r="GD26" s="1" t="s">
        <v>1707</v>
      </c>
      <c r="GE26" s="276">
        <v>1000</v>
      </c>
      <c r="GH26" s="349" t="s">
        <v>2019</v>
      </c>
      <c r="GI26">
        <v>9</v>
      </c>
      <c r="GJ26" s="1" t="s">
        <v>1706</v>
      </c>
      <c r="GK26" s="276">
        <v>2000</v>
      </c>
      <c r="GL26" s="6"/>
      <c r="GN26" s="349" t="s">
        <v>2019</v>
      </c>
      <c r="GO26">
        <v>9</v>
      </c>
      <c r="GP26" s="1" t="s">
        <v>1645</v>
      </c>
      <c r="GQ26" s="276">
        <v>2000</v>
      </c>
      <c r="GR26" s="60"/>
      <c r="GT26" s="341" t="s">
        <v>2060</v>
      </c>
      <c r="GU26">
        <v>8</v>
      </c>
      <c r="GV26" s="1" t="s">
        <v>1646</v>
      </c>
      <c r="GW26" s="276">
        <v>4000</v>
      </c>
      <c r="GX26" s="6"/>
      <c r="GZ26" s="341" t="s">
        <v>2126</v>
      </c>
      <c r="HA26">
        <f>35+4</f>
        <v>39</v>
      </c>
      <c r="HB26" s="1" t="s">
        <v>1645</v>
      </c>
      <c r="HC26" s="276">
        <v>2000</v>
      </c>
      <c r="HD26" s="257"/>
      <c r="HF26" s="349" t="s">
        <v>1544</v>
      </c>
      <c r="HG26">
        <v>64</v>
      </c>
      <c r="HH26" s="258" t="s">
        <v>1639</v>
      </c>
      <c r="HI26" s="282"/>
      <c r="HJ26" s="354" t="s">
        <v>1399</v>
      </c>
      <c r="HK26">
        <v>0</v>
      </c>
      <c r="HL26" s="422">
        <v>32.770000000000003</v>
      </c>
      <c r="HM26" s="9" t="s">
        <v>2203</v>
      </c>
      <c r="HN26" s="258" t="s">
        <v>1639</v>
      </c>
      <c r="HO26" s="282"/>
      <c r="HQ26" s="410"/>
      <c r="HR26" s="341" t="s">
        <v>2243</v>
      </c>
      <c r="HS26">
        <v>26.6</v>
      </c>
      <c r="HT26" s="569" t="s">
        <v>2482</v>
      </c>
      <c r="HU26" s="568">
        <v>4</v>
      </c>
      <c r="HV26" s="350" t="s">
        <v>2173</v>
      </c>
      <c r="HW26">
        <f>SUM(HY9:HY9)</f>
        <v>535</v>
      </c>
      <c r="HX26" s="341" t="s">
        <v>2394</v>
      </c>
      <c r="HY26">
        <v>46.73</v>
      </c>
      <c r="HZ26" s="1" t="s">
        <v>2306</v>
      </c>
      <c r="IA26" s="276">
        <v>-70000</v>
      </c>
      <c r="IB26" s="355" t="s">
        <v>1966</v>
      </c>
      <c r="IC26" s="290">
        <f>SUM(IE7:IE7)</f>
        <v>1900.11</v>
      </c>
      <c r="ID26" s="349" t="s">
        <v>2392</v>
      </c>
      <c r="IE26" s="421">
        <f>11.74+10+9.21+17.04+10+12.34+15.71+10+15.63+10</f>
        <v>121.66999999999999</v>
      </c>
      <c r="IF26" s="6" t="s">
        <v>2366</v>
      </c>
      <c r="IG26" s="276"/>
      <c r="IH26" s="412" t="s">
        <v>2415</v>
      </c>
      <c r="II26" s="552">
        <v>19.45</v>
      </c>
      <c r="IJ26" s="341" t="s">
        <v>2473</v>
      </c>
      <c r="IK26">
        <f>91.7+12</f>
        <v>103.7</v>
      </c>
      <c r="IL26" s="257" t="s">
        <v>2270</v>
      </c>
      <c r="IM26" s="282"/>
      <c r="IN26" s="412"/>
      <c r="IO26" s="552"/>
      <c r="IP26" s="578" t="s">
        <v>2177</v>
      </c>
      <c r="IQ26" s="61">
        <v>58.4</v>
      </c>
      <c r="IR26" s="583" t="s">
        <v>2510</v>
      </c>
      <c r="IS26" s="582">
        <v>1000</v>
      </c>
      <c r="IT26" s="366" t="s">
        <v>1399</v>
      </c>
      <c r="IU26" s="623">
        <f>SUM(IW9:IW11)</f>
        <v>2514.06</v>
      </c>
      <c r="IV26" s="9" t="s">
        <v>2204</v>
      </c>
      <c r="IW26" s="577">
        <f>70+106+167+164+22.7</f>
        <v>529.70000000000005</v>
      </c>
      <c r="IX26" s="628"/>
      <c r="IZ26" s="249" t="s">
        <v>1967</v>
      </c>
      <c r="JA26" s="290">
        <f>SUM(JC13:JC13)</f>
        <v>0</v>
      </c>
      <c r="JB26" s="341" t="s">
        <v>1870</v>
      </c>
      <c r="JC26" s="61"/>
      <c r="JD26" s="9" t="s">
        <v>1873</v>
      </c>
    </row>
    <row r="27" spans="1:266" x14ac:dyDescent="0.2">
      <c r="A27" s="738"/>
      <c r="B27" s="738"/>
      <c r="F27" s="197"/>
      <c r="G27" s="738"/>
      <c r="H27" s="738"/>
      <c r="K27"/>
      <c r="M27" s="773" t="s">
        <v>512</v>
      </c>
      <c r="N27" s="773"/>
      <c r="Q27" s="248" t="s">
        <v>1026</v>
      </c>
      <c r="R27" s="145">
        <v>0</v>
      </c>
      <c r="S27" s="773" t="s">
        <v>512</v>
      </c>
      <c r="T27" s="773"/>
      <c r="W27" s="146" t="s">
        <v>1058</v>
      </c>
      <c r="X27" s="145">
        <v>60.75</v>
      </c>
      <c r="Y27" s="738"/>
      <c r="Z27" s="738"/>
      <c r="AC27" s="222" t="s">
        <v>1099</v>
      </c>
      <c r="AD27" s="222"/>
      <c r="AE27" s="773" t="s">
        <v>512</v>
      </c>
      <c r="AF27" s="773"/>
      <c r="AI27" s="208" t="s">
        <v>1110</v>
      </c>
      <c r="AJ27" s="145">
        <v>210</v>
      </c>
      <c r="AK27" s="60" t="s">
        <v>512</v>
      </c>
      <c r="AL27" s="60" t="s">
        <v>512</v>
      </c>
      <c r="AO27" s="146" t="s">
        <v>1136</v>
      </c>
      <c r="AP27" s="208">
        <v>28.94</v>
      </c>
      <c r="AQ27" s="60" t="s">
        <v>512</v>
      </c>
      <c r="AR27" s="60"/>
      <c r="AU27" s="146" t="s">
        <v>1167</v>
      </c>
      <c r="AV27" s="208" t="s">
        <v>663</v>
      </c>
      <c r="AW27" s="60" t="s">
        <v>512</v>
      </c>
      <c r="AX27" s="60"/>
      <c r="AY27" s="146"/>
      <c r="AZ27" s="208"/>
      <c r="BA27" s="60" t="s">
        <v>512</v>
      </c>
      <c r="BB27" s="60"/>
      <c r="BE27" s="146" t="s">
        <v>1023</v>
      </c>
      <c r="BF27" s="208">
        <v>155.44999999999999</v>
      </c>
      <c r="BG27" s="60" t="s">
        <v>512</v>
      </c>
      <c r="BH27" s="60"/>
      <c r="BK27" s="270" t="s">
        <v>1023</v>
      </c>
      <c r="BL27" s="208">
        <v>134.08000000000001</v>
      </c>
      <c r="BM27" s="60" t="s">
        <v>512</v>
      </c>
      <c r="BN27" s="60"/>
      <c r="BQ27" s="270" t="s">
        <v>1023</v>
      </c>
      <c r="BR27" s="208">
        <v>130.34</v>
      </c>
      <c r="BS27" s="60" t="s">
        <v>512</v>
      </c>
      <c r="BT27" s="280"/>
      <c r="BW27" s="270" t="s">
        <v>1023</v>
      </c>
      <c r="BX27" s="208">
        <v>138.9</v>
      </c>
      <c r="BY27" s="60" t="s">
        <v>512</v>
      </c>
      <c r="BZ27" s="285"/>
      <c r="CC27" s="270" t="s">
        <v>1293</v>
      </c>
      <c r="CD27" s="208">
        <v>138.30000000000001</v>
      </c>
      <c r="CE27" s="60" t="s">
        <v>512</v>
      </c>
      <c r="CF27" s="285"/>
      <c r="CI27" s="270" t="s">
        <v>1293</v>
      </c>
      <c r="CJ27" s="208">
        <v>137.85</v>
      </c>
      <c r="CK27" s="257" t="s">
        <v>1304</v>
      </c>
      <c r="CL27" s="283"/>
      <c r="CO27" s="270" t="s">
        <v>1310</v>
      </c>
      <c r="CP27" s="208">
        <v>64</v>
      </c>
      <c r="CQ27" s="60" t="s">
        <v>512</v>
      </c>
      <c r="CR27" s="285"/>
      <c r="CU27" s="291" t="s">
        <v>1363</v>
      </c>
      <c r="CV27" s="208">
        <f>16.33+8.5</f>
        <v>24.83</v>
      </c>
      <c r="CW27" s="294" t="s">
        <v>1360</v>
      </c>
      <c r="CX27" s="295" t="s">
        <v>1371</v>
      </c>
      <c r="DA27" s="299" t="s">
        <v>1391</v>
      </c>
      <c r="DB27" s="221">
        <v>43.31</v>
      </c>
      <c r="DC27" s="294" t="s">
        <v>1395</v>
      </c>
      <c r="DD27" s="294">
        <v>101</v>
      </c>
      <c r="DG27" s="297" t="s">
        <v>1384</v>
      </c>
      <c r="DH27" s="306">
        <f>395.9+637.65</f>
        <v>1033.55</v>
      </c>
      <c r="DI27" s="63" t="s">
        <v>1462</v>
      </c>
      <c r="DJ27" s="231" t="s">
        <v>1086</v>
      </c>
      <c r="DM27" s="269" t="s">
        <v>1202</v>
      </c>
      <c r="DN27" s="283">
        <f>13+30</f>
        <v>43</v>
      </c>
      <c r="DO27" s="63" t="s">
        <v>1500</v>
      </c>
      <c r="DP27" s="274">
        <v>5000</v>
      </c>
      <c r="DS27" s="269" t="s">
        <v>1573</v>
      </c>
      <c r="DT27" s="283">
        <v>35</v>
      </c>
      <c r="DU27" s="63" t="s">
        <v>1500</v>
      </c>
      <c r="DV27" s="274">
        <v>5000</v>
      </c>
      <c r="DY27" s="343">
        <v>100</v>
      </c>
      <c r="DZ27" s="320">
        <f>DV13+DY27-EB12</f>
        <v>140</v>
      </c>
      <c r="EA27" s="63" t="s">
        <v>1503</v>
      </c>
      <c r="EB27" s="274">
        <v>5000</v>
      </c>
      <c r="EE27" s="63" t="s">
        <v>1627</v>
      </c>
      <c r="EF27" s="63"/>
      <c r="EG27" s="346"/>
      <c r="EH27" s="258" t="s">
        <v>1639</v>
      </c>
      <c r="EI27" s="258"/>
      <c r="EL27" s="341" t="s">
        <v>1658</v>
      </c>
      <c r="EM27">
        <v>9.9</v>
      </c>
      <c r="EN27" s="258" t="s">
        <v>1639</v>
      </c>
      <c r="EO27" s="258"/>
      <c r="ER27" s="357">
        <f>200+250</f>
        <v>450</v>
      </c>
      <c r="ES27" s="358">
        <f>EO10+ER27-EU10</f>
        <v>260</v>
      </c>
      <c r="ET27" s="1" t="s">
        <v>1574</v>
      </c>
      <c r="EU27" s="276">
        <v>10000</v>
      </c>
      <c r="EX27" s="763" t="s">
        <v>1543</v>
      </c>
      <c r="EY27" s="763"/>
      <c r="EZ27" s="1" t="s">
        <v>1710</v>
      </c>
      <c r="FA27" s="276">
        <v>30000</v>
      </c>
      <c r="FD27" s="341" t="s">
        <v>1773</v>
      </c>
      <c r="FE27">
        <v>57.12</v>
      </c>
      <c r="FF27" s="1" t="s">
        <v>1710</v>
      </c>
      <c r="FG27" s="276">
        <v>30000</v>
      </c>
      <c r="FJ27" s="341" t="s">
        <v>1815</v>
      </c>
      <c r="FK27">
        <f>40.89-20</f>
        <v>20.89</v>
      </c>
      <c r="FL27" s="1" t="s">
        <v>1707</v>
      </c>
      <c r="FM27" s="276">
        <v>1000</v>
      </c>
      <c r="FN27" s="6"/>
      <c r="FO27" s="6"/>
      <c r="FP27" s="341" t="s">
        <v>1864</v>
      </c>
      <c r="FQ27">
        <v>49.7</v>
      </c>
      <c r="FR27" s="1" t="s">
        <v>1710</v>
      </c>
      <c r="FS27" s="276">
        <v>10000</v>
      </c>
      <c r="FT27" s="60" t="s">
        <v>1894</v>
      </c>
      <c r="FU27">
        <f>242.32-FU22</f>
        <v>42.319999999999993</v>
      </c>
      <c r="FV27" s="341" t="s">
        <v>1898</v>
      </c>
      <c r="FW27">
        <v>70</v>
      </c>
      <c r="FX27" s="6" t="s">
        <v>1818</v>
      </c>
      <c r="FY27" s="276">
        <v>100</v>
      </c>
      <c r="FZ27" s="1"/>
      <c r="GA27" s="3"/>
      <c r="GB27" s="349" t="s">
        <v>1519</v>
      </c>
      <c r="GC27">
        <f>16.06+16.53+14.35+15.3+15.91+1.41+13.3</f>
        <v>92.86</v>
      </c>
      <c r="GD27" s="6" t="s">
        <v>1818</v>
      </c>
      <c r="GE27" s="276">
        <v>200</v>
      </c>
      <c r="GH27" s="349" t="s">
        <v>1992</v>
      </c>
      <c r="GI27">
        <v>20</v>
      </c>
      <c r="GJ27" s="1" t="s">
        <v>1707</v>
      </c>
      <c r="GK27" s="276">
        <v>4000</v>
      </c>
      <c r="GL27" s="1"/>
      <c r="GM27" s="3"/>
      <c r="GN27" s="349" t="s">
        <v>2044</v>
      </c>
      <c r="GO27">
        <f>20+40+10+10</f>
        <v>80</v>
      </c>
      <c r="GP27" s="1" t="s">
        <v>1646</v>
      </c>
      <c r="GQ27" s="276">
        <v>4000</v>
      </c>
      <c r="GT27" s="341" t="s">
        <v>2075</v>
      </c>
      <c r="GU27">
        <f>15.74+43.21</f>
        <v>58.95</v>
      </c>
      <c r="GV27" s="6" t="s">
        <v>1818</v>
      </c>
      <c r="GW27" s="276">
        <v>300</v>
      </c>
      <c r="GX27" s="1"/>
      <c r="GY27" s="3"/>
      <c r="GZ27" s="341" t="s">
        <v>2122</v>
      </c>
      <c r="HA27">
        <v>20</v>
      </c>
      <c r="HB27" s="1" t="s">
        <v>1646</v>
      </c>
      <c r="HC27" s="276">
        <v>4000</v>
      </c>
      <c r="HD27" s="257"/>
      <c r="HE27" s="3"/>
      <c r="HF27" s="349" t="s">
        <v>1993</v>
      </c>
      <c r="HG27">
        <f>12.57+14.64+15.52+10+15.22+15.49+15.3</f>
        <v>98.74</v>
      </c>
      <c r="HH27" s="257" t="s">
        <v>2158</v>
      </c>
      <c r="HI27" s="287">
        <v>74.900000000000006</v>
      </c>
      <c r="HJ27" s="351" t="s">
        <v>2173</v>
      </c>
      <c r="HK27">
        <v>0</v>
      </c>
      <c r="HL27" s="396" t="s">
        <v>2201</v>
      </c>
      <c r="HM27" s="418">
        <f>HI16+HK31-HO18</f>
        <v>240</v>
      </c>
      <c r="HN27" s="408" t="s">
        <v>2197</v>
      </c>
      <c r="HO27" s="282">
        <v>21</v>
      </c>
      <c r="HP27" s="718" t="s">
        <v>2178</v>
      </c>
      <c r="HQ27" s="718"/>
      <c r="HR27" s="341" t="s">
        <v>2250</v>
      </c>
      <c r="HS27">
        <v>10</v>
      </c>
      <c r="HT27" s="7" t="s">
        <v>2007</v>
      </c>
      <c r="HU27">
        <v>1000</v>
      </c>
      <c r="HV27" s="349" t="s">
        <v>2174</v>
      </c>
      <c r="HW27" s="421">
        <f>SUM(HY16:HY24)</f>
        <v>1033.9166666666667</v>
      </c>
      <c r="HX27" s="341" t="s">
        <v>2332</v>
      </c>
      <c r="HY27">
        <f>32.37+27.07</f>
        <v>59.44</v>
      </c>
      <c r="HZ27" s="7" t="s">
        <v>2310</v>
      </c>
      <c r="IA27" s="278">
        <v>0</v>
      </c>
      <c r="IB27" s="249" t="s">
        <v>1967</v>
      </c>
      <c r="IC27" s="290">
        <f>SUM(IE10:IE17)</f>
        <v>51233.746666666666</v>
      </c>
      <c r="ID27" s="341" t="s">
        <v>2386</v>
      </c>
      <c r="IE27">
        <v>30</v>
      </c>
      <c r="IF27" s="546" t="s">
        <v>2383</v>
      </c>
      <c r="IG27" s="282">
        <v>127</v>
      </c>
      <c r="IH27" s="412" t="s">
        <v>2416</v>
      </c>
      <c r="II27" s="552">
        <v>19.45</v>
      </c>
      <c r="IJ27" s="341" t="s">
        <v>2460</v>
      </c>
      <c r="IK27">
        <v>6.8</v>
      </c>
      <c r="IL27" s="257" t="s">
        <v>2430</v>
      </c>
      <c r="IM27">
        <v>41</v>
      </c>
      <c r="IN27" s="412"/>
      <c r="IO27" s="552"/>
      <c r="IP27" s="341" t="s">
        <v>2511</v>
      </c>
      <c r="IQ27" s="61">
        <v>23.42</v>
      </c>
      <c r="IR27" s="546" t="s">
        <v>2507</v>
      </c>
      <c r="IS27" s="61">
        <v>260</v>
      </c>
      <c r="IT27" s="350" t="s">
        <v>2173</v>
      </c>
      <c r="IU27" s="623">
        <f>SUM(IW12:IW12)</f>
        <v>170</v>
      </c>
      <c r="IV27" s="422">
        <v>22.7</v>
      </c>
      <c r="IW27" s="577"/>
      <c r="IX27" s="623" t="s">
        <v>512</v>
      </c>
      <c r="IZ27" s="366" t="s">
        <v>1399</v>
      </c>
      <c r="JA27" s="679">
        <f>SUM(JC9:JC10)</f>
        <v>1054.04</v>
      </c>
      <c r="JB27" s="679" t="s">
        <v>2504</v>
      </c>
      <c r="JC27" s="78"/>
      <c r="JD27" s="679" t="s">
        <v>93</v>
      </c>
    </row>
    <row r="28" spans="1:266" x14ac:dyDescent="0.2">
      <c r="A28" s="738"/>
      <c r="B28" s="738"/>
      <c r="E28" s="196" t="s">
        <v>366</v>
      </c>
      <c r="F28" s="197"/>
      <c r="G28" s="738"/>
      <c r="H28" s="738"/>
      <c r="K28" s="146" t="s">
        <v>1024</v>
      </c>
      <c r="L28" s="145">
        <f>60</f>
        <v>60</v>
      </c>
      <c r="M28" s="773" t="s">
        <v>999</v>
      </c>
      <c r="N28" s="773"/>
      <c r="Q28" s="248" t="s">
        <v>1080</v>
      </c>
      <c r="R28" s="208">
        <v>200</v>
      </c>
      <c r="S28" s="773" t="s">
        <v>999</v>
      </c>
      <c r="T28" s="773"/>
      <c r="W28" s="146" t="s">
        <v>1023</v>
      </c>
      <c r="X28" s="145">
        <v>61.35</v>
      </c>
      <c r="Y28" s="773" t="s">
        <v>512</v>
      </c>
      <c r="Z28" s="773"/>
      <c r="AC28" s="222" t="s">
        <v>1095</v>
      </c>
      <c r="AD28" s="222">
        <f>53+207+63</f>
        <v>323</v>
      </c>
      <c r="AE28" s="773" t="s">
        <v>999</v>
      </c>
      <c r="AF28" s="773"/>
      <c r="AI28" s="145" t="s">
        <v>1684</v>
      </c>
      <c r="AJ28" s="145">
        <f>299+19</f>
        <v>318</v>
      </c>
      <c r="AK28" s="60" t="s">
        <v>999</v>
      </c>
      <c r="AL28" s="60" t="s">
        <v>999</v>
      </c>
      <c r="AO28" s="146" t="s">
        <v>1169</v>
      </c>
      <c r="AP28" s="208">
        <v>43.86</v>
      </c>
      <c r="AQ28" s="60" t="s">
        <v>999</v>
      </c>
      <c r="AR28" s="60"/>
      <c r="AU28" s="146" t="s">
        <v>1168</v>
      </c>
      <c r="AV28" s="208">
        <f>13+13</f>
        <v>26</v>
      </c>
      <c r="AW28" s="60" t="s">
        <v>999</v>
      </c>
      <c r="AX28" s="60"/>
      <c r="AY28" s="146"/>
      <c r="AZ28" s="208"/>
      <c r="BA28" s="60" t="s">
        <v>999</v>
      </c>
      <c r="BB28" s="60"/>
      <c r="BE28" s="146" t="s">
        <v>1150</v>
      </c>
      <c r="BF28" s="208" t="s">
        <v>663</v>
      </c>
      <c r="BG28" s="60" t="s">
        <v>999</v>
      </c>
      <c r="BH28" s="60"/>
      <c r="BK28" s="270" t="s">
        <v>1150</v>
      </c>
      <c r="BL28" s="208">
        <v>11</v>
      </c>
      <c r="BM28" s="60" t="s">
        <v>999</v>
      </c>
      <c r="BN28" s="60"/>
      <c r="BQ28" s="270" t="s">
        <v>1253</v>
      </c>
      <c r="BR28" s="208">
        <v>11</v>
      </c>
      <c r="BS28" s="60" t="s">
        <v>999</v>
      </c>
      <c r="BT28" s="280"/>
      <c r="BW28" s="270" t="s">
        <v>1288</v>
      </c>
      <c r="BX28" s="208">
        <v>11</v>
      </c>
      <c r="BY28" s="60" t="s">
        <v>999</v>
      </c>
      <c r="BZ28" s="285"/>
      <c r="CC28" s="270" t="s">
        <v>1150</v>
      </c>
      <c r="CD28" s="208">
        <v>11</v>
      </c>
      <c r="CE28" s="60" t="s">
        <v>999</v>
      </c>
      <c r="CF28" s="285"/>
      <c r="CI28" s="270" t="s">
        <v>1315</v>
      </c>
      <c r="CJ28" s="208">
        <v>53.24</v>
      </c>
      <c r="CK28" s="60" t="s">
        <v>999</v>
      </c>
      <c r="CL28" s="285"/>
      <c r="CO28" s="270" t="s">
        <v>1021</v>
      </c>
      <c r="CP28" s="208">
        <v>100.001</v>
      </c>
      <c r="CQ28" s="60" t="s">
        <v>999</v>
      </c>
      <c r="CR28" s="285"/>
      <c r="CU28" s="291" t="s">
        <v>1376</v>
      </c>
      <c r="CV28" s="221">
        <f>72+11+5.8</f>
        <v>88.8</v>
      </c>
      <c r="CW28" s="294" t="s">
        <v>1364</v>
      </c>
      <c r="CX28" s="295" t="s">
        <v>1372</v>
      </c>
      <c r="DA28" s="299" t="s">
        <v>1386</v>
      </c>
      <c r="DB28" s="208">
        <v>60</v>
      </c>
      <c r="DC28" s="294"/>
      <c r="DD28" s="295"/>
      <c r="DE28" s="9" t="s">
        <v>1427</v>
      </c>
      <c r="DG28" s="297" t="s">
        <v>1444</v>
      </c>
      <c r="DH28" s="311">
        <v>13.57</v>
      </c>
      <c r="DI28" s="63" t="s">
        <v>1456</v>
      </c>
      <c r="DJ28" s="231" t="s">
        <v>1086</v>
      </c>
      <c r="DM28" s="269" t="s">
        <v>1293</v>
      </c>
      <c r="DN28" s="283">
        <v>134.44999999999999</v>
      </c>
      <c r="DO28" s="63" t="s">
        <v>1503</v>
      </c>
      <c r="DP28" s="274">
        <v>5000</v>
      </c>
      <c r="DS28" s="269" t="s">
        <v>1519</v>
      </c>
      <c r="DT28" s="283">
        <f>12.32+17.25+(1.31*2)+9.98+13.82+14.98+2.1+2.02</f>
        <v>75.089999999999989</v>
      </c>
      <c r="DU28" s="63" t="s">
        <v>1503</v>
      </c>
      <c r="DV28" s="274">
        <v>5000</v>
      </c>
      <c r="DY28" s="344" t="s">
        <v>1624</v>
      </c>
      <c r="DZ28" s="345"/>
      <c r="EA28" s="63" t="s">
        <v>1492</v>
      </c>
      <c r="EB28" s="231" t="s">
        <v>692</v>
      </c>
      <c r="EE28" s="63" t="s">
        <v>1641</v>
      </c>
      <c r="EF28" s="63"/>
      <c r="EG28" s="347"/>
      <c r="EH28" s="1"/>
      <c r="EI28" s="1"/>
      <c r="EL28" s="341" t="s">
        <v>1655</v>
      </c>
      <c r="EM28">
        <v>64.849999999999994</v>
      </c>
      <c r="EN28" s="257" t="s">
        <v>1670</v>
      </c>
      <c r="EO28" s="312">
        <v>807.9</v>
      </c>
      <c r="ER28" s="345" t="s">
        <v>1723</v>
      </c>
      <c r="ES28" s="362"/>
      <c r="ET28" s="1" t="s">
        <v>1504</v>
      </c>
      <c r="EU28" s="276">
        <v>10000</v>
      </c>
      <c r="EX28" s="357">
        <v>200</v>
      </c>
      <c r="EY28" s="358">
        <f>EU10+EW14+EX28-FA10</f>
        <v>291.60000000000002</v>
      </c>
      <c r="EZ28" s="1" t="s">
        <v>1574</v>
      </c>
      <c r="FA28" s="276">
        <v>11010</v>
      </c>
      <c r="FD28" s="763" t="s">
        <v>1754</v>
      </c>
      <c r="FE28" s="763"/>
      <c r="FF28" s="1" t="s">
        <v>1574</v>
      </c>
      <c r="FG28" s="276">
        <v>11010</v>
      </c>
      <c r="FJ28" s="341" t="s">
        <v>1826</v>
      </c>
      <c r="FK28">
        <v>8</v>
      </c>
      <c r="FL28" s="6" t="s">
        <v>1802</v>
      </c>
      <c r="FM28" s="276" t="s">
        <v>1086</v>
      </c>
      <c r="FN28" s="6"/>
      <c r="FP28" s="341" t="s">
        <v>1838</v>
      </c>
      <c r="FQ28">
        <v>17.399999999999999</v>
      </c>
      <c r="FR28" s="1" t="s">
        <v>1574</v>
      </c>
      <c r="FS28" s="276">
        <v>1010</v>
      </c>
      <c r="FT28" t="s">
        <v>1910</v>
      </c>
      <c r="FU28">
        <f>1227.41-FU23</f>
        <v>33.550000000000182</v>
      </c>
      <c r="FV28" s="341" t="s">
        <v>1108</v>
      </c>
      <c r="FW28">
        <v>49.8</v>
      </c>
      <c r="FX28" s="1" t="s">
        <v>1895</v>
      </c>
      <c r="FY28" s="276">
        <v>1010</v>
      </c>
      <c r="GB28" s="341" t="s">
        <v>1954</v>
      </c>
      <c r="GC28">
        <v>8</v>
      </c>
      <c r="GD28" s="1" t="s">
        <v>1895</v>
      </c>
      <c r="GE28" s="276">
        <v>808</v>
      </c>
      <c r="GH28" s="349" t="s">
        <v>1993</v>
      </c>
      <c r="GI28">
        <f>11.48+13.49+12.33+10+12.88+6.22+14.16</f>
        <v>80.56</v>
      </c>
      <c r="GJ28" s="1" t="s">
        <v>1895</v>
      </c>
      <c r="GK28" s="276">
        <v>2002</v>
      </c>
      <c r="GN28" s="349" t="s">
        <v>1993</v>
      </c>
      <c r="GO28">
        <f>8.9+15.69+15.34+15.72</f>
        <v>55.65</v>
      </c>
      <c r="GP28" s="1" t="s">
        <v>1895</v>
      </c>
      <c r="GQ28" s="276" t="s">
        <v>1086</v>
      </c>
      <c r="GT28" s="341" t="s">
        <v>2068</v>
      </c>
      <c r="GU28">
        <v>5.4</v>
      </c>
      <c r="GV28" s="1" t="s">
        <v>1920</v>
      </c>
      <c r="GW28" s="276">
        <v>0</v>
      </c>
      <c r="GZ28" s="341" t="s">
        <v>2134</v>
      </c>
      <c r="HA28">
        <v>20</v>
      </c>
      <c r="HB28" s="6" t="s">
        <v>1818</v>
      </c>
      <c r="HC28" s="276">
        <v>300</v>
      </c>
      <c r="HF28" s="341" t="s">
        <v>2145</v>
      </c>
      <c r="HG28">
        <f>35.9+3.3</f>
        <v>39.199999999999996</v>
      </c>
      <c r="HH28" s="408" t="s">
        <v>2148</v>
      </c>
      <c r="HI28" s="411">
        <v>3179.26</v>
      </c>
      <c r="HJ28" s="352" t="s">
        <v>2174</v>
      </c>
      <c r="HK28" s="406">
        <f>SUM(HM10:HM18)</f>
        <v>1046.8376666666666</v>
      </c>
      <c r="HL28" s="419">
        <v>60</v>
      </c>
      <c r="HM28" s="344" t="s">
        <v>1835</v>
      </c>
      <c r="HN28" s="257" t="s">
        <v>2207</v>
      </c>
      <c r="HO28" s="282">
        <v>214</v>
      </c>
      <c r="HP28" s="355" t="s">
        <v>1966</v>
      </c>
      <c r="HQ28" s="290">
        <f>SUM(HS7:HS7)</f>
        <v>1900.09</v>
      </c>
      <c r="HR28" s="341" t="s">
        <v>2247</v>
      </c>
      <c r="HS28">
        <v>10</v>
      </c>
      <c r="HT28" s="1" t="s">
        <v>2020</v>
      </c>
      <c r="HU28" s="276">
        <v>3000</v>
      </c>
      <c r="HV28" s="341" t="s">
        <v>2172</v>
      </c>
      <c r="HW28">
        <f>SUM(HY25:HY30)</f>
        <v>271.94</v>
      </c>
      <c r="HX28" s="341" t="s">
        <v>2298</v>
      </c>
      <c r="HY28">
        <v>69.569999999999993</v>
      </c>
      <c r="HZ28" s="1" t="s">
        <v>515</v>
      </c>
      <c r="IA28">
        <v>50</v>
      </c>
      <c r="IB28" s="366" t="s">
        <v>1399</v>
      </c>
      <c r="IC28">
        <f>SUM(IE8)</f>
        <v>5.73</v>
      </c>
      <c r="ID28" s="341" t="s">
        <v>2360</v>
      </c>
      <c r="IE28">
        <v>329.76</v>
      </c>
      <c r="IF28" s="257" t="s">
        <v>2381</v>
      </c>
      <c r="IG28" s="282">
        <v>111</v>
      </c>
      <c r="IH28" s="412" t="s">
        <v>2417</v>
      </c>
      <c r="II28" s="552">
        <v>19.45</v>
      </c>
      <c r="IJ28" s="341" t="s">
        <v>2429</v>
      </c>
      <c r="IK28">
        <f>3.8*2+9.9</f>
        <v>17.5</v>
      </c>
      <c r="IL28" s="257" t="s">
        <v>2449</v>
      </c>
      <c r="IN28" s="412"/>
      <c r="IO28" s="552"/>
      <c r="IP28" s="341" t="s">
        <v>2516</v>
      </c>
      <c r="IQ28" s="61">
        <v>61.71</v>
      </c>
      <c r="IR28" s="257" t="s">
        <v>2449</v>
      </c>
      <c r="IT28" s="349" t="s">
        <v>2174</v>
      </c>
      <c r="IU28" s="421">
        <f>SUM(IW14:IW19)</f>
        <v>1471.3133333333333</v>
      </c>
      <c r="IV28" s="396" t="s">
        <v>1418</v>
      </c>
      <c r="IW28" s="418">
        <f>IS19+IU31-IY18</f>
        <v>70</v>
      </c>
      <c r="IX28" s="9" t="s">
        <v>1873</v>
      </c>
      <c r="IZ28" s="350" t="s">
        <v>2173</v>
      </c>
      <c r="JA28" s="679">
        <f>SUM(JC11:JC11)</f>
        <v>52.89</v>
      </c>
      <c r="JB28" s="9" t="s">
        <v>2204</v>
      </c>
      <c r="JC28" s="577">
        <f>204+76</f>
        <v>280</v>
      </c>
      <c r="JD28" s="679" t="s">
        <v>2407</v>
      </c>
    </row>
    <row r="29" spans="1:266" x14ac:dyDescent="0.2">
      <c r="A29" s="773" t="s">
        <v>512</v>
      </c>
      <c r="B29" s="773"/>
      <c r="E29" s="196" t="s">
        <v>282</v>
      </c>
      <c r="F29" s="197"/>
      <c r="G29" s="773" t="s">
        <v>512</v>
      </c>
      <c r="H29" s="773"/>
      <c r="K29" s="146" t="s">
        <v>1023</v>
      </c>
      <c r="L29" s="145">
        <v>0</v>
      </c>
      <c r="M29" s="775" t="s">
        <v>93</v>
      </c>
      <c r="N29" s="775"/>
      <c r="Q29" s="248" t="s">
        <v>1057</v>
      </c>
      <c r="R29" s="145">
        <v>0</v>
      </c>
      <c r="S29" s="775" t="s">
        <v>93</v>
      </c>
      <c r="T29" s="775"/>
      <c r="W29" s="146" t="s">
        <v>1022</v>
      </c>
      <c r="X29" s="145">
        <v>64</v>
      </c>
      <c r="Y29" s="773" t="s">
        <v>999</v>
      </c>
      <c r="Z29" s="773"/>
      <c r="AC29" s="222" t="s">
        <v>1096</v>
      </c>
      <c r="AD29" s="222">
        <f>63+46</f>
        <v>109</v>
      </c>
      <c r="AE29" s="775" t="s">
        <v>93</v>
      </c>
      <c r="AF29" s="775"/>
      <c r="AI29" s="145" t="s">
        <v>1154</v>
      </c>
      <c r="AJ29" s="145">
        <v>50</v>
      </c>
      <c r="AK29" s="1" t="s">
        <v>93</v>
      </c>
      <c r="AL29" s="1" t="s">
        <v>93</v>
      </c>
      <c r="AO29" s="146" t="s">
        <v>1023</v>
      </c>
      <c r="AP29" s="208">
        <v>167.6</v>
      </c>
      <c r="AQ29" s="1" t="s">
        <v>93</v>
      </c>
      <c r="AR29" s="1"/>
      <c r="AU29" s="146" t="s">
        <v>1171</v>
      </c>
      <c r="AV29" s="208">
        <v>156.66</v>
      </c>
      <c r="AW29" s="1" t="s">
        <v>93</v>
      </c>
      <c r="AX29" s="1"/>
      <c r="AY29" s="146"/>
      <c r="AZ29" s="208"/>
      <c r="BA29" s="1" t="s">
        <v>93</v>
      </c>
      <c r="BB29" s="1"/>
      <c r="BE29" s="146" t="s">
        <v>1022</v>
      </c>
      <c r="BF29" s="208">
        <v>64</v>
      </c>
      <c r="BG29" s="1" t="s">
        <v>93</v>
      </c>
      <c r="BH29" s="1"/>
      <c r="BK29" s="270" t="s">
        <v>1022</v>
      </c>
      <c r="BL29" s="208" t="s">
        <v>1231</v>
      </c>
      <c r="BM29" s="1" t="s">
        <v>93</v>
      </c>
      <c r="BN29" s="1"/>
      <c r="BQ29" s="270" t="s">
        <v>1022</v>
      </c>
      <c r="BR29" s="208">
        <v>64</v>
      </c>
      <c r="BS29" s="1" t="s">
        <v>93</v>
      </c>
      <c r="BT29" s="276"/>
      <c r="BW29" s="270" t="s">
        <v>1270</v>
      </c>
      <c r="BX29" s="208">
        <v>64</v>
      </c>
      <c r="BY29" s="1" t="s">
        <v>93</v>
      </c>
      <c r="BZ29" s="84"/>
      <c r="CC29" s="270" t="s">
        <v>1022</v>
      </c>
      <c r="CD29" s="208">
        <v>32</v>
      </c>
      <c r="CE29" s="1" t="s">
        <v>93</v>
      </c>
      <c r="CF29" s="84"/>
      <c r="CI29" s="270" t="s">
        <v>1310</v>
      </c>
      <c r="CJ29" s="208">
        <v>64</v>
      </c>
      <c r="CK29" s="1" t="s">
        <v>93</v>
      </c>
      <c r="CL29" s="84"/>
      <c r="CO29" s="291" t="s">
        <v>1323</v>
      </c>
      <c r="CP29" s="221">
        <f>28+34</f>
        <v>62</v>
      </c>
      <c r="CQ29" s="1" t="s">
        <v>93</v>
      </c>
      <c r="CR29" s="84"/>
      <c r="CU29" s="291" t="s">
        <v>1361</v>
      </c>
      <c r="CV29" s="221">
        <v>26.7</v>
      </c>
      <c r="CX29" s="84"/>
      <c r="DA29" s="299" t="s">
        <v>1392</v>
      </c>
      <c r="DB29" s="208">
        <v>178.21</v>
      </c>
      <c r="DC29" s="294"/>
      <c r="DD29" s="295"/>
      <c r="DE29" s="6" t="s">
        <v>1449</v>
      </c>
      <c r="DF29" s="9">
        <f>51*2/3</f>
        <v>34</v>
      </c>
      <c r="DG29" s="297" t="s">
        <v>1436</v>
      </c>
      <c r="DH29" s="283">
        <v>185.01</v>
      </c>
      <c r="DI29" s="63" t="s">
        <v>1457</v>
      </c>
      <c r="DJ29" s="274">
        <v>10000</v>
      </c>
      <c r="DM29" s="269" t="s">
        <v>1341</v>
      </c>
      <c r="DN29" s="283">
        <f>11+53.24</f>
        <v>64.240000000000009</v>
      </c>
      <c r="DO29" s="63" t="s">
        <v>1492</v>
      </c>
      <c r="DP29" s="231" t="s">
        <v>692</v>
      </c>
      <c r="DS29" s="299" t="s">
        <v>1605</v>
      </c>
      <c r="DT29" s="283">
        <v>10</v>
      </c>
      <c r="DU29" s="63" t="s">
        <v>1492</v>
      </c>
      <c r="DV29" s="231" t="s">
        <v>692</v>
      </c>
      <c r="DY29" s="63" t="s">
        <v>1613</v>
      </c>
      <c r="DZ29" s="63"/>
      <c r="EA29" s="251"/>
      <c r="EB29" s="313"/>
      <c r="EE29" s="63" t="s">
        <v>1649</v>
      </c>
      <c r="EF29" s="63"/>
      <c r="EG29" s="348"/>
      <c r="EL29" s="763" t="s">
        <v>1543</v>
      </c>
      <c r="EM29" s="763"/>
      <c r="EN29" s="257"/>
      <c r="EO29" s="278"/>
      <c r="ER29" s="63" t="s">
        <v>1686</v>
      </c>
      <c r="ES29" s="222"/>
      <c r="ET29" s="1" t="s">
        <v>1704</v>
      </c>
      <c r="EU29" s="276">
        <v>10000</v>
      </c>
      <c r="EX29" s="345" t="s">
        <v>1729</v>
      </c>
      <c r="EY29" s="345"/>
      <c r="EZ29" s="1" t="s">
        <v>1574</v>
      </c>
      <c r="FA29" s="276">
        <v>2010</v>
      </c>
      <c r="FD29" s="357">
        <v>300</v>
      </c>
      <c r="FE29" s="358">
        <f>FA10+FD29-FG10</f>
        <v>280</v>
      </c>
      <c r="FF29" s="1" t="s">
        <v>1574</v>
      </c>
      <c r="FG29" s="276">
        <v>6010</v>
      </c>
      <c r="FJ29" s="341" t="s">
        <v>1827</v>
      </c>
      <c r="FK29">
        <v>8</v>
      </c>
      <c r="FL29" s="1" t="s">
        <v>1711</v>
      </c>
      <c r="FM29" s="276">
        <v>0</v>
      </c>
      <c r="FP29" s="341" t="s">
        <v>1861</v>
      </c>
      <c r="FQ29">
        <v>86.2</v>
      </c>
      <c r="FR29" s="1" t="s">
        <v>1574</v>
      </c>
      <c r="FS29" s="276">
        <v>6010</v>
      </c>
      <c r="FT29" t="s">
        <v>1896</v>
      </c>
      <c r="FU29">
        <f>5984.25-6010</f>
        <v>-25.75</v>
      </c>
      <c r="FV29" s="341" t="s">
        <v>1933</v>
      </c>
      <c r="FW29">
        <v>41.2</v>
      </c>
      <c r="FX29" s="1" t="s">
        <v>1895</v>
      </c>
      <c r="FY29" s="276">
        <v>5005</v>
      </c>
      <c r="GB29" s="341" t="s">
        <v>1970</v>
      </c>
      <c r="GC29">
        <v>127.1</v>
      </c>
      <c r="GD29" s="1" t="s">
        <v>1895</v>
      </c>
      <c r="GE29" s="276">
        <v>4004</v>
      </c>
      <c r="GF29" s="6"/>
      <c r="GH29" s="341" t="s">
        <v>1977</v>
      </c>
      <c r="GI29">
        <v>70</v>
      </c>
      <c r="GJ29" s="1" t="s">
        <v>1895</v>
      </c>
      <c r="GK29" s="276">
        <v>808</v>
      </c>
      <c r="GN29" s="341" t="s">
        <v>2048</v>
      </c>
      <c r="GO29">
        <v>20</v>
      </c>
      <c r="GP29" s="1" t="s">
        <v>1895</v>
      </c>
      <c r="GQ29" s="276" t="s">
        <v>1086</v>
      </c>
      <c r="GT29" s="341" t="s">
        <v>2083</v>
      </c>
      <c r="GU29">
        <v>10</v>
      </c>
      <c r="GV29" s="258" t="s">
        <v>1639</v>
      </c>
      <c r="GW29" s="282"/>
      <c r="GZ29" s="341" t="s">
        <v>2103</v>
      </c>
      <c r="HA29">
        <v>505.66</v>
      </c>
      <c r="HB29" s="1" t="s">
        <v>1920</v>
      </c>
      <c r="HC29" s="276">
        <v>0</v>
      </c>
      <c r="HD29" s="1"/>
      <c r="HF29" s="341" t="s">
        <v>2169</v>
      </c>
      <c r="HG29">
        <f>74.8-6.1</f>
        <v>68.7</v>
      </c>
      <c r="HH29" t="s">
        <v>2154</v>
      </c>
      <c r="HI29" s="205">
        <v>-114.61</v>
      </c>
      <c r="HJ29" s="353" t="s">
        <v>2172</v>
      </c>
      <c r="HK29">
        <f>SUM(HM19:HM23)</f>
        <v>275.58</v>
      </c>
      <c r="HL29" s="419">
        <v>20</v>
      </c>
      <c r="HM29" s="344" t="s">
        <v>2130</v>
      </c>
      <c r="HN29" s="408"/>
      <c r="HO29" s="282"/>
      <c r="HP29" s="249" t="s">
        <v>1967</v>
      </c>
      <c r="HQ29" s="290">
        <f>SUM(HS10:HS12)</f>
        <v>2361.4333333333334</v>
      </c>
      <c r="HR29" s="341" t="s">
        <v>2260</v>
      </c>
      <c r="HS29">
        <v>14</v>
      </c>
      <c r="HT29" s="1" t="s">
        <v>2179</v>
      </c>
      <c r="HU29" s="276">
        <v>4000</v>
      </c>
      <c r="HV29" s="217" t="s">
        <v>2645</v>
      </c>
      <c r="HW29">
        <f>SUM(HY45:HY52)</f>
        <v>1548.6</v>
      </c>
      <c r="HX29" s="341" t="s">
        <v>2323</v>
      </c>
      <c r="HY29">
        <f>22.3+42.9</f>
        <v>65.2</v>
      </c>
      <c r="HZ29" s="258" t="s">
        <v>2244</v>
      </c>
      <c r="IB29" s="350" t="s">
        <v>2173</v>
      </c>
      <c r="IC29">
        <f>SUM(IE9:IE9)</f>
        <v>32.1</v>
      </c>
      <c r="ID29" s="341" t="s">
        <v>2359</v>
      </c>
      <c r="IE29">
        <v>80</v>
      </c>
      <c r="IF29" s="257" t="s">
        <v>2270</v>
      </c>
      <c r="IG29" s="282"/>
      <c r="IH29" s="411" t="s">
        <v>2418</v>
      </c>
      <c r="II29" s="552">
        <f>19.45*3</f>
        <v>58.349999999999994</v>
      </c>
      <c r="IJ29" s="341" t="s">
        <v>2462</v>
      </c>
      <c r="IK29">
        <f>7.15+14.85</f>
        <v>22</v>
      </c>
      <c r="IL29" s="410" t="s">
        <v>2271</v>
      </c>
      <c r="IM29" s="483">
        <v>21.35</v>
      </c>
      <c r="IN29" s="411"/>
      <c r="IO29" s="552"/>
      <c r="IP29" s="341" t="s">
        <v>2521</v>
      </c>
      <c r="IQ29" s="61">
        <v>23.1</v>
      </c>
      <c r="IR29" s="573" t="s">
        <v>2486</v>
      </c>
      <c r="IS29" s="572" t="s">
        <v>2487</v>
      </c>
      <c r="IT29" s="341" t="s">
        <v>2172</v>
      </c>
      <c r="IU29" s="623">
        <f>SUM(IW20:IW24)</f>
        <v>268.39</v>
      </c>
      <c r="IV29" s="419">
        <v>5</v>
      </c>
      <c r="IW29" s="586" t="s">
        <v>2587</v>
      </c>
      <c r="IX29" s="623" t="s">
        <v>93</v>
      </c>
      <c r="IZ29" s="349" t="s">
        <v>2174</v>
      </c>
      <c r="JA29" s="421">
        <f>SUM(JC14:JC21)</f>
        <v>277.44</v>
      </c>
      <c r="JB29" s="422">
        <v>43.96</v>
      </c>
      <c r="JC29" s="577"/>
      <c r="JD29" s="679" t="s">
        <v>1681</v>
      </c>
    </row>
    <row r="30" spans="1:266" x14ac:dyDescent="0.2">
      <c r="A30" s="773" t="s">
        <v>999</v>
      </c>
      <c r="B30" s="773"/>
      <c r="E30" s="196" t="s">
        <v>378</v>
      </c>
      <c r="F30" s="197"/>
      <c r="G30" s="773" t="s">
        <v>999</v>
      </c>
      <c r="H30" s="773"/>
      <c r="K30" s="146" t="s">
        <v>1022</v>
      </c>
      <c r="L30" s="145">
        <v>64</v>
      </c>
      <c r="M30" s="738" t="s">
        <v>391</v>
      </c>
      <c r="N30" s="738"/>
      <c r="Q30"/>
      <c r="S30" s="738" t="s">
        <v>391</v>
      </c>
      <c r="T30" s="738"/>
      <c r="W30" s="146" t="s">
        <v>1021</v>
      </c>
      <c r="X30" s="145">
        <v>100.01</v>
      </c>
      <c r="Y30" s="775" t="s">
        <v>93</v>
      </c>
      <c r="Z30" s="775"/>
      <c r="AC30" s="145" t="s">
        <v>1094</v>
      </c>
      <c r="AD30" s="145">
        <v>65</v>
      </c>
      <c r="AE30" s="738" t="s">
        <v>391</v>
      </c>
      <c r="AF30" s="738"/>
      <c r="AK30" t="s">
        <v>391</v>
      </c>
      <c r="AL30" t="s">
        <v>391</v>
      </c>
      <c r="AO30" s="146" t="s">
        <v>1150</v>
      </c>
      <c r="AP30" s="208">
        <f>11*2</f>
        <v>22</v>
      </c>
      <c r="AQ30" t="s">
        <v>391</v>
      </c>
      <c r="AR30"/>
      <c r="AU30" s="146" t="s">
        <v>1150</v>
      </c>
      <c r="AV30" s="208">
        <v>11</v>
      </c>
      <c r="AW30" t="s">
        <v>1156</v>
      </c>
      <c r="AX30"/>
      <c r="AY30" s="146"/>
      <c r="AZ30" s="208"/>
      <c r="BA30" t="s">
        <v>1156</v>
      </c>
      <c r="BB30"/>
      <c r="BE30" s="146" t="s">
        <v>1021</v>
      </c>
      <c r="BF30" s="208">
        <v>50</v>
      </c>
      <c r="BG30" t="s">
        <v>1156</v>
      </c>
      <c r="BH30"/>
      <c r="BK30" s="270" t="s">
        <v>1021</v>
      </c>
      <c r="BL30" s="208">
        <v>10</v>
      </c>
      <c r="BM30" t="s">
        <v>1156</v>
      </c>
      <c r="BN30"/>
      <c r="BQ30" s="270" t="s">
        <v>1021</v>
      </c>
      <c r="BR30" s="208">
        <v>20</v>
      </c>
      <c r="BS30" t="s">
        <v>1156</v>
      </c>
      <c r="BW30" s="270" t="s">
        <v>1021</v>
      </c>
      <c r="BX30" s="208">
        <v>50</v>
      </c>
      <c r="BY30" t="s">
        <v>1156</v>
      </c>
      <c r="CC30" s="270" t="s">
        <v>1021</v>
      </c>
      <c r="CD30" s="208">
        <v>70.001000000000005</v>
      </c>
      <c r="CE30" t="s">
        <v>1156</v>
      </c>
      <c r="CI30" s="270" t="s">
        <v>1021</v>
      </c>
      <c r="CJ30" s="208">
        <v>100.001</v>
      </c>
      <c r="CK30" t="s">
        <v>1156</v>
      </c>
      <c r="CO30" s="291" t="s">
        <v>1330</v>
      </c>
      <c r="CP30" s="221">
        <v>35</v>
      </c>
      <c r="CQ30" t="s">
        <v>1156</v>
      </c>
      <c r="CU30" s="291" t="s">
        <v>1369</v>
      </c>
      <c r="CV30" s="221">
        <f>6*4+5*2+5</f>
        <v>39</v>
      </c>
      <c r="CW30" s="60" t="s">
        <v>512</v>
      </c>
      <c r="DA30" s="299" t="s">
        <v>1404</v>
      </c>
      <c r="DB30" s="208">
        <v>300</v>
      </c>
      <c r="DD30" s="84"/>
      <c r="DG30" s="269" t="s">
        <v>1344</v>
      </c>
      <c r="DH30" s="283">
        <v>85.71</v>
      </c>
      <c r="DI30" s="63" t="s">
        <v>1458</v>
      </c>
      <c r="DJ30" s="274" t="s">
        <v>1086</v>
      </c>
      <c r="DM30" s="269" t="s">
        <v>1310</v>
      </c>
      <c r="DN30" s="283">
        <v>64</v>
      </c>
      <c r="DO30" s="251"/>
      <c r="DP30" s="313"/>
      <c r="DS30" s="299" t="s">
        <v>1593</v>
      </c>
      <c r="DT30" s="283">
        <v>10</v>
      </c>
      <c r="DU30" s="251"/>
      <c r="DV30" s="313"/>
      <c r="DY30" s="63" t="s">
        <v>1606</v>
      </c>
      <c r="DZ30" s="63"/>
      <c r="EA30" t="s">
        <v>1275</v>
      </c>
      <c r="EB30" s="2">
        <v>-20000</v>
      </c>
      <c r="EE30" t="s">
        <v>1635</v>
      </c>
      <c r="EF30">
        <v>999</v>
      </c>
      <c r="EG30" s="1"/>
      <c r="EH30" t="s">
        <v>512</v>
      </c>
      <c r="EL30" s="343">
        <v>100</v>
      </c>
      <c r="EM30" s="320">
        <f>EI10+EL30-EO10</f>
        <v>190</v>
      </c>
      <c r="ER30" s="63" t="s">
        <v>1718</v>
      </c>
      <c r="ES30" s="222"/>
      <c r="ET30" s="1" t="s">
        <v>1703</v>
      </c>
      <c r="EU30" s="276">
        <v>0</v>
      </c>
      <c r="EX30" s="344" t="s">
        <v>1724</v>
      </c>
      <c r="EY30" s="345"/>
      <c r="EZ30" s="1" t="s">
        <v>1574</v>
      </c>
      <c r="FA30" s="276">
        <v>5010</v>
      </c>
      <c r="FD30" s="345" t="s">
        <v>1791</v>
      </c>
      <c r="FE30" s="345"/>
      <c r="FF30" s="1" t="s">
        <v>1574</v>
      </c>
      <c r="FG30" s="276">
        <v>10010</v>
      </c>
      <c r="FJ30" s="763" t="s">
        <v>1754</v>
      </c>
      <c r="FK30" s="763"/>
      <c r="FL30" s="1" t="s">
        <v>1710</v>
      </c>
      <c r="FM30" s="276">
        <v>10000</v>
      </c>
      <c r="FP30" s="341" t="s">
        <v>1840</v>
      </c>
      <c r="FQ30">
        <v>35.799999999999997</v>
      </c>
      <c r="FR30" s="1" t="s">
        <v>1574</v>
      </c>
      <c r="FS30" s="276">
        <v>10010</v>
      </c>
      <c r="FT30" t="s">
        <v>1921</v>
      </c>
      <c r="FU30">
        <f>4980.91-5005</f>
        <v>-24.090000000000146</v>
      </c>
      <c r="FV30" s="341" t="s">
        <v>1949</v>
      </c>
      <c r="FW30">
        <v>6.3</v>
      </c>
      <c r="FX30" s="1" t="s">
        <v>1920</v>
      </c>
      <c r="FY30" s="276" t="s">
        <v>692</v>
      </c>
      <c r="GB30" s="341" t="s">
        <v>1969</v>
      </c>
      <c r="GC30">
        <v>18.8</v>
      </c>
      <c r="GD30" s="1" t="s">
        <v>1920</v>
      </c>
      <c r="GE30" s="276" t="s">
        <v>692</v>
      </c>
      <c r="GF30" s="1"/>
      <c r="GG30" s="3"/>
      <c r="GH30" s="341" t="s">
        <v>2013</v>
      </c>
      <c r="GI30">
        <v>16</v>
      </c>
      <c r="GJ30" s="6" t="s">
        <v>1818</v>
      </c>
      <c r="GK30" s="276">
        <v>300</v>
      </c>
      <c r="GN30" s="341" t="s">
        <v>2034</v>
      </c>
      <c r="GO30">
        <v>10</v>
      </c>
      <c r="GP30" s="6" t="s">
        <v>1818</v>
      </c>
      <c r="GQ30" s="276">
        <v>300</v>
      </c>
      <c r="GR30" s="6"/>
      <c r="GT30" s="341" t="s">
        <v>2067</v>
      </c>
      <c r="GU30">
        <v>10</v>
      </c>
      <c r="GV30" s="257" t="s">
        <v>2073</v>
      </c>
      <c r="GW30" s="282">
        <v>1159.4000000000001</v>
      </c>
      <c r="GZ30" s="341" t="s">
        <v>2108</v>
      </c>
      <c r="HA30">
        <f>80+105</f>
        <v>185</v>
      </c>
      <c r="HB30" s="258" t="s">
        <v>1639</v>
      </c>
      <c r="HC30" s="282"/>
      <c r="HF30" s="396" t="s">
        <v>1754</v>
      </c>
      <c r="HG30" s="63"/>
      <c r="HH30" s="408" t="s">
        <v>2146</v>
      </c>
      <c r="HI30" s="411">
        <v>258.44</v>
      </c>
      <c r="HL30" s="419">
        <v>60</v>
      </c>
      <c r="HM30" s="344" t="s">
        <v>2155</v>
      </c>
      <c r="HP30" s="366" t="s">
        <v>1399</v>
      </c>
      <c r="HQ30">
        <v>0</v>
      </c>
      <c r="HR30" s="341" t="s">
        <v>2108</v>
      </c>
      <c r="HS30">
        <v>80</v>
      </c>
      <c r="HT30" s="1" t="s">
        <v>2022</v>
      </c>
      <c r="HU30" s="276">
        <v>25000</v>
      </c>
      <c r="HX30" s="341" t="s">
        <v>2321</v>
      </c>
      <c r="HY30">
        <v>11</v>
      </c>
      <c r="HZ30" s="569" t="s">
        <v>2482</v>
      </c>
      <c r="IA30" s="568">
        <v>4</v>
      </c>
      <c r="IB30" s="349" t="s">
        <v>2174</v>
      </c>
      <c r="IC30" s="421">
        <f>SUM(IE18:IE26)</f>
        <v>1421.2533333333333</v>
      </c>
      <c r="ID30" s="341" t="s">
        <v>2388</v>
      </c>
      <c r="IE30">
        <v>62</v>
      </c>
      <c r="IF30" s="410" t="s">
        <v>2271</v>
      </c>
      <c r="IG30" s="483">
        <v>21.35</v>
      </c>
      <c r="IH30" s="411" t="s">
        <v>2419</v>
      </c>
      <c r="II30" s="552">
        <f>19.45*25</f>
        <v>486.25</v>
      </c>
      <c r="IJ30" s="341" t="s">
        <v>2461</v>
      </c>
      <c r="IK30">
        <v>34</v>
      </c>
      <c r="IL30" s="571" t="s">
        <v>2484</v>
      </c>
      <c r="IM30">
        <v>1.49</v>
      </c>
      <c r="IN30" s="411"/>
      <c r="IO30" s="552"/>
      <c r="IP30" s="341" t="s">
        <v>2588</v>
      </c>
      <c r="IQ30" s="61" t="s">
        <v>2589</v>
      </c>
      <c r="IR30" s="585"/>
      <c r="IS30" s="570"/>
      <c r="IV30" s="419">
        <v>50</v>
      </c>
      <c r="IW30" s="586" t="s">
        <v>1835</v>
      </c>
      <c r="IX30" s="623" t="s">
        <v>2407</v>
      </c>
      <c r="IZ30" s="341" t="s">
        <v>2172</v>
      </c>
      <c r="JA30" s="679">
        <f>SUM(JC22:JC26)</f>
        <v>98.75</v>
      </c>
      <c r="JB30" s="396" t="s">
        <v>1418</v>
      </c>
      <c r="JC30" s="418">
        <f>IY18+JA32-JE19</f>
        <v>180</v>
      </c>
      <c r="JD30" s="679" t="s">
        <v>1041</v>
      </c>
    </row>
    <row r="31" spans="1:266" ht="12.75" customHeight="1" x14ac:dyDescent="0.2">
      <c r="A31" s="775" t="s">
        <v>93</v>
      </c>
      <c r="B31" s="775"/>
      <c r="E31" s="196" t="s">
        <v>1014</v>
      </c>
      <c r="F31" s="173"/>
      <c r="G31" s="775" t="s">
        <v>93</v>
      </c>
      <c r="H31" s="775"/>
      <c r="K31" s="146" t="s">
        <v>1021</v>
      </c>
      <c r="L31" s="145">
        <v>50.01</v>
      </c>
      <c r="M31" s="776" t="s">
        <v>1008</v>
      </c>
      <c r="N31" s="776"/>
      <c r="Q31" s="146" t="s">
        <v>1059</v>
      </c>
      <c r="R31" s="145">
        <v>26</v>
      </c>
      <c r="S31" s="776" t="s">
        <v>1008</v>
      </c>
      <c r="T31" s="776"/>
      <c r="W31"/>
      <c r="Y31" s="738" t="s">
        <v>391</v>
      </c>
      <c r="Z31" s="738"/>
      <c r="AC31" s="145" t="s">
        <v>1097</v>
      </c>
      <c r="AD31" s="145">
        <v>10</v>
      </c>
      <c r="AE31" s="776" t="s">
        <v>1008</v>
      </c>
      <c r="AF31" s="776"/>
      <c r="AK31" s="258" t="s">
        <v>1008</v>
      </c>
      <c r="AL31" s="258" t="s">
        <v>1008</v>
      </c>
      <c r="AO31" s="146" t="s">
        <v>1022</v>
      </c>
      <c r="AP31" s="208">
        <v>32</v>
      </c>
      <c r="AQ31" s="258" t="s">
        <v>1008</v>
      </c>
      <c r="AR31" s="66"/>
      <c r="AU31" s="146" t="s">
        <v>1022</v>
      </c>
      <c r="AV31" s="208" t="s">
        <v>692</v>
      </c>
      <c r="AW31" s="258" t="s">
        <v>1008</v>
      </c>
      <c r="AX31" s="258"/>
      <c r="AY31" s="146"/>
      <c r="AZ31" s="208"/>
      <c r="BA31" s="258" t="s">
        <v>1008</v>
      </c>
      <c r="BB31" s="258"/>
      <c r="BE31" s="255" t="s">
        <v>1204</v>
      </c>
      <c r="BF31" s="145">
        <v>56.62</v>
      </c>
      <c r="BG31" s="258" t="s">
        <v>1008</v>
      </c>
      <c r="BH31" s="258"/>
      <c r="BK31" s="271" t="s">
        <v>1228</v>
      </c>
      <c r="BL31" s="221">
        <v>5</v>
      </c>
      <c r="BM31" s="258" t="s">
        <v>1008</v>
      </c>
      <c r="BN31" s="258"/>
      <c r="BQ31" s="271" t="s">
        <v>1244</v>
      </c>
      <c r="BR31" s="221">
        <v>20</v>
      </c>
      <c r="BS31" s="258" t="s">
        <v>1008</v>
      </c>
      <c r="BT31" s="281"/>
      <c r="BW31" s="271" t="s">
        <v>1244</v>
      </c>
      <c r="BX31" s="221">
        <v>15</v>
      </c>
      <c r="BY31" s="258" t="s">
        <v>1008</v>
      </c>
      <c r="BZ31" s="286"/>
      <c r="CC31" s="271" t="s">
        <v>1244</v>
      </c>
      <c r="CD31" s="221">
        <v>5</v>
      </c>
      <c r="CE31" s="258" t="s">
        <v>1008</v>
      </c>
      <c r="CF31" s="286"/>
      <c r="CI31" s="291" t="s">
        <v>1244</v>
      </c>
      <c r="CJ31" s="221">
        <f>10+5</f>
        <v>15</v>
      </c>
      <c r="CK31" s="258" t="s">
        <v>1008</v>
      </c>
      <c r="CL31" s="286"/>
      <c r="CO31" s="291" t="s">
        <v>1340</v>
      </c>
      <c r="CP31" s="221">
        <v>39</v>
      </c>
      <c r="CQ31" s="258" t="s">
        <v>1008</v>
      </c>
      <c r="CR31" s="286"/>
      <c r="CU31" s="291" t="s">
        <v>1378</v>
      </c>
      <c r="CV31" s="221">
        <v>46.9</v>
      </c>
      <c r="CW31" s="60" t="s">
        <v>999</v>
      </c>
      <c r="CX31" s="286"/>
      <c r="DA31" s="299" t="s">
        <v>1413</v>
      </c>
      <c r="DB31" s="208">
        <v>28</v>
      </c>
      <c r="DC31" s="60" t="s">
        <v>512</v>
      </c>
      <c r="DG31" s="269" t="s">
        <v>1442</v>
      </c>
      <c r="DH31" s="283">
        <f>51.05+57.34</f>
        <v>108.39</v>
      </c>
      <c r="DI31" s="63" t="s">
        <v>1476</v>
      </c>
      <c r="DJ31" s="274">
        <v>5000</v>
      </c>
      <c r="DK31" s="6"/>
      <c r="DM31" s="269" t="s">
        <v>1519</v>
      </c>
      <c r="DN31" s="283">
        <f>12.19+9.83+1.31+11.91+13.1+17+10+12.95</f>
        <v>88.29</v>
      </c>
      <c r="DO31" s="257" t="s">
        <v>1275</v>
      </c>
      <c r="DP31" s="276">
        <v>-20000</v>
      </c>
      <c r="DQ31" s="6"/>
      <c r="DS31" s="299" t="s">
        <v>1592</v>
      </c>
      <c r="DT31" s="283">
        <v>10</v>
      </c>
      <c r="DU31" s="257" t="s">
        <v>1275</v>
      </c>
      <c r="DV31" s="276">
        <v>-20000</v>
      </c>
      <c r="DY31" s="63" t="s">
        <v>1610</v>
      </c>
      <c r="DZ31" s="63"/>
      <c r="EA31" s="342" t="s">
        <v>1599</v>
      </c>
      <c r="EB31" s="109"/>
      <c r="EE31" t="s">
        <v>1636</v>
      </c>
      <c r="EF31">
        <v>201</v>
      </c>
      <c r="EG31" s="1"/>
      <c r="EH31" t="s">
        <v>1629</v>
      </c>
      <c r="EL31" s="345" t="s">
        <v>1665</v>
      </c>
      <c r="EM31" s="345"/>
      <c r="EN31" t="s">
        <v>512</v>
      </c>
      <c r="ER31" s="63" t="s">
        <v>1694</v>
      </c>
      <c r="ES31" s="222"/>
      <c r="ET31" s="258" t="s">
        <v>1639</v>
      </c>
      <c r="EU31" s="258"/>
      <c r="EX31" s="344" t="s">
        <v>1752</v>
      </c>
      <c r="EY31" s="345"/>
      <c r="EZ31" s="1" t="s">
        <v>1504</v>
      </c>
      <c r="FA31" s="276">
        <v>10000</v>
      </c>
      <c r="FD31" s="344" t="s">
        <v>1761</v>
      </c>
      <c r="FE31" s="345"/>
      <c r="FF31" s="1" t="s">
        <v>1504</v>
      </c>
      <c r="FG31" s="276">
        <v>15000</v>
      </c>
      <c r="FJ31" s="357">
        <v>200</v>
      </c>
      <c r="FK31" s="358">
        <f>FG10+FJ31-FM11</f>
        <v>340</v>
      </c>
      <c r="FL31" s="1" t="s">
        <v>1710</v>
      </c>
      <c r="FM31" s="276">
        <v>0</v>
      </c>
      <c r="FP31" s="341" t="s">
        <v>1850</v>
      </c>
      <c r="FQ31">
        <v>44.8</v>
      </c>
      <c r="FR31" s="1" t="s">
        <v>1704</v>
      </c>
      <c r="FS31" s="276">
        <v>0</v>
      </c>
      <c r="FT31" s="6" t="s">
        <v>1710</v>
      </c>
      <c r="FU31">
        <f>9952.43-10000</f>
        <v>-47.569999999999709</v>
      </c>
      <c r="FV31" s="396" t="s">
        <v>1754</v>
      </c>
      <c r="FW31" s="396"/>
      <c r="FX31" s="258" t="s">
        <v>1639</v>
      </c>
      <c r="FY31" s="282"/>
      <c r="GB31" s="341" t="s">
        <v>1973</v>
      </c>
      <c r="GC31">
        <v>20</v>
      </c>
      <c r="GD31" s="258" t="s">
        <v>1639</v>
      </c>
      <c r="GE31" s="282"/>
      <c r="GH31" s="341" t="s">
        <v>1540</v>
      </c>
      <c r="GI31">
        <v>66.62</v>
      </c>
      <c r="GJ31" s="1" t="s">
        <v>1920</v>
      </c>
      <c r="GK31" s="276">
        <v>0</v>
      </c>
      <c r="GN31" s="341" t="s">
        <v>2049</v>
      </c>
      <c r="GO31">
        <v>14.06</v>
      </c>
      <c r="GP31" s="258" t="s">
        <v>1639</v>
      </c>
      <c r="GQ31" s="282"/>
      <c r="GR31" s="1"/>
      <c r="GS31" s="3"/>
      <c r="GT31" s="341" t="s">
        <v>2069</v>
      </c>
      <c r="GU31">
        <v>47.67</v>
      </c>
      <c r="GV31" s="257"/>
      <c r="GZ31" s="341" t="s">
        <v>1786</v>
      </c>
      <c r="HA31">
        <v>8</v>
      </c>
      <c r="HB31" s="257" t="s">
        <v>2143</v>
      </c>
      <c r="HC31" s="287">
        <v>1159.4000000000001</v>
      </c>
      <c r="HF31" s="357">
        <v>200</v>
      </c>
      <c r="HG31" s="396"/>
      <c r="HH31" s="408" t="s">
        <v>2146</v>
      </c>
      <c r="HI31" s="411">
        <v>23.05</v>
      </c>
      <c r="HJ31" s="344" t="s">
        <v>2202</v>
      </c>
      <c r="HK31" s="357">
        <v>300</v>
      </c>
      <c r="HL31" s="419">
        <v>45</v>
      </c>
      <c r="HM31" s="344" t="s">
        <v>1609</v>
      </c>
      <c r="HP31" s="350" t="s">
        <v>2173</v>
      </c>
      <c r="HQ31">
        <f>SUM(HS8:HS9)</f>
        <v>1867.15</v>
      </c>
      <c r="HR31" t="s">
        <v>2205</v>
      </c>
      <c r="HS31" s="6">
        <v>37</v>
      </c>
      <c r="HT31" s="1" t="s">
        <v>1645</v>
      </c>
      <c r="HU31" s="276">
        <v>2000</v>
      </c>
      <c r="HX31" t="s">
        <v>2205</v>
      </c>
      <c r="HY31" s="6">
        <v>20</v>
      </c>
      <c r="HZ31" s="7" t="s">
        <v>2007</v>
      </c>
      <c r="IA31">
        <v>1000</v>
      </c>
      <c r="IB31" s="341" t="s">
        <v>2172</v>
      </c>
      <c r="IC31">
        <f>SUM(IE27:IE35)</f>
        <v>712.47</v>
      </c>
      <c r="ID31" s="341" t="s">
        <v>2395</v>
      </c>
      <c r="IE31">
        <v>10</v>
      </c>
      <c r="IF31" s="257" t="s">
        <v>2301</v>
      </c>
      <c r="IG31" s="483">
        <v>125.91</v>
      </c>
      <c r="IH31" s="411"/>
      <c r="II31" s="552"/>
      <c r="IJ31" s="341" t="s">
        <v>2470</v>
      </c>
      <c r="IK31">
        <f>22+32.4</f>
        <v>54.4</v>
      </c>
      <c r="IL31" s="257"/>
      <c r="IM31" s="282"/>
      <c r="IN31" s="412"/>
      <c r="IP31" s="341" t="s">
        <v>2549</v>
      </c>
      <c r="IQ31" s="61">
        <v>42.17</v>
      </c>
      <c r="IR31" s="587"/>
      <c r="IT31" s="624" t="s">
        <v>2590</v>
      </c>
      <c r="IU31" s="357">
        <v>90</v>
      </c>
      <c r="IV31" s="419">
        <v>10</v>
      </c>
      <c r="IW31" s="586" t="s">
        <v>2675</v>
      </c>
      <c r="IX31" s="623" t="s">
        <v>1681</v>
      </c>
      <c r="JB31" s="419">
        <v>70</v>
      </c>
      <c r="JC31" s="586" t="s">
        <v>2687</v>
      </c>
    </row>
    <row r="32" spans="1:266" x14ac:dyDescent="0.2">
      <c r="A32" s="738" t="s">
        <v>391</v>
      </c>
      <c r="B32" s="738"/>
      <c r="E32" s="173"/>
      <c r="F32" s="173"/>
      <c r="G32" s="738" t="s">
        <v>391</v>
      </c>
      <c r="H32" s="738"/>
      <c r="K32"/>
      <c r="M32" s="772" t="s">
        <v>243</v>
      </c>
      <c r="N32" s="772"/>
      <c r="Q32" s="146" t="s">
        <v>1058</v>
      </c>
      <c r="R32" s="145">
        <v>55</v>
      </c>
      <c r="S32" s="772" t="s">
        <v>243</v>
      </c>
      <c r="T32" s="772"/>
      <c r="W32" s="247" t="s">
        <v>1079</v>
      </c>
      <c r="X32" s="247">
        <v>0</v>
      </c>
      <c r="Y32" s="776" t="s">
        <v>1008</v>
      </c>
      <c r="Z32" s="776"/>
      <c r="AE32" s="772" t="s">
        <v>243</v>
      </c>
      <c r="AF32" s="772"/>
      <c r="AK32" s="6" t="s">
        <v>243</v>
      </c>
      <c r="AL32" s="6" t="s">
        <v>243</v>
      </c>
      <c r="AO32" s="146" t="s">
        <v>1021</v>
      </c>
      <c r="AP32" s="208">
        <v>200</v>
      </c>
      <c r="AQ32" s="6" t="s">
        <v>243</v>
      </c>
      <c r="AR32" s="6"/>
      <c r="AU32" s="146" t="s">
        <v>1021</v>
      </c>
      <c r="AV32" s="208">
        <v>100</v>
      </c>
      <c r="AW32" s="6" t="s">
        <v>243</v>
      </c>
      <c r="AX32" s="6"/>
      <c r="AY32" s="146"/>
      <c r="AZ32" s="208"/>
      <c r="BA32" s="6" t="s">
        <v>243</v>
      </c>
      <c r="BB32" s="6"/>
      <c r="BE32" s="255" t="s">
        <v>1208</v>
      </c>
      <c r="BF32" s="145">
        <v>53</v>
      </c>
      <c r="BG32" s="6" t="s">
        <v>243</v>
      </c>
      <c r="BH32" s="6"/>
      <c r="BK32" s="271" t="s">
        <v>1230</v>
      </c>
      <c r="BL32" s="221">
        <v>58.9</v>
      </c>
      <c r="BM32" s="6" t="s">
        <v>243</v>
      </c>
      <c r="BN32" s="6"/>
      <c r="BS32" s="6" t="s">
        <v>243</v>
      </c>
      <c r="BT32" s="278"/>
      <c r="BW32" s="271" t="s">
        <v>1263</v>
      </c>
      <c r="BX32" s="221">
        <v>29.8</v>
      </c>
      <c r="BY32" s="6" t="s">
        <v>243</v>
      </c>
      <c r="BZ32" s="78"/>
      <c r="CC32" s="271" t="s">
        <v>1282</v>
      </c>
      <c r="CD32" s="221">
        <v>37</v>
      </c>
      <c r="CE32" s="6" t="s">
        <v>243</v>
      </c>
      <c r="CF32" s="78"/>
      <c r="CI32" s="291" t="s">
        <v>1307</v>
      </c>
      <c r="CJ32" s="221">
        <v>9</v>
      </c>
      <c r="CK32" s="6" t="s">
        <v>243</v>
      </c>
      <c r="CL32" s="78"/>
      <c r="CO32" s="221" t="s">
        <v>1332</v>
      </c>
      <c r="CQ32" s="6" t="s">
        <v>243</v>
      </c>
      <c r="CR32" s="78"/>
      <c r="CU32" s="291" t="s">
        <v>1382</v>
      </c>
      <c r="CV32" s="221">
        <v>50.26</v>
      </c>
      <c r="CW32" s="1" t="s">
        <v>93</v>
      </c>
      <c r="CX32" s="78"/>
      <c r="DA32" s="298"/>
      <c r="DC32" s="60" t="s">
        <v>999</v>
      </c>
      <c r="DD32" s="286"/>
      <c r="DE32" s="9" t="s">
        <v>1430</v>
      </c>
      <c r="DG32" s="269" t="s">
        <v>1202</v>
      </c>
      <c r="DH32" s="283">
        <v>13</v>
      </c>
      <c r="DI32" s="63" t="s">
        <v>1464</v>
      </c>
      <c r="DJ32" s="274">
        <v>5000</v>
      </c>
      <c r="DK32" s="6"/>
      <c r="DM32" s="299" t="s">
        <v>1495</v>
      </c>
      <c r="DN32" s="283">
        <v>5</v>
      </c>
      <c r="DO32" s="760" t="s">
        <v>1445</v>
      </c>
      <c r="DP32" s="760"/>
      <c r="DQ32" s="6"/>
      <c r="DS32" s="299" t="s">
        <v>1583</v>
      </c>
      <c r="DT32" s="283">
        <f>95+70</f>
        <v>165</v>
      </c>
      <c r="DU32" s="333" t="s">
        <v>1599</v>
      </c>
      <c r="DV32" s="334"/>
      <c r="DY32" s="63" t="s">
        <v>1622</v>
      </c>
      <c r="DZ32" s="63"/>
      <c r="EA32" s="63" t="s">
        <v>1621</v>
      </c>
      <c r="EB32" s="63">
        <v>991</v>
      </c>
      <c r="EE32" t="s">
        <v>1634</v>
      </c>
      <c r="EF32">
        <v>30</v>
      </c>
      <c r="EG32" s="1"/>
      <c r="EH32" t="s">
        <v>1548</v>
      </c>
      <c r="EL32" s="63" t="s">
        <v>1674</v>
      </c>
      <c r="EM32" s="63"/>
      <c r="EN32" t="s">
        <v>1681</v>
      </c>
      <c r="ER32" s="63" t="s">
        <v>1697</v>
      </c>
      <c r="ES32" s="222"/>
      <c r="ET32" s="257" t="s">
        <v>1670</v>
      </c>
      <c r="EU32" s="312">
        <v>326.35000000000002</v>
      </c>
      <c r="EX32" s="344" t="s">
        <v>1727</v>
      </c>
      <c r="EY32" s="345"/>
      <c r="EZ32" s="1" t="s">
        <v>1704</v>
      </c>
      <c r="FA32" s="276">
        <f>7000+1000</f>
        <v>8000</v>
      </c>
      <c r="FD32" s="344" t="s">
        <v>1783</v>
      </c>
      <c r="FE32" s="345"/>
      <c r="FF32" s="1" t="s">
        <v>1704</v>
      </c>
      <c r="FG32" s="276">
        <v>0</v>
      </c>
      <c r="FJ32" s="345" t="s">
        <v>1807</v>
      </c>
      <c r="FK32" s="345"/>
      <c r="FL32" s="1" t="s">
        <v>1574</v>
      </c>
      <c r="FM32" s="276">
        <v>1010</v>
      </c>
      <c r="FP32" s="341" t="s">
        <v>1844</v>
      </c>
      <c r="FQ32">
        <v>8</v>
      </c>
      <c r="FR32" s="1" t="s">
        <v>1703</v>
      </c>
      <c r="FS32" s="276">
        <v>0</v>
      </c>
      <c r="FT32" s="1" t="s">
        <v>1576</v>
      </c>
      <c r="FU32" s="3">
        <f>4975.39+4974.29+4974.23-15000</f>
        <v>-76.090000000000146</v>
      </c>
      <c r="FV32" s="357">
        <v>100</v>
      </c>
      <c r="FW32" s="358">
        <f>FS12+FV32-FY16</f>
        <v>126</v>
      </c>
      <c r="FX32" s="257"/>
      <c r="FY32" s="282"/>
      <c r="GB32" s="341" t="s">
        <v>1495</v>
      </c>
      <c r="GC32">
        <v>10</v>
      </c>
      <c r="GD32" s="257"/>
      <c r="GE32" s="282"/>
      <c r="GH32" s="396" t="s">
        <v>1754</v>
      </c>
      <c r="GI32" s="396"/>
      <c r="GJ32" s="258" t="s">
        <v>1639</v>
      </c>
      <c r="GK32" s="282"/>
      <c r="GN32" s="341" t="s">
        <v>2045</v>
      </c>
      <c r="GO32">
        <v>10</v>
      </c>
      <c r="GP32" s="364" t="s">
        <v>1986</v>
      </c>
      <c r="GQ32" s="6">
        <v>35.1</v>
      </c>
      <c r="GT32" s="341" t="s">
        <v>1933</v>
      </c>
      <c r="GU32">
        <f>37.5+18.7</f>
        <v>56.2</v>
      </c>
      <c r="GV32" s="257"/>
      <c r="GW32" s="282"/>
      <c r="GZ32" s="341" t="s">
        <v>2135</v>
      </c>
      <c r="HA32">
        <v>41.4</v>
      </c>
      <c r="HB32" s="257" t="s">
        <v>2117</v>
      </c>
      <c r="HC32" s="287">
        <v>13.5</v>
      </c>
      <c r="HF32" s="345" t="s">
        <v>2141</v>
      </c>
      <c r="HG32" s="358">
        <f>HC17+HF31-HI16</f>
        <v>200</v>
      </c>
      <c r="HH32" s="410" t="s">
        <v>2159</v>
      </c>
      <c r="HI32" s="412">
        <v>1580.64</v>
      </c>
      <c r="HK32" s="210"/>
      <c r="HL32" s="419">
        <v>5</v>
      </c>
      <c r="HM32" s="344" t="s">
        <v>2206</v>
      </c>
      <c r="HP32" s="349" t="s">
        <v>2174</v>
      </c>
      <c r="HQ32" s="421">
        <f>SUM(HS13:HS24)</f>
        <v>1323.1366666666668</v>
      </c>
      <c r="HR32" s="9" t="s">
        <v>2204</v>
      </c>
      <c r="HS32" s="9">
        <v>429</v>
      </c>
      <c r="HT32" s="1" t="s">
        <v>1646</v>
      </c>
      <c r="HU32" s="276">
        <v>4000</v>
      </c>
      <c r="HX32" s="145" t="s">
        <v>2307</v>
      </c>
      <c r="HY32" s="6">
        <v>10</v>
      </c>
      <c r="HZ32" s="1" t="s">
        <v>2020</v>
      </c>
      <c r="IA32" s="276">
        <v>3000</v>
      </c>
      <c r="IB32" s="217" t="s">
        <v>2645</v>
      </c>
      <c r="IC32" s="660">
        <f>SUM(IE52:IE56)</f>
        <v>235.25000000000003</v>
      </c>
      <c r="ID32" s="341" t="s">
        <v>2390</v>
      </c>
      <c r="IE32">
        <f>40.3+11+11.4+19.2</f>
        <v>81.899999999999991</v>
      </c>
      <c r="IF32" s="257" t="s">
        <v>2400</v>
      </c>
      <c r="IG32" s="282">
        <v>146</v>
      </c>
      <c r="IH32" s="411"/>
      <c r="II32" s="552"/>
      <c r="IJ32" s="341" t="s">
        <v>2471</v>
      </c>
      <c r="IK32">
        <f>10.1+8+57.3+1.6</f>
        <v>77</v>
      </c>
      <c r="IL32" t="s">
        <v>512</v>
      </c>
      <c r="IN32" s="718" t="s">
        <v>2178</v>
      </c>
      <c r="IO32" s="718"/>
      <c r="IP32" s="341" t="s">
        <v>2579</v>
      </c>
      <c r="IQ32" s="61">
        <v>6.5</v>
      </c>
      <c r="IR32" t="s">
        <v>512</v>
      </c>
      <c r="IV32" s="668" t="s">
        <v>2655</v>
      </c>
      <c r="IW32" s="575">
        <v>70</v>
      </c>
      <c r="IX32" s="623" t="s">
        <v>1041</v>
      </c>
      <c r="IZ32" s="703" t="s">
        <v>2721</v>
      </c>
      <c r="JA32" s="357">
        <v>200</v>
      </c>
      <c r="JB32" s="419">
        <v>30</v>
      </c>
      <c r="JC32" s="586" t="s">
        <v>2725</v>
      </c>
    </row>
    <row r="33" spans="1:263" x14ac:dyDescent="0.2">
      <c r="A33" s="776" t="s">
        <v>1008</v>
      </c>
      <c r="B33" s="776"/>
      <c r="C33" s="3"/>
      <c r="D33" s="3"/>
      <c r="E33" s="250"/>
      <c r="F33" s="250"/>
      <c r="G33" s="776" t="s">
        <v>1008</v>
      </c>
      <c r="H33" s="776"/>
      <c r="K33" s="247" t="s">
        <v>1028</v>
      </c>
      <c r="L33" s="247"/>
      <c r="M33" s="774" t="s">
        <v>1041</v>
      </c>
      <c r="N33" s="774"/>
      <c r="Q33" s="146" t="s">
        <v>1023</v>
      </c>
      <c r="R33" s="145">
        <v>77.239999999999995</v>
      </c>
      <c r="S33" s="774" t="s">
        <v>1041</v>
      </c>
      <c r="T33" s="774"/>
      <c r="Y33" s="772" t="s">
        <v>243</v>
      </c>
      <c r="Z33" s="772"/>
      <c r="AC33" s="200" t="s">
        <v>1019</v>
      </c>
      <c r="AD33" s="145">
        <v>350</v>
      </c>
      <c r="AE33" s="774" t="s">
        <v>1041</v>
      </c>
      <c r="AF33" s="774"/>
      <c r="AI33" s="200" t="s">
        <v>1019</v>
      </c>
      <c r="AJ33" s="145">
        <v>200</v>
      </c>
      <c r="AK33" s="257" t="s">
        <v>1041</v>
      </c>
      <c r="AL33" s="257" t="s">
        <v>1041</v>
      </c>
      <c r="AO33"/>
      <c r="AQ33" s="257" t="s">
        <v>1041</v>
      </c>
      <c r="AR33" s="257"/>
      <c r="AU33"/>
      <c r="AW33" s="257" t="s">
        <v>1041</v>
      </c>
      <c r="AX33" s="257"/>
      <c r="AY33"/>
      <c r="BA33" s="257" t="s">
        <v>1041</v>
      </c>
      <c r="BB33" s="257"/>
      <c r="BE33" s="255" t="s">
        <v>1207</v>
      </c>
      <c r="BF33" s="145">
        <v>14</v>
      </c>
      <c r="BG33" s="257" t="s">
        <v>1041</v>
      </c>
      <c r="BH33" s="257"/>
      <c r="BM33" s="257" t="s">
        <v>1041</v>
      </c>
      <c r="BN33" s="257"/>
      <c r="BQ33" s="221" t="s">
        <v>1238</v>
      </c>
      <c r="BR33" s="221" t="s">
        <v>1232</v>
      </c>
      <c r="BS33" s="257" t="s">
        <v>1041</v>
      </c>
      <c r="BT33" s="282"/>
      <c r="BW33" s="271"/>
      <c r="BY33" s="257" t="s">
        <v>1041</v>
      </c>
      <c r="BZ33" s="287"/>
      <c r="CC33" s="271" t="s">
        <v>1290</v>
      </c>
      <c r="CD33" s="221">
        <v>82.15</v>
      </c>
      <c r="CE33" s="257" t="s">
        <v>1041</v>
      </c>
      <c r="CF33" s="287"/>
      <c r="CI33" s="291" t="s">
        <v>1306</v>
      </c>
      <c r="CJ33" s="221">
        <v>28.6</v>
      </c>
      <c r="CK33" s="257" t="s">
        <v>1041</v>
      </c>
      <c r="CL33" s="287"/>
      <c r="CO33" s="221" t="s">
        <v>1349</v>
      </c>
      <c r="CP33" s="221">
        <v>60</v>
      </c>
      <c r="CQ33" s="257" t="s">
        <v>1041</v>
      </c>
      <c r="CR33" s="287"/>
      <c r="CU33" s="221" t="s">
        <v>1347</v>
      </c>
      <c r="CV33" s="221">
        <v>11</v>
      </c>
      <c r="CW33" t="s">
        <v>1156</v>
      </c>
      <c r="CX33" s="287"/>
      <c r="DA33" s="770" t="s">
        <v>1418</v>
      </c>
      <c r="DB33" s="771"/>
      <c r="DC33" s="1" t="s">
        <v>93</v>
      </c>
      <c r="DD33" s="78"/>
      <c r="DE33" s="6" t="s">
        <v>1482</v>
      </c>
      <c r="DF33" s="9">
        <v>307.61</v>
      </c>
      <c r="DG33" s="269" t="s">
        <v>1293</v>
      </c>
      <c r="DH33" s="283">
        <f>140.45+146.45</f>
        <v>286.89999999999998</v>
      </c>
      <c r="DI33" s="63" t="s">
        <v>1490</v>
      </c>
      <c r="DJ33" s="274">
        <v>10000</v>
      </c>
      <c r="DM33" s="299" t="s">
        <v>1515</v>
      </c>
      <c r="DN33" s="283">
        <v>20</v>
      </c>
      <c r="DO33" s="294" t="s">
        <v>1509</v>
      </c>
      <c r="DP33" s="294"/>
      <c r="DS33" s="299" t="s">
        <v>1594</v>
      </c>
      <c r="DT33" s="283">
        <v>8.5</v>
      </c>
      <c r="DU33" s="331" t="s">
        <v>1598</v>
      </c>
      <c r="DV33" s="332">
        <v>1583.97</v>
      </c>
      <c r="DY33" s="63"/>
      <c r="DZ33" s="63"/>
      <c r="EE33" s="6" t="s">
        <v>1625</v>
      </c>
      <c r="EF33" s="1">
        <v>77.37</v>
      </c>
      <c r="EH33" t="s">
        <v>93</v>
      </c>
      <c r="EL33" s="63" t="s">
        <v>1675</v>
      </c>
      <c r="EM33" s="63"/>
      <c r="EN33" t="s">
        <v>1548</v>
      </c>
      <c r="ER33" s="63" t="s">
        <v>1698</v>
      </c>
      <c r="ES33" s="222"/>
      <c r="ET33" s="257" t="s">
        <v>1714</v>
      </c>
      <c r="EU33" s="278">
        <v>1178</v>
      </c>
      <c r="EX33" s="344" t="s">
        <v>1741</v>
      </c>
      <c r="EY33" s="345"/>
      <c r="EZ33" s="1" t="s">
        <v>1703</v>
      </c>
      <c r="FA33" s="276" t="s">
        <v>692</v>
      </c>
      <c r="FD33" s="344" t="s">
        <v>1777</v>
      </c>
      <c r="FE33" s="345"/>
      <c r="FF33" s="1" t="s">
        <v>1703</v>
      </c>
      <c r="FG33" s="276">
        <v>0</v>
      </c>
      <c r="FJ33" s="344" t="s">
        <v>1804</v>
      </c>
      <c r="FK33" s="345"/>
      <c r="FL33" s="1" t="s">
        <v>1574</v>
      </c>
      <c r="FM33" s="276">
        <v>6010</v>
      </c>
      <c r="FP33" s="341" t="s">
        <v>1852</v>
      </c>
      <c r="FQ33">
        <f>6+4.39+49</f>
        <v>59.39</v>
      </c>
      <c r="FR33" s="258" t="s">
        <v>1639</v>
      </c>
      <c r="FS33" s="282"/>
      <c r="FV33" s="345" t="s">
        <v>1926</v>
      </c>
      <c r="FW33" s="345"/>
      <c r="FX33" s="257"/>
      <c r="FY33" s="282"/>
      <c r="GB33" s="396" t="s">
        <v>1754</v>
      </c>
      <c r="GC33" s="396"/>
      <c r="GD33" s="257"/>
      <c r="GE33" s="282"/>
      <c r="GH33" s="357">
        <v>100</v>
      </c>
      <c r="GI33" s="358">
        <f>GE16+GH33-GK17</f>
        <v>70</v>
      </c>
      <c r="GJ33" s="364" t="s">
        <v>1986</v>
      </c>
      <c r="GK33" s="6">
        <v>35.1</v>
      </c>
      <c r="GN33" s="341" t="s">
        <v>2035</v>
      </c>
      <c r="GO33">
        <v>20</v>
      </c>
      <c r="GP33" s="257" t="s">
        <v>2039</v>
      </c>
      <c r="GQ33" s="282">
        <v>81</v>
      </c>
      <c r="GT33" s="396" t="s">
        <v>1754</v>
      </c>
      <c r="GU33" s="63"/>
      <c r="GV33" t="s">
        <v>512</v>
      </c>
      <c r="GZ33" s="341" t="s">
        <v>2127</v>
      </c>
      <c r="HA33">
        <f>12.35+5.8</f>
        <v>18.149999999999999</v>
      </c>
      <c r="HB33" s="257" t="s">
        <v>2111</v>
      </c>
      <c r="HC33" s="287">
        <v>12.9</v>
      </c>
      <c r="HF33" s="403">
        <v>35</v>
      </c>
      <c r="HG33" s="407" t="s">
        <v>2132</v>
      </c>
      <c r="HH33" s="410" t="s">
        <v>2177</v>
      </c>
      <c r="HI33" s="412">
        <v>6.1</v>
      </c>
      <c r="HL33" s="419">
        <v>17</v>
      </c>
      <c r="HM33" s="344" t="s">
        <v>2199</v>
      </c>
      <c r="HP33" s="349" t="s">
        <v>2267</v>
      </c>
      <c r="HQ33" s="421"/>
      <c r="HR33" s="422">
        <v>28.54</v>
      </c>
      <c r="HS33" s="9" t="s">
        <v>2203</v>
      </c>
      <c r="HT33" s="258"/>
      <c r="HU33" s="282"/>
      <c r="HX33" s="9" t="s">
        <v>2204</v>
      </c>
      <c r="HY33" s="9">
        <v>434</v>
      </c>
      <c r="HZ33" s="1" t="s">
        <v>2179</v>
      </c>
      <c r="IA33" s="276">
        <v>4000</v>
      </c>
      <c r="ID33" s="341" t="s">
        <v>2364</v>
      </c>
      <c r="IE33">
        <v>30.01</v>
      </c>
      <c r="IH33" s="411"/>
      <c r="II33" s="552"/>
      <c r="IJ33" s="341" t="s">
        <v>2432</v>
      </c>
      <c r="IK33">
        <v>27.9</v>
      </c>
      <c r="IL33" t="s">
        <v>93</v>
      </c>
      <c r="IN33" s="355" t="s">
        <v>1966</v>
      </c>
      <c r="IO33" s="290">
        <f>SUM(IQ6:IQ9)</f>
        <v>3943.01</v>
      </c>
      <c r="IP33" t="s">
        <v>2504</v>
      </c>
      <c r="IQ33" s="78">
        <v>40</v>
      </c>
      <c r="IR33" t="s">
        <v>93</v>
      </c>
      <c r="IV33" s="546" t="s">
        <v>2627</v>
      </c>
      <c r="IW33" s="623">
        <v>8.67</v>
      </c>
      <c r="JB33" s="419">
        <v>30</v>
      </c>
      <c r="JC33" s="586" t="s">
        <v>2707</v>
      </c>
    </row>
    <row r="34" spans="1:263" x14ac:dyDescent="0.2">
      <c r="A34" s="772" t="s">
        <v>243</v>
      </c>
      <c r="B34" s="772"/>
      <c r="E34" s="173"/>
      <c r="F34" s="173"/>
      <c r="G34" s="772" t="s">
        <v>243</v>
      </c>
      <c r="H34" s="772"/>
      <c r="K34" s="247" t="s">
        <v>1031</v>
      </c>
      <c r="L34" s="247">
        <v>652</v>
      </c>
      <c r="Q34" s="146" t="s">
        <v>1022</v>
      </c>
      <c r="R34" s="145">
        <v>32</v>
      </c>
      <c r="W34" s="249" t="s">
        <v>1066</v>
      </c>
      <c r="X34" s="249">
        <v>283</v>
      </c>
      <c r="Y34" s="774" t="s">
        <v>1041</v>
      </c>
      <c r="Z34" s="774"/>
      <c r="AC34" s="201" t="s">
        <v>1035</v>
      </c>
      <c r="AD34" s="145">
        <v>100</v>
      </c>
      <c r="AI34" s="201" t="s">
        <v>1035</v>
      </c>
      <c r="AJ34" s="145">
        <v>200</v>
      </c>
      <c r="AO34" s="255" t="s">
        <v>1111</v>
      </c>
      <c r="AP34" s="145">
        <f>242+12+489</f>
        <v>743</v>
      </c>
      <c r="AU34" s="255" t="s">
        <v>1074</v>
      </c>
      <c r="AV34" s="145">
        <v>24</v>
      </c>
      <c r="AY34" s="255"/>
      <c r="BE34" s="255" t="s">
        <v>1214</v>
      </c>
      <c r="BF34" s="145">
        <v>18</v>
      </c>
      <c r="BK34" s="221" t="s">
        <v>1234</v>
      </c>
      <c r="BL34" s="221" t="s">
        <v>1232</v>
      </c>
      <c r="BQ34" s="221" t="s">
        <v>1237</v>
      </c>
      <c r="BR34" s="221" t="s">
        <v>1232</v>
      </c>
      <c r="BW34" s="221" t="s">
        <v>1257</v>
      </c>
      <c r="BX34" s="221" t="s">
        <v>1256</v>
      </c>
      <c r="CC34" s="271" t="s">
        <v>1297</v>
      </c>
      <c r="CD34" s="221">
        <v>171.4</v>
      </c>
      <c r="CI34" s="291" t="s">
        <v>1303</v>
      </c>
      <c r="CJ34" s="221">
        <v>44</v>
      </c>
      <c r="CO34" s="221" t="s">
        <v>1333</v>
      </c>
      <c r="CP34" s="221">
        <v>24</v>
      </c>
      <c r="CU34" s="221" t="s">
        <v>1365</v>
      </c>
      <c r="CV34" s="221">
        <v>318</v>
      </c>
      <c r="CW34" s="258" t="s">
        <v>1008</v>
      </c>
      <c r="DA34" s="220" t="s">
        <v>1417</v>
      </c>
      <c r="DB34" s="220">
        <v>300</v>
      </c>
      <c r="DC34" t="s">
        <v>1156</v>
      </c>
      <c r="DD34" s="287"/>
      <c r="DE34" s="6" t="s">
        <v>1471</v>
      </c>
      <c r="DF34" s="9">
        <f>569.34-527</f>
        <v>42.340000000000032</v>
      </c>
      <c r="DG34" s="269" t="s">
        <v>1341</v>
      </c>
      <c r="DH34" s="283">
        <f>2*(11+53.24)</f>
        <v>128.48000000000002</v>
      </c>
      <c r="DI34" s="63"/>
      <c r="DJ34" s="274"/>
      <c r="DM34" s="299" t="s">
        <v>1526</v>
      </c>
      <c r="DN34" s="283">
        <v>10</v>
      </c>
      <c r="DP34" s="84"/>
      <c r="DS34" s="299" t="s">
        <v>1532</v>
      </c>
      <c r="DT34" s="306">
        <v>11.41</v>
      </c>
      <c r="DU34" s="294" t="s">
        <v>1595</v>
      </c>
      <c r="DV34" s="294">
        <v>214</v>
      </c>
      <c r="DY34" t="s">
        <v>1327</v>
      </c>
      <c r="DZ34">
        <f>55.46-17.24</f>
        <v>38.22</v>
      </c>
      <c r="EA34" s="60" t="s">
        <v>512</v>
      </c>
      <c r="EE34" t="s">
        <v>1626</v>
      </c>
      <c r="EF34">
        <v>10.77</v>
      </c>
      <c r="EH34" t="s">
        <v>1156</v>
      </c>
      <c r="EL34" s="63" t="s">
        <v>1676</v>
      </c>
      <c r="EM34" s="63"/>
      <c r="EN34" t="s">
        <v>93</v>
      </c>
      <c r="ER34" s="63" t="s">
        <v>1713</v>
      </c>
      <c r="ES34" s="222"/>
      <c r="EX34" s="344" t="s">
        <v>1740</v>
      </c>
      <c r="EY34" s="345"/>
      <c r="EZ34" s="258" t="s">
        <v>1639</v>
      </c>
      <c r="FA34" s="282" t="s">
        <v>692</v>
      </c>
      <c r="FD34" s="344" t="s">
        <v>1677</v>
      </c>
      <c r="FE34" s="63"/>
      <c r="FF34" s="258" t="s">
        <v>1639</v>
      </c>
      <c r="FG34" s="282" t="s">
        <v>692</v>
      </c>
      <c r="FJ34" s="344" t="s">
        <v>1819</v>
      </c>
      <c r="FK34" s="345"/>
      <c r="FL34" s="1" t="s">
        <v>1574</v>
      </c>
      <c r="FM34" s="276">
        <v>10010</v>
      </c>
      <c r="FP34" s="341" t="s">
        <v>1863</v>
      </c>
      <c r="FQ34">
        <v>26.78</v>
      </c>
      <c r="FR34" s="257" t="s">
        <v>1858</v>
      </c>
      <c r="FS34" s="282">
        <v>53.5</v>
      </c>
      <c r="FV34" s="344" t="s">
        <v>1835</v>
      </c>
      <c r="FW34" s="345"/>
      <c r="FX34" s="257"/>
      <c r="FY34" s="282"/>
      <c r="GB34" s="357">
        <v>200</v>
      </c>
      <c r="GC34" s="358">
        <f>FY16+GB34-GE16</f>
        <v>190</v>
      </c>
      <c r="GD34" s="257"/>
      <c r="GE34" s="282"/>
      <c r="GH34" s="345" t="s">
        <v>2006</v>
      </c>
      <c r="GI34" s="345"/>
      <c r="GJ34" s="257" t="s">
        <v>1858</v>
      </c>
      <c r="GK34" s="282">
        <v>20</v>
      </c>
      <c r="GN34" s="341" t="s">
        <v>2025</v>
      </c>
      <c r="GO34">
        <v>23.9</v>
      </c>
      <c r="GP34" s="257" t="s">
        <v>2061</v>
      </c>
      <c r="GQ34" s="282">
        <v>298</v>
      </c>
      <c r="GT34" s="357">
        <v>280</v>
      </c>
      <c r="GU34" s="396"/>
      <c r="GV34" t="s">
        <v>1681</v>
      </c>
      <c r="GZ34" s="341" t="s">
        <v>2102</v>
      </c>
      <c r="HA34">
        <v>31.78</v>
      </c>
      <c r="HB34" s="257" t="s">
        <v>2111</v>
      </c>
      <c r="HC34" s="287">
        <v>22.5</v>
      </c>
      <c r="HF34" s="403">
        <v>40</v>
      </c>
      <c r="HG34" s="344" t="s">
        <v>2130</v>
      </c>
      <c r="HL34" s="419">
        <v>6</v>
      </c>
      <c r="HM34" s="344" t="s">
        <v>2187</v>
      </c>
      <c r="HP34" s="341" t="s">
        <v>2172</v>
      </c>
      <c r="HQ34">
        <f>SUM(HS25:HS30)</f>
        <v>160.6</v>
      </c>
      <c r="HR34" s="396" t="s">
        <v>2221</v>
      </c>
      <c r="HS34" s="418">
        <f>HO18+HQ37-HU24</f>
        <v>100</v>
      </c>
      <c r="HT34" s="408"/>
      <c r="HU34" s="282"/>
      <c r="HX34" s="422">
        <v>34.909999999999997</v>
      </c>
      <c r="HY34" s="9"/>
      <c r="HZ34" s="1" t="s">
        <v>2022</v>
      </c>
      <c r="IA34" s="276">
        <v>25000</v>
      </c>
      <c r="ID34" s="341" t="s">
        <v>2374</v>
      </c>
      <c r="IE34">
        <v>40.840000000000003</v>
      </c>
      <c r="IF34" t="s">
        <v>512</v>
      </c>
      <c r="IH34" s="411"/>
      <c r="II34" s="552"/>
      <c r="IJ34" s="341" t="s">
        <v>2464</v>
      </c>
      <c r="IK34">
        <v>84.86</v>
      </c>
      <c r="IL34" t="s">
        <v>2407</v>
      </c>
      <c r="IN34" s="249" t="s">
        <v>1967</v>
      </c>
      <c r="IO34" s="290">
        <f>SUM(IQ12:IQ12)</f>
        <v>1833.7466666666667</v>
      </c>
      <c r="IP34" s="9" t="s">
        <v>2204</v>
      </c>
      <c r="IQ34" s="577">
        <f>102+308+94+155</f>
        <v>659</v>
      </c>
      <c r="IR34" t="s">
        <v>2407</v>
      </c>
      <c r="IU34" s="536"/>
      <c r="IV34" s="546" t="s">
        <v>2627</v>
      </c>
      <c r="IW34" s="576">
        <v>23.08</v>
      </c>
      <c r="JB34" s="419"/>
      <c r="JC34" s="586"/>
    </row>
    <row r="35" spans="1:263" ht="14.25" customHeight="1" x14ac:dyDescent="0.25">
      <c r="A35" s="778" t="s">
        <v>348</v>
      </c>
      <c r="B35" s="778"/>
      <c r="E35" s="190" t="s">
        <v>374</v>
      </c>
      <c r="F35" s="173"/>
      <c r="G35" s="778" t="s">
        <v>348</v>
      </c>
      <c r="H35" s="778"/>
      <c r="K35" s="247" t="s">
        <v>1030</v>
      </c>
      <c r="L35" s="247">
        <v>76</v>
      </c>
      <c r="M35" s="199"/>
      <c r="N35"/>
      <c r="Q35" s="146" t="s">
        <v>1021</v>
      </c>
      <c r="R35" s="145">
        <v>100.01</v>
      </c>
      <c r="S35" s="199"/>
      <c r="T35"/>
      <c r="W35" s="249" t="s">
        <v>1076</v>
      </c>
      <c r="X35" s="249">
        <v>65</v>
      </c>
      <c r="AE35" s="199"/>
      <c r="AF35"/>
      <c r="AK35" s="199"/>
      <c r="AL35"/>
      <c r="AO35" s="256" t="s">
        <v>1112</v>
      </c>
      <c r="AP35" s="145">
        <v>50.28</v>
      </c>
      <c r="AQ35" s="199"/>
      <c r="AR35"/>
      <c r="AW35" s="199"/>
      <c r="AX35"/>
      <c r="BA35" s="199"/>
      <c r="BB35"/>
      <c r="BE35" s="255" t="s">
        <v>1206</v>
      </c>
      <c r="BF35" s="145">
        <f>5+5</f>
        <v>10</v>
      </c>
      <c r="BG35" s="145" t="s">
        <v>484</v>
      </c>
      <c r="BH35"/>
      <c r="BM35" s="145"/>
      <c r="BN35"/>
      <c r="BQ35" s="221" t="s">
        <v>1241</v>
      </c>
      <c r="BR35" s="221">
        <f>950+20+20+12</f>
        <v>1002</v>
      </c>
      <c r="BS35" s="145"/>
      <c r="BW35" s="221" t="s">
        <v>1261</v>
      </c>
      <c r="BX35" s="221" t="s">
        <v>1256</v>
      </c>
      <c r="BY35" s="145"/>
      <c r="CC35" s="221" t="s">
        <v>1289</v>
      </c>
      <c r="CD35" s="221">
        <v>72.5</v>
      </c>
      <c r="CE35" s="145" t="s">
        <v>484</v>
      </c>
      <c r="CK35" s="145" t="s">
        <v>484</v>
      </c>
      <c r="CO35" s="221" t="s">
        <v>1339</v>
      </c>
      <c r="CP35" s="265">
        <f>28.9+35</f>
        <v>63.9</v>
      </c>
      <c r="CQ35" s="145" t="s">
        <v>484</v>
      </c>
      <c r="CV35" s="265"/>
      <c r="CW35" s="6" t="s">
        <v>243</v>
      </c>
      <c r="DA35" s="220" t="s">
        <v>1407</v>
      </c>
      <c r="DB35" s="220"/>
      <c r="DC35" s="258" t="s">
        <v>1008</v>
      </c>
      <c r="DE35" s="6" t="s">
        <v>1470</v>
      </c>
      <c r="DF35" s="9">
        <f>17663-17242</f>
        <v>421</v>
      </c>
      <c r="DG35" s="269" t="s">
        <v>1310</v>
      </c>
      <c r="DH35" s="283">
        <f>64+32</f>
        <v>96</v>
      </c>
      <c r="DI35" s="63" t="s">
        <v>1477</v>
      </c>
      <c r="DJ35" s="274">
        <v>5000</v>
      </c>
      <c r="DM35" s="299" t="s">
        <v>1528</v>
      </c>
      <c r="DN35" s="283">
        <v>42.37</v>
      </c>
      <c r="DO35" s="60" t="s">
        <v>512</v>
      </c>
      <c r="DS35" s="299" t="s">
        <v>1569</v>
      </c>
      <c r="DT35" s="283">
        <f>6.9+70.45</f>
        <v>77.350000000000009</v>
      </c>
      <c r="DV35" s="84"/>
      <c r="DY35" t="s">
        <v>1612</v>
      </c>
      <c r="DZ35">
        <v>60.2</v>
      </c>
      <c r="EA35" s="60" t="s">
        <v>1548</v>
      </c>
      <c r="EE35" t="s">
        <v>1625</v>
      </c>
      <c r="EF35">
        <v>113.2</v>
      </c>
      <c r="EH35" t="s">
        <v>1041</v>
      </c>
      <c r="EL35" s="63" t="s">
        <v>1677</v>
      </c>
      <c r="EM35" s="63"/>
      <c r="EN35" t="s">
        <v>1156</v>
      </c>
      <c r="ER35" s="63" t="s">
        <v>1728</v>
      </c>
      <c r="ES35" s="222"/>
      <c r="ET35" t="s">
        <v>512</v>
      </c>
      <c r="EX35" s="63"/>
      <c r="EY35" s="63"/>
      <c r="EZ35" s="257"/>
      <c r="FA35" s="278"/>
      <c r="FD35" s="1" t="s">
        <v>1767</v>
      </c>
      <c r="FE35" s="1"/>
      <c r="FF35" s="257" t="s">
        <v>1766</v>
      </c>
      <c r="FG35" s="78">
        <v>30</v>
      </c>
      <c r="FJ35" s="344" t="s">
        <v>1820</v>
      </c>
      <c r="FK35" s="63"/>
      <c r="FL35" s="1" t="s">
        <v>1504</v>
      </c>
      <c r="FM35" s="276" t="s">
        <v>1086</v>
      </c>
      <c r="FP35" s="341" t="s">
        <v>1853</v>
      </c>
      <c r="FQ35">
        <v>7</v>
      </c>
      <c r="FR35" s="257" t="s">
        <v>1906</v>
      </c>
      <c r="FS35" s="282">
        <v>-738</v>
      </c>
      <c r="FV35" s="344" t="s">
        <v>1951</v>
      </c>
      <c r="FW35" s="345"/>
      <c r="FX35" t="s">
        <v>512</v>
      </c>
      <c r="GB35" s="345" t="s">
        <v>1960</v>
      </c>
      <c r="GC35" s="345"/>
      <c r="GH35" s="344" t="s">
        <v>1998</v>
      </c>
      <c r="GI35" s="345"/>
      <c r="GJ35" s="257" t="s">
        <v>2012</v>
      </c>
      <c r="GK35" s="282">
        <v>20</v>
      </c>
      <c r="GN35" s="341" t="s">
        <v>2027</v>
      </c>
      <c r="GO35">
        <v>95</v>
      </c>
      <c r="GT35" s="345" t="s">
        <v>2082</v>
      </c>
      <c r="GU35" s="358">
        <f>GQ17+GT34-GW16</f>
        <v>262</v>
      </c>
      <c r="GV35" t="s">
        <v>93</v>
      </c>
      <c r="GZ35" s="341" t="s">
        <v>2104</v>
      </c>
      <c r="HA35">
        <v>64.86</v>
      </c>
      <c r="HB35" s="257" t="s">
        <v>2124</v>
      </c>
      <c r="HC35" s="287">
        <v>233.71</v>
      </c>
      <c r="HF35" s="403">
        <v>40</v>
      </c>
      <c r="HG35" s="344" t="s">
        <v>2155</v>
      </c>
      <c r="HH35" t="s">
        <v>512</v>
      </c>
      <c r="HL35" s="408" t="s">
        <v>2164</v>
      </c>
      <c r="HM35" s="348">
        <v>24.7</v>
      </c>
      <c r="HR35" s="419">
        <v>4</v>
      </c>
      <c r="HS35" s="344" t="s">
        <v>2269</v>
      </c>
      <c r="HT35" s="408"/>
      <c r="HU35" s="282"/>
      <c r="HV35" s="344" t="s">
        <v>2302</v>
      </c>
      <c r="HW35" s="357">
        <v>220</v>
      </c>
      <c r="HX35" s="396" t="s">
        <v>1418</v>
      </c>
      <c r="HY35" s="418">
        <f>HU24+HW35-IA28</f>
        <v>320</v>
      </c>
      <c r="HZ35" s="1" t="s">
        <v>1645</v>
      </c>
      <c r="IA35" s="276">
        <v>2000</v>
      </c>
      <c r="ID35" s="341" t="s">
        <v>2384</v>
      </c>
      <c r="IE35">
        <v>47.96</v>
      </c>
      <c r="IF35" t="s">
        <v>93</v>
      </c>
      <c r="IH35" s="411"/>
      <c r="II35" s="552"/>
      <c r="IJ35" s="341" t="s">
        <v>2466</v>
      </c>
      <c r="IK35">
        <v>56.9</v>
      </c>
      <c r="IL35" t="s">
        <v>1681</v>
      </c>
      <c r="IN35" s="366" t="s">
        <v>1399</v>
      </c>
      <c r="IO35">
        <v>0</v>
      </c>
      <c r="IP35" s="422">
        <v>44.08</v>
      </c>
      <c r="IQ35" s="577"/>
      <c r="IR35" t="s">
        <v>1681</v>
      </c>
      <c r="IU35" s="536"/>
      <c r="IV35" s="546" t="s">
        <v>2640</v>
      </c>
      <c r="IW35" s="576">
        <v>6.37</v>
      </c>
      <c r="JA35" s="536"/>
      <c r="JB35" s="668" t="s">
        <v>2708</v>
      </c>
      <c r="JC35" s="575">
        <v>18</v>
      </c>
    </row>
    <row r="36" spans="1:263" ht="14.25" customHeight="1" x14ac:dyDescent="0.25">
      <c r="E36" s="175" t="s">
        <v>409</v>
      </c>
      <c r="F36" s="173">
        <v>250</v>
      </c>
      <c r="Q36"/>
      <c r="W36" s="249" t="s">
        <v>1075</v>
      </c>
      <c r="X36" s="249">
        <v>20.001000000000001</v>
      </c>
      <c r="Y36" s="199"/>
      <c r="Z36"/>
      <c r="AO36" s="255" t="s">
        <v>1125</v>
      </c>
      <c r="AP36" s="145">
        <v>26.26</v>
      </c>
      <c r="AU36" s="145" t="s">
        <v>1176</v>
      </c>
      <c r="AV36" s="145">
        <v>80</v>
      </c>
      <c r="BE36" s="255" t="s">
        <v>1212</v>
      </c>
      <c r="BF36" s="145">
        <v>95</v>
      </c>
      <c r="BK36" s="221" t="s">
        <v>1180</v>
      </c>
      <c r="BL36" s="221">
        <v>200</v>
      </c>
      <c r="BW36" s="221" t="s">
        <v>1266</v>
      </c>
      <c r="BX36" s="221">
        <v>65</v>
      </c>
      <c r="CC36" s="221" t="s">
        <v>1287</v>
      </c>
      <c r="CD36" s="221">
        <v>83.85</v>
      </c>
      <c r="CI36" s="221" t="s">
        <v>1302</v>
      </c>
      <c r="CJ36" s="265">
        <v>46.65</v>
      </c>
      <c r="CK36" s="292"/>
      <c r="CO36" s="221" t="s">
        <v>1337</v>
      </c>
      <c r="CP36" s="221">
        <f>11.3+50.4</f>
        <v>61.7</v>
      </c>
      <c r="CQ36" s="292"/>
      <c r="CU36" s="221" t="s">
        <v>1355</v>
      </c>
      <c r="CV36" s="290">
        <v>412.25</v>
      </c>
      <c r="CW36" s="257" t="s">
        <v>1041</v>
      </c>
      <c r="DA36" s="220" t="s">
        <v>1410</v>
      </c>
      <c r="DB36" s="220"/>
      <c r="DC36" s="6" t="s">
        <v>243</v>
      </c>
      <c r="DE36" s="6" t="s">
        <v>1472</v>
      </c>
      <c r="DF36" s="9">
        <f>46147-45991</f>
        <v>156</v>
      </c>
      <c r="DG36" s="269" t="s">
        <v>1435</v>
      </c>
      <c r="DH36" s="283">
        <f>16.98+17.17+13.1+13.72+14.74+13.83</f>
        <v>89.54</v>
      </c>
      <c r="DI36" s="63" t="s">
        <v>1463</v>
      </c>
      <c r="DJ36" s="274">
        <v>5000</v>
      </c>
      <c r="DM36" s="299"/>
      <c r="DN36" s="283"/>
      <c r="DO36" s="60" t="s">
        <v>1548</v>
      </c>
      <c r="DP36" s="286"/>
      <c r="DS36" s="299" t="s">
        <v>1540</v>
      </c>
      <c r="DT36" s="283">
        <v>68.97</v>
      </c>
      <c r="DU36" s="60" t="s">
        <v>512</v>
      </c>
      <c r="DY36" s="292" t="s">
        <v>1784</v>
      </c>
      <c r="DZ36">
        <f>1379-100</f>
        <v>1279</v>
      </c>
      <c r="EA36" t="s">
        <v>93</v>
      </c>
      <c r="EG36" s="1"/>
      <c r="EL36" s="63" t="s">
        <v>1678</v>
      </c>
      <c r="EM36" s="63"/>
      <c r="EN36" t="s">
        <v>1041</v>
      </c>
      <c r="ER36" s="63"/>
      <c r="ES36" s="222"/>
      <c r="ET36" t="s">
        <v>1681</v>
      </c>
      <c r="EX36" s="1" t="s">
        <v>1725</v>
      </c>
      <c r="EY36" s="1">
        <v>202.2</v>
      </c>
      <c r="FD36" s="1" t="s">
        <v>1762</v>
      </c>
      <c r="FE36" s="1">
        <v>10.000999999999999</v>
      </c>
      <c r="FF36" s="257" t="s">
        <v>1778</v>
      </c>
      <c r="FG36" s="78">
        <v>67.400000000000006</v>
      </c>
      <c r="FJ36" s="6" t="s">
        <v>1787</v>
      </c>
      <c r="FK36">
        <v>720</v>
      </c>
      <c r="FL36" s="1" t="s">
        <v>1704</v>
      </c>
      <c r="FM36" s="276">
        <v>10005</v>
      </c>
      <c r="FP36" s="341" t="s">
        <v>1869</v>
      </c>
      <c r="FQ36">
        <v>49.23</v>
      </c>
      <c r="FR36" s="257"/>
      <c r="FS36" s="282"/>
      <c r="FV36" s="344" t="s">
        <v>1944</v>
      </c>
      <c r="FW36" s="345"/>
      <c r="FX36" t="s">
        <v>1681</v>
      </c>
      <c r="GB36" s="344" t="s">
        <v>1835</v>
      </c>
      <c r="GC36" s="345"/>
      <c r="GH36" s="344" t="s">
        <v>2023</v>
      </c>
      <c r="GI36" s="345"/>
      <c r="GJ36" s="257" t="s">
        <v>2012</v>
      </c>
      <c r="GK36" s="6">
        <v>63.6</v>
      </c>
      <c r="GN36" s="341" t="s">
        <v>2029</v>
      </c>
      <c r="GO36">
        <v>63.06</v>
      </c>
      <c r="GP36" t="s">
        <v>2313</v>
      </c>
      <c r="GT36" s="402">
        <v>71.8</v>
      </c>
      <c r="GU36" s="344" t="s">
        <v>2099</v>
      </c>
      <c r="GV36" t="s">
        <v>1156</v>
      </c>
      <c r="GZ36" s="341" t="s">
        <v>2112</v>
      </c>
      <c r="HA36">
        <v>32.6</v>
      </c>
      <c r="HB36" s="257" t="s">
        <v>2110</v>
      </c>
      <c r="HC36" s="287">
        <v>71</v>
      </c>
      <c r="HF36" s="403">
        <v>50</v>
      </c>
      <c r="HG36" s="344" t="s">
        <v>1835</v>
      </c>
      <c r="HH36" t="s">
        <v>1681</v>
      </c>
      <c r="HL36" s="408" t="s">
        <v>2196</v>
      </c>
      <c r="HM36" s="420">
        <v>20760</v>
      </c>
      <c r="HQ36" s="210"/>
      <c r="HR36" s="419">
        <v>40</v>
      </c>
      <c r="HS36" s="344" t="s">
        <v>2130</v>
      </c>
      <c r="HT36" s="410"/>
      <c r="HU36" s="282"/>
      <c r="HX36" s="419">
        <v>140</v>
      </c>
      <c r="HY36" s="344" t="s">
        <v>2329</v>
      </c>
      <c r="HZ36" s="1" t="s">
        <v>1646</v>
      </c>
      <c r="IA36" s="276">
        <v>4000</v>
      </c>
      <c r="IC36" s="536"/>
      <c r="ID36" t="s">
        <v>2205</v>
      </c>
      <c r="IE36" s="6">
        <v>52</v>
      </c>
      <c r="IH36" s="411"/>
      <c r="II36" s="552"/>
      <c r="IJ36" s="341" t="s">
        <v>2465</v>
      </c>
      <c r="IK36">
        <v>47.08</v>
      </c>
      <c r="IL36" t="s">
        <v>1041</v>
      </c>
      <c r="IN36" s="350" t="s">
        <v>2173</v>
      </c>
      <c r="IO36">
        <f>SUM(IQ10:IQ11)</f>
        <v>1105.4099999999999</v>
      </c>
      <c r="IP36" s="396" t="s">
        <v>1418</v>
      </c>
      <c r="IQ36" s="64">
        <f>IM23+IO40-IS19</f>
        <v>680</v>
      </c>
      <c r="IR36" t="s">
        <v>1041</v>
      </c>
      <c r="IU36" s="537"/>
      <c r="IV36" s="546" t="s">
        <v>2654</v>
      </c>
      <c r="IW36" s="576">
        <v>104.35</v>
      </c>
      <c r="JA36" s="536"/>
      <c r="JB36" s="546"/>
    </row>
    <row r="37" spans="1:263" ht="12.75" customHeight="1" x14ac:dyDescent="0.25">
      <c r="A37" s="199"/>
      <c r="B37"/>
      <c r="G37" s="199"/>
      <c r="H37"/>
      <c r="K37" s="247" t="s">
        <v>1027</v>
      </c>
      <c r="L37" s="247">
        <f>1070+321</f>
        <v>1391</v>
      </c>
      <c r="Q37" s="247" t="s">
        <v>1028</v>
      </c>
      <c r="R37" s="247">
        <v>0</v>
      </c>
      <c r="W37" s="249" t="s">
        <v>1071</v>
      </c>
      <c r="X37" s="249">
        <f>10+5</f>
        <v>15</v>
      </c>
      <c r="AO37" s="255" t="s">
        <v>1071</v>
      </c>
      <c r="AP37" s="145">
        <v>10</v>
      </c>
      <c r="AU37" s="145" t="s">
        <v>1160</v>
      </c>
      <c r="AV37" s="145">
        <v>150</v>
      </c>
      <c r="BE37" s="145" t="s">
        <v>1194</v>
      </c>
      <c r="BF37" s="145">
        <f>108.3+39.8</f>
        <v>148.1</v>
      </c>
      <c r="BK37" s="221" t="s">
        <v>1174</v>
      </c>
      <c r="BL37" s="221">
        <v>400</v>
      </c>
      <c r="BQ37" s="221" t="s">
        <v>1254</v>
      </c>
      <c r="BR37" s="221">
        <v>300</v>
      </c>
      <c r="BW37" s="221" t="s">
        <v>1271</v>
      </c>
      <c r="BX37" s="221">
        <v>32.299999999999997</v>
      </c>
      <c r="CC37" s="221" t="s">
        <v>1278</v>
      </c>
      <c r="CD37" s="221">
        <v>535</v>
      </c>
      <c r="CI37" s="221" t="s">
        <v>1316</v>
      </c>
      <c r="CJ37" s="221">
        <v>39</v>
      </c>
      <c r="CO37" s="221" t="s">
        <v>1329</v>
      </c>
      <c r="CP37" s="221">
        <v>28.85</v>
      </c>
      <c r="CU37" s="221" t="s">
        <v>1356</v>
      </c>
      <c r="CV37" s="221">
        <v>33</v>
      </c>
      <c r="DA37" s="220"/>
      <c r="DB37" s="220"/>
      <c r="DC37" s="257" t="s">
        <v>1041</v>
      </c>
      <c r="DE37" s="6" t="s">
        <v>1483</v>
      </c>
      <c r="DF37" s="9">
        <v>348.15</v>
      </c>
      <c r="DG37" s="299" t="s">
        <v>1411</v>
      </c>
      <c r="DH37" s="283">
        <v>72.33</v>
      </c>
      <c r="DI37" s="63" t="s">
        <v>1492</v>
      </c>
      <c r="DJ37" s="231">
        <v>10000</v>
      </c>
      <c r="DM37" s="305" t="s">
        <v>1416</v>
      </c>
      <c r="DN37" s="307">
        <f>DJ17+DM39-DP14</f>
        <v>169.99999999999997</v>
      </c>
      <c r="DO37" s="60" t="s">
        <v>999</v>
      </c>
      <c r="DP37" s="78"/>
      <c r="DS37" s="765" t="s">
        <v>1543</v>
      </c>
      <c r="DT37" s="766"/>
      <c r="DU37" s="60" t="s">
        <v>1548</v>
      </c>
      <c r="DV37" s="286"/>
      <c r="DY37" t="s">
        <v>1785</v>
      </c>
      <c r="DZ37">
        <v>100</v>
      </c>
      <c r="EA37" t="s">
        <v>1156</v>
      </c>
      <c r="EE37" t="s">
        <v>1578</v>
      </c>
      <c r="EF37">
        <v>700</v>
      </c>
      <c r="EL37" s="63" t="s">
        <v>1679</v>
      </c>
      <c r="EM37" s="63"/>
      <c r="ER37" s="1" t="s">
        <v>1719</v>
      </c>
      <c r="ES37" s="324">
        <v>110</v>
      </c>
      <c r="ET37" t="s">
        <v>1548</v>
      </c>
      <c r="EX37" s="1" t="s">
        <v>1726</v>
      </c>
      <c r="EY37" s="1">
        <v>22.4</v>
      </c>
      <c r="EZ37" t="s">
        <v>512</v>
      </c>
      <c r="FD37" s="6" t="s">
        <v>1770</v>
      </c>
      <c r="FE37" s="1">
        <v>19.36</v>
      </c>
      <c r="FF37" s="257" t="s">
        <v>1779</v>
      </c>
      <c r="FG37" s="78">
        <v>87</v>
      </c>
      <c r="FJ37" s="1" t="s">
        <v>1798</v>
      </c>
      <c r="FK37" s="1">
        <f>58.1+1.5</f>
        <v>59.6</v>
      </c>
      <c r="FL37" s="1" t="s">
        <v>1703</v>
      </c>
      <c r="FM37" s="276">
        <v>0</v>
      </c>
      <c r="FP37" s="341" t="s">
        <v>1862</v>
      </c>
      <c r="FQ37">
        <v>80</v>
      </c>
      <c r="FR37" t="s">
        <v>512</v>
      </c>
      <c r="FV37" s="6" t="s">
        <v>1897</v>
      </c>
      <c r="FW37">
        <v>9.9</v>
      </c>
      <c r="FX37" t="s">
        <v>93</v>
      </c>
      <c r="GB37" s="344" t="s">
        <v>1958</v>
      </c>
      <c r="GC37" s="345"/>
      <c r="GH37" s="344" t="s">
        <v>1752</v>
      </c>
      <c r="GI37" s="345"/>
      <c r="GJ37" s="257"/>
      <c r="GK37" s="282"/>
      <c r="GN37" s="341" t="s">
        <v>1540</v>
      </c>
      <c r="GO37">
        <v>67.8</v>
      </c>
      <c r="GP37" s="257" t="s">
        <v>2311</v>
      </c>
      <c r="GQ37" s="282"/>
      <c r="GT37" s="403">
        <v>80</v>
      </c>
      <c r="GU37" s="344" t="s">
        <v>1835</v>
      </c>
      <c r="GV37" t="s">
        <v>1041</v>
      </c>
      <c r="GZ37" s="341" t="s">
        <v>2123</v>
      </c>
      <c r="HA37">
        <v>40.479999999999997</v>
      </c>
      <c r="HF37" s="408" t="s">
        <v>2147</v>
      </c>
      <c r="HG37" s="346">
        <v>3000</v>
      </c>
      <c r="HH37" t="s">
        <v>93</v>
      </c>
      <c r="HL37" s="408"/>
      <c r="HM37" s="348"/>
      <c r="HP37" s="344" t="s">
        <v>2245</v>
      </c>
      <c r="HQ37" s="357">
        <v>100</v>
      </c>
      <c r="HR37" s="419">
        <v>20</v>
      </c>
      <c r="HS37" s="344" t="s">
        <v>2233</v>
      </c>
      <c r="HT37" s="410"/>
      <c r="HU37" s="282"/>
      <c r="HX37" s="419">
        <v>40</v>
      </c>
      <c r="HY37" s="344" t="s">
        <v>1835</v>
      </c>
      <c r="HZ37" s="257" t="s">
        <v>2270</v>
      </c>
      <c r="IA37" s="282"/>
      <c r="IC37" s="536"/>
      <c r="ID37" s="9" t="s">
        <v>2204</v>
      </c>
      <c r="IE37" s="9">
        <v>453</v>
      </c>
      <c r="IH37" s="411"/>
      <c r="II37" s="552"/>
      <c r="IJ37" t="s">
        <v>2205</v>
      </c>
      <c r="IK37" s="6">
        <f>35+25+17.47+26.01</f>
        <v>103.48</v>
      </c>
      <c r="IN37" s="349" t="s">
        <v>2174</v>
      </c>
      <c r="IO37" s="421">
        <f>SUM(IQ13:IQ20)</f>
        <v>1316.3133333333333</v>
      </c>
      <c r="IP37" s="419">
        <v>399</v>
      </c>
      <c r="IQ37" s="586" t="s">
        <v>2505</v>
      </c>
      <c r="IV37" s="546" t="s">
        <v>2654</v>
      </c>
      <c r="IW37" s="576">
        <v>51.81</v>
      </c>
      <c r="JA37" s="537"/>
      <c r="JB37" s="546"/>
      <c r="JC37" s="576"/>
    </row>
    <row r="38" spans="1:263" x14ac:dyDescent="0.2">
      <c r="W38" s="249" t="s">
        <v>1074</v>
      </c>
      <c r="X38" s="249">
        <f>70+16</f>
        <v>86</v>
      </c>
      <c r="AO38" s="255" t="s">
        <v>1135</v>
      </c>
      <c r="AP38" s="145">
        <v>22</v>
      </c>
      <c r="AU38" s="145" t="s">
        <v>1172</v>
      </c>
      <c r="AV38" s="145">
        <v>118</v>
      </c>
      <c r="BE38" s="145" t="s">
        <v>1205</v>
      </c>
      <c r="BF38" s="145">
        <v>134</v>
      </c>
      <c r="BK38" s="221" t="s">
        <v>1183</v>
      </c>
      <c r="BL38" s="221">
        <v>250</v>
      </c>
      <c r="BQ38" s="221" t="s">
        <v>1174</v>
      </c>
      <c r="BR38" s="221">
        <v>300</v>
      </c>
      <c r="CC38" s="221" t="s">
        <v>1284</v>
      </c>
      <c r="CD38" s="221">
        <v>180</v>
      </c>
      <c r="CI38" s="221" t="s">
        <v>1317</v>
      </c>
      <c r="CJ38" s="221">
        <v>58</v>
      </c>
      <c r="CO38" s="221" t="s">
        <v>1338</v>
      </c>
      <c r="CP38" s="221">
        <v>39</v>
      </c>
      <c r="CU38" s="221" t="s">
        <v>1353</v>
      </c>
      <c r="CV38" s="221">
        <v>10.000999999999999</v>
      </c>
      <c r="CW38" s="145" t="s">
        <v>484</v>
      </c>
      <c r="DA38" s="221" t="s">
        <v>1405</v>
      </c>
      <c r="DB38" s="208">
        <v>192.6</v>
      </c>
      <c r="DG38" s="299" t="s">
        <v>1412</v>
      </c>
      <c r="DH38" s="283">
        <v>127.12</v>
      </c>
      <c r="DI38" s="251"/>
      <c r="DJ38" s="313"/>
      <c r="DM38" s="314" t="s">
        <v>1529</v>
      </c>
      <c r="DN38" s="307"/>
      <c r="DO38" s="1" t="s">
        <v>93</v>
      </c>
      <c r="DP38" s="287"/>
      <c r="DS38" s="320">
        <v>300</v>
      </c>
      <c r="DT38" s="319">
        <f>DP14+DS38-DV13</f>
        <v>280.00099999999998</v>
      </c>
      <c r="DU38" s="1" t="s">
        <v>93</v>
      </c>
      <c r="DV38" s="287"/>
      <c r="DY38" t="s">
        <v>1617</v>
      </c>
      <c r="DZ38">
        <v>49.8</v>
      </c>
      <c r="EA38" t="s">
        <v>1041</v>
      </c>
      <c r="EE38" t="s">
        <v>1650</v>
      </c>
      <c r="EL38" s="63" t="s">
        <v>1672</v>
      </c>
      <c r="EM38" s="63"/>
      <c r="ER38" s="1" t="s">
        <v>1278</v>
      </c>
      <c r="ES38" s="324">
        <v>749</v>
      </c>
      <c r="ET38" t="s">
        <v>93</v>
      </c>
      <c r="EX38" s="6" t="s">
        <v>1739</v>
      </c>
      <c r="EY38">
        <v>7</v>
      </c>
      <c r="EZ38" t="s">
        <v>1681</v>
      </c>
      <c r="FD38" s="6" t="s">
        <v>1770</v>
      </c>
      <c r="FE38" s="1">
        <v>14.08</v>
      </c>
      <c r="FF38" s="257" t="s">
        <v>1780</v>
      </c>
      <c r="FG38" s="78">
        <v>211</v>
      </c>
      <c r="FJ38" s="364" t="s">
        <v>1808</v>
      </c>
      <c r="FK38" s="1">
        <v>26.29</v>
      </c>
      <c r="FL38" s="258" t="s">
        <v>1639</v>
      </c>
      <c r="FM38" s="282"/>
      <c r="FP38" s="396" t="s">
        <v>1754</v>
      </c>
      <c r="FQ38" s="396"/>
      <c r="FR38" t="s">
        <v>1681</v>
      </c>
      <c r="FV38" s="364" t="s">
        <v>1899</v>
      </c>
      <c r="FW38" s="6">
        <v>127.1</v>
      </c>
      <c r="FX38" t="s">
        <v>1156</v>
      </c>
      <c r="GB38" s="344" t="s">
        <v>1961</v>
      </c>
      <c r="GC38" s="345"/>
      <c r="GH38" s="364" t="s">
        <v>2016</v>
      </c>
      <c r="GI38" s="6">
        <v>100</v>
      </c>
      <c r="GJ38" s="257"/>
      <c r="GK38" s="282"/>
      <c r="GN38" s="341" t="s">
        <v>2030</v>
      </c>
      <c r="GO38">
        <v>12.84</v>
      </c>
      <c r="GP38" s="257" t="s">
        <v>2190</v>
      </c>
      <c r="GQ38">
        <f>GU16</f>
        <v>84250</v>
      </c>
      <c r="GT38" s="403">
        <v>5</v>
      </c>
      <c r="GU38" s="344" t="s">
        <v>2095</v>
      </c>
      <c r="GZ38" s="341" t="s">
        <v>1411</v>
      </c>
      <c r="HA38">
        <v>49.98</v>
      </c>
      <c r="HB38" t="s">
        <v>512</v>
      </c>
      <c r="HF38" s="408" t="s">
        <v>2139</v>
      </c>
      <c r="HG38" s="346">
        <v>17367.45</v>
      </c>
      <c r="HH38" t="s">
        <v>1156</v>
      </c>
      <c r="HR38" s="419">
        <v>20</v>
      </c>
      <c r="HS38" s="344" t="s">
        <v>2234</v>
      </c>
      <c r="HT38" t="s">
        <v>512</v>
      </c>
      <c r="HX38" s="419">
        <v>40</v>
      </c>
      <c r="HY38" s="344" t="s">
        <v>2328</v>
      </c>
      <c r="HZ38" s="410" t="s">
        <v>2271</v>
      </c>
      <c r="IA38" s="483">
        <v>21.35</v>
      </c>
      <c r="IC38" s="537"/>
      <c r="ID38" s="422">
        <v>28.33</v>
      </c>
      <c r="IE38" s="9"/>
      <c r="IH38" s="412"/>
      <c r="IJ38" s="9" t="s">
        <v>2204</v>
      </c>
      <c r="IK38" s="9">
        <v>810</v>
      </c>
      <c r="IN38" s="341" t="s">
        <v>2172</v>
      </c>
      <c r="IO38">
        <f>SUM(IQ21:IQ32)</f>
        <v>464.31</v>
      </c>
      <c r="IP38" s="419">
        <v>35</v>
      </c>
      <c r="IQ38" s="586" t="s">
        <v>2495</v>
      </c>
      <c r="IV38" s="546" t="s">
        <v>2654</v>
      </c>
      <c r="IW38" s="576">
        <v>28.77</v>
      </c>
      <c r="JB38" s="546"/>
      <c r="JC38" s="576"/>
    </row>
    <row r="39" spans="1:263" x14ac:dyDescent="0.2">
      <c r="Q39" s="200" t="s">
        <v>1019</v>
      </c>
      <c r="R39" s="145">
        <v>700</v>
      </c>
      <c r="AO39" s="255" t="s">
        <v>1134</v>
      </c>
      <c r="AP39" s="145">
        <v>111</v>
      </c>
      <c r="AU39" s="145" t="s">
        <v>1178</v>
      </c>
      <c r="AV39" s="145">
        <v>134</v>
      </c>
      <c r="BQ39" s="221" t="s">
        <v>1183</v>
      </c>
      <c r="BR39" s="221">
        <v>150</v>
      </c>
      <c r="CC39" s="221" t="s">
        <v>1286</v>
      </c>
      <c r="CD39" s="221">
        <f>6.8+82.4</f>
        <v>89.2</v>
      </c>
      <c r="CI39" s="221" t="s">
        <v>1289</v>
      </c>
      <c r="CJ39" s="221">
        <v>25</v>
      </c>
      <c r="CO39" s="221" t="s">
        <v>1328</v>
      </c>
      <c r="CP39" s="221">
        <v>74.8</v>
      </c>
      <c r="CU39" s="221" t="s">
        <v>1354</v>
      </c>
      <c r="CV39" s="221">
        <f>50+10</f>
        <v>60</v>
      </c>
      <c r="CW39" s="292"/>
      <c r="DA39" s="221" t="s">
        <v>1403</v>
      </c>
      <c r="DB39" s="221">
        <v>40.6</v>
      </c>
      <c r="DC39" s="145"/>
      <c r="DG39" s="299" t="s">
        <v>1414</v>
      </c>
      <c r="DH39" s="283">
        <v>28</v>
      </c>
      <c r="DI39" s="257" t="s">
        <v>1275</v>
      </c>
      <c r="DJ39" s="276">
        <v>-20000</v>
      </c>
      <c r="DM39" s="320">
        <v>200</v>
      </c>
      <c r="DN39" s="308"/>
      <c r="DO39" t="s">
        <v>1156</v>
      </c>
      <c r="DS39" s="318" t="s">
        <v>1607</v>
      </c>
      <c r="DT39" s="319"/>
      <c r="DU39" t="s">
        <v>1156</v>
      </c>
      <c r="DY39" t="s">
        <v>1616</v>
      </c>
      <c r="DZ39">
        <v>34</v>
      </c>
      <c r="EE39" t="s">
        <v>1434</v>
      </c>
      <c r="EF39">
        <v>40</v>
      </c>
      <c r="EH39" s="292"/>
      <c r="EL39" s="63" t="s">
        <v>1680</v>
      </c>
      <c r="EM39" s="63"/>
      <c r="ER39" s="6" t="s">
        <v>1720</v>
      </c>
      <c r="ES39" s="208">
        <f>710+22</f>
        <v>732</v>
      </c>
      <c r="ET39" t="s">
        <v>1156</v>
      </c>
      <c r="EX39" s="6" t="s">
        <v>1730</v>
      </c>
      <c r="EY39" s="1">
        <v>4.83</v>
      </c>
      <c r="EZ39" t="s">
        <v>1548</v>
      </c>
      <c r="FD39" s="6" t="s">
        <v>1771</v>
      </c>
      <c r="FE39" s="1">
        <v>78.69</v>
      </c>
      <c r="FF39" s="257" t="s">
        <v>1781</v>
      </c>
      <c r="FG39" s="78">
        <v>136</v>
      </c>
      <c r="FJ39" s="364" t="s">
        <v>1625</v>
      </c>
      <c r="FK39" s="6">
        <v>87.09</v>
      </c>
      <c r="FL39" s="257" t="s">
        <v>1766</v>
      </c>
      <c r="FM39" s="78">
        <v>30</v>
      </c>
      <c r="FP39" s="357">
        <v>210</v>
      </c>
      <c r="FQ39" s="358">
        <f>FM11+FP39-FS12</f>
        <v>144</v>
      </c>
      <c r="FR39" t="s">
        <v>93</v>
      </c>
      <c r="FV39" s="364" t="s">
        <v>1915</v>
      </c>
      <c r="FW39" s="6">
        <v>8.5299999999999994</v>
      </c>
      <c r="FX39" t="s">
        <v>1041</v>
      </c>
      <c r="GB39" s="344" t="s">
        <v>1971</v>
      </c>
      <c r="GC39" s="345"/>
      <c r="GH39" s="364" t="s">
        <v>1997</v>
      </c>
      <c r="GI39">
        <v>70</v>
      </c>
      <c r="GJ39" t="s">
        <v>512</v>
      </c>
      <c r="GN39" s="341" t="s">
        <v>2047</v>
      </c>
      <c r="GO39">
        <v>26</v>
      </c>
      <c r="GP39" s="257" t="s">
        <v>2191</v>
      </c>
      <c r="GQ39" s="282">
        <v>45000</v>
      </c>
      <c r="GT39" s="403">
        <v>20</v>
      </c>
      <c r="GU39" s="344" t="s">
        <v>2098</v>
      </c>
      <c r="GZ39" s="341" t="s">
        <v>2121</v>
      </c>
      <c r="HA39">
        <f>36.3+3.2+61.6</f>
        <v>101.1</v>
      </c>
      <c r="HB39" t="s">
        <v>1681</v>
      </c>
      <c r="HF39" s="408" t="s">
        <v>2153</v>
      </c>
      <c r="HG39" s="348">
        <v>88</v>
      </c>
      <c r="HH39" t="s">
        <v>1041</v>
      </c>
      <c r="HL39" s="408"/>
      <c r="HM39" s="348"/>
      <c r="HR39" s="408" t="s">
        <v>2242</v>
      </c>
      <c r="HS39" s="420">
        <v>9.9</v>
      </c>
      <c r="HT39" t="s">
        <v>93</v>
      </c>
      <c r="HX39" s="419">
        <v>40</v>
      </c>
      <c r="HY39" s="344" t="s">
        <v>2299</v>
      </c>
      <c r="HZ39" s="257" t="s">
        <v>2301</v>
      </c>
      <c r="IA39" s="282">
        <v>125.91</v>
      </c>
      <c r="ID39" s="396" t="s">
        <v>1418</v>
      </c>
      <c r="IE39" s="418">
        <f>IA28+IC41-IG23</f>
        <v>175</v>
      </c>
      <c r="IH39" s="412"/>
      <c r="IJ39" s="396" t="s">
        <v>1418</v>
      </c>
      <c r="IK39" s="418">
        <f>IG23+II48-IM23</f>
        <v>230</v>
      </c>
      <c r="IP39" s="419">
        <v>7.9</v>
      </c>
      <c r="IQ39" s="586" t="s">
        <v>2496</v>
      </c>
      <c r="IV39" s="410"/>
      <c r="IW39" s="576"/>
      <c r="JB39" s="546"/>
      <c r="JC39" s="576"/>
    </row>
    <row r="40" spans="1:263" x14ac:dyDescent="0.2">
      <c r="K40" s="145" t="s">
        <v>1020</v>
      </c>
      <c r="L40" s="145">
        <v>95</v>
      </c>
      <c r="Q40" s="201" t="s">
        <v>1035</v>
      </c>
      <c r="R40" s="145">
        <v>100</v>
      </c>
      <c r="W40" s="145" t="s">
        <v>1100</v>
      </c>
      <c r="X40" s="145">
        <f>110.35+107.59-8.62-14.01</f>
        <v>195.31</v>
      </c>
      <c r="AO40" s="255" t="s">
        <v>1196</v>
      </c>
      <c r="AP40" s="145">
        <v>99.81</v>
      </c>
      <c r="AU40" s="145" t="s">
        <v>1177</v>
      </c>
      <c r="AV40" s="145">
        <v>-134</v>
      </c>
      <c r="BE40" s="145" t="s">
        <v>1180</v>
      </c>
      <c r="BF40" s="145">
        <v>200</v>
      </c>
      <c r="BW40" s="221" t="s">
        <v>1258</v>
      </c>
      <c r="BX40" s="221">
        <v>100</v>
      </c>
      <c r="CC40" s="221" t="s">
        <v>1291</v>
      </c>
      <c r="CD40" s="221">
        <v>0</v>
      </c>
      <c r="CI40" s="221" t="s">
        <v>1390</v>
      </c>
      <c r="CJ40" s="221">
        <v>102</v>
      </c>
      <c r="CO40" s="221" t="s">
        <v>1327</v>
      </c>
      <c r="CP40" s="221">
        <v>60.08</v>
      </c>
      <c r="CU40" s="221" t="s">
        <v>1348</v>
      </c>
      <c r="CV40" s="221">
        <v>80</v>
      </c>
      <c r="DA40" s="221" t="s">
        <v>1393</v>
      </c>
      <c r="DB40" s="221">
        <v>106.3</v>
      </c>
      <c r="DC40" s="292"/>
      <c r="DG40" s="299" t="s">
        <v>1437</v>
      </c>
      <c r="DH40" s="283">
        <v>32.200000000000003</v>
      </c>
      <c r="DI40" s="760" t="s">
        <v>1445</v>
      </c>
      <c r="DJ40" s="760"/>
      <c r="DM40" s="220" t="s">
        <v>1410</v>
      </c>
      <c r="DN40" s="308"/>
      <c r="DO40" s="257" t="s">
        <v>1041</v>
      </c>
      <c r="DS40" s="220" t="s">
        <v>1533</v>
      </c>
      <c r="DT40" s="308"/>
      <c r="DU40" s="257" t="s">
        <v>1041</v>
      </c>
      <c r="DY40" t="s">
        <v>1393</v>
      </c>
      <c r="DZ40">
        <v>15</v>
      </c>
      <c r="EL40" s="63"/>
      <c r="EM40" s="63"/>
      <c r="EN40" s="292"/>
      <c r="ER40" s="6" t="s">
        <v>1696</v>
      </c>
      <c r="ES40" s="208">
        <v>69</v>
      </c>
      <c r="ET40" t="s">
        <v>1041</v>
      </c>
      <c r="EX40" s="6" t="s">
        <v>1733</v>
      </c>
      <c r="EY40" s="6">
        <v>37.869999999999997</v>
      </c>
      <c r="EZ40" t="s">
        <v>93</v>
      </c>
      <c r="FD40" s="6" t="s">
        <v>1787</v>
      </c>
      <c r="FE40" t="s">
        <v>1788</v>
      </c>
      <c r="FF40" s="6" t="s">
        <v>1772</v>
      </c>
      <c r="FG40" s="6">
        <v>250</v>
      </c>
      <c r="FJ40" s="364" t="s">
        <v>1803</v>
      </c>
      <c r="FK40" s="1">
        <v>11.25</v>
      </c>
      <c r="FL40" s="257" t="s">
        <v>1816</v>
      </c>
      <c r="FM40" s="282">
        <v>101</v>
      </c>
      <c r="FP40" s="345" t="s">
        <v>1836</v>
      </c>
      <c r="FQ40" s="345"/>
      <c r="FR40" t="s">
        <v>1156</v>
      </c>
      <c r="FV40" s="364" t="s">
        <v>1935</v>
      </c>
      <c r="FW40" s="6">
        <v>184</v>
      </c>
      <c r="GB40" s="344" t="s">
        <v>1972</v>
      </c>
      <c r="GC40" s="345"/>
      <c r="GH40" s="364" t="s">
        <v>2017</v>
      </c>
      <c r="GI40" s="6">
        <v>190</v>
      </c>
      <c r="GJ40" t="s">
        <v>1681</v>
      </c>
      <c r="GN40" s="341" t="s">
        <v>2040</v>
      </c>
      <c r="GO40">
        <v>12</v>
      </c>
      <c r="GP40" s="257" t="s">
        <v>1842</v>
      </c>
      <c r="GQ40" s="282">
        <v>1000</v>
      </c>
      <c r="GT40" s="403">
        <v>6</v>
      </c>
      <c r="GU40" s="344" t="s">
        <v>2096</v>
      </c>
      <c r="GV40" t="s">
        <v>484</v>
      </c>
      <c r="GZ40" s="341" t="s">
        <v>2188</v>
      </c>
      <c r="HA40">
        <v>84.3</v>
      </c>
      <c r="HB40" t="s">
        <v>93</v>
      </c>
      <c r="HF40" s="408" t="s">
        <v>2140</v>
      </c>
      <c r="HG40" s="348">
        <v>9.2200000000000006</v>
      </c>
      <c r="HR40" s="408" t="s">
        <v>2261</v>
      </c>
      <c r="HS40" s="348">
        <v>10.57</v>
      </c>
      <c r="HX40" s="419">
        <v>20</v>
      </c>
      <c r="HY40" s="344" t="s">
        <v>2325</v>
      </c>
      <c r="ID40" s="419">
        <v>70</v>
      </c>
      <c r="IE40" s="344" t="s">
        <v>2234</v>
      </c>
      <c r="IH40" s="718" t="s">
        <v>2178</v>
      </c>
      <c r="II40" s="718"/>
      <c r="IJ40" s="419">
        <v>20</v>
      </c>
      <c r="IK40" s="344" t="s">
        <v>2433</v>
      </c>
      <c r="IN40" s="344" t="s">
        <v>2573</v>
      </c>
      <c r="IO40" s="357">
        <f>100+400+100+100</f>
        <v>700</v>
      </c>
      <c r="IP40" s="419">
        <v>6</v>
      </c>
      <c r="IQ40" s="586" t="s">
        <v>2234</v>
      </c>
      <c r="IV40" s="410"/>
      <c r="IW40" s="576"/>
      <c r="JB40" s="546"/>
      <c r="JC40" s="576"/>
    </row>
    <row r="41" spans="1:263" x14ac:dyDescent="0.2">
      <c r="K41" s="200" t="s">
        <v>1019</v>
      </c>
      <c r="L41" s="145">
        <v>300.01</v>
      </c>
      <c r="W41" s="145" t="s">
        <v>1077</v>
      </c>
      <c r="X41" s="145">
        <v>159</v>
      </c>
      <c r="AO41" s="255" t="s">
        <v>1197</v>
      </c>
      <c r="AP41" s="145">
        <v>-99.81</v>
      </c>
      <c r="BE41" s="145" t="s">
        <v>1174</v>
      </c>
      <c r="BF41" s="145">
        <v>400</v>
      </c>
      <c r="BW41" s="221" t="s">
        <v>1174</v>
      </c>
      <c r="BX41" s="221">
        <v>400</v>
      </c>
      <c r="CC41" s="221" t="s">
        <v>1285</v>
      </c>
      <c r="CD41" s="221">
        <v>320</v>
      </c>
      <c r="CI41" s="221" t="s">
        <v>1346</v>
      </c>
      <c r="CJ41" s="221">
        <v>50</v>
      </c>
      <c r="CO41" s="221" t="s">
        <v>1367</v>
      </c>
      <c r="CP41" s="221">
        <v>200</v>
      </c>
      <c r="CU41" s="221" t="s">
        <v>1346</v>
      </c>
      <c r="CV41" s="221">
        <v>100</v>
      </c>
      <c r="DA41" s="221" t="s">
        <v>1388</v>
      </c>
      <c r="DB41" s="221">
        <v>296.14</v>
      </c>
      <c r="DG41" s="299" t="s">
        <v>1484</v>
      </c>
      <c r="DH41" s="283">
        <v>40</v>
      </c>
      <c r="DI41" s="294" t="s">
        <v>1493</v>
      </c>
      <c r="DJ41" s="294">
        <v>200</v>
      </c>
      <c r="DM41" s="220" t="s">
        <v>1530</v>
      </c>
      <c r="DN41" s="308"/>
      <c r="DS41" s="220" t="s">
        <v>1542</v>
      </c>
      <c r="DT41" s="308"/>
      <c r="EL41" t="s">
        <v>1656</v>
      </c>
      <c r="EM41">
        <v>59.7</v>
      </c>
      <c r="ER41" s="1" t="s">
        <v>1683</v>
      </c>
      <c r="ES41" s="324">
        <v>18</v>
      </c>
      <c r="EX41" s="6" t="s">
        <v>1756</v>
      </c>
      <c r="EY41" s="6">
        <v>761</v>
      </c>
      <c r="EZ41" t="s">
        <v>1156</v>
      </c>
      <c r="FD41" s="6"/>
      <c r="FE41" s="6"/>
      <c r="FF41" s="6"/>
      <c r="FG41" s="6"/>
      <c r="FJ41" s="6"/>
      <c r="FK41" s="6"/>
      <c r="FL41" s="257"/>
      <c r="FM41" s="282"/>
      <c r="FP41" s="344" t="s">
        <v>1865</v>
      </c>
      <c r="FQ41" s="345"/>
      <c r="FR41" t="s">
        <v>1041</v>
      </c>
      <c r="FV41" s="364" t="s">
        <v>1942</v>
      </c>
      <c r="FW41" s="6">
        <v>80</v>
      </c>
      <c r="GB41" s="6" t="s">
        <v>1959</v>
      </c>
      <c r="GC41">
        <v>80</v>
      </c>
      <c r="GH41" s="364" t="s">
        <v>1996</v>
      </c>
      <c r="GI41" s="6">
        <v>1100</v>
      </c>
      <c r="GJ41" t="s">
        <v>93</v>
      </c>
      <c r="GN41" s="341" t="s">
        <v>2038</v>
      </c>
      <c r="GO41">
        <f>76+25.2</f>
        <v>101.2</v>
      </c>
      <c r="GP41" s="257" t="s">
        <v>2312</v>
      </c>
      <c r="GQ41" s="282"/>
      <c r="GT41" s="403">
        <v>6</v>
      </c>
      <c r="GU41" s="344" t="s">
        <v>2115</v>
      </c>
      <c r="GV41" s="292"/>
      <c r="GZ41" s="396" t="s">
        <v>1754</v>
      </c>
      <c r="HA41" s="63"/>
      <c r="HB41" t="s">
        <v>1156</v>
      </c>
      <c r="HF41" s="213" t="s">
        <v>2170</v>
      </c>
      <c r="HG41" s="213">
        <v>440</v>
      </c>
      <c r="HR41" s="408" t="s">
        <v>2294</v>
      </c>
      <c r="HS41" s="348">
        <v>65.7</v>
      </c>
      <c r="HX41" s="419">
        <v>45</v>
      </c>
      <c r="HY41" s="344" t="s">
        <v>2324</v>
      </c>
      <c r="IB41" s="344" t="s">
        <v>2355</v>
      </c>
      <c r="IC41" s="357">
        <v>205</v>
      </c>
      <c r="ID41" s="419">
        <v>15</v>
      </c>
      <c r="IE41" s="344" t="s">
        <v>2341</v>
      </c>
      <c r="IH41" s="355" t="s">
        <v>1966</v>
      </c>
      <c r="II41" s="290">
        <f>SUM(IK7:IK9)</f>
        <v>1946.12</v>
      </c>
      <c r="IJ41" s="419">
        <v>40</v>
      </c>
      <c r="IK41" s="344" t="s">
        <v>2408</v>
      </c>
      <c r="IP41" s="419">
        <v>30</v>
      </c>
      <c r="IQ41" s="586" t="s">
        <v>2500</v>
      </c>
      <c r="IV41" s="410"/>
      <c r="IW41" s="576"/>
      <c r="JB41" s="546"/>
      <c r="JC41" s="576"/>
    </row>
    <row r="42" spans="1:263" x14ac:dyDescent="0.2">
      <c r="K42" s="201" t="s">
        <v>1035</v>
      </c>
      <c r="L42" s="145">
        <v>100</v>
      </c>
      <c r="AO42" s="255" t="s">
        <v>1123</v>
      </c>
      <c r="AP42" s="145">
        <v>54</v>
      </c>
      <c r="AU42" s="145" t="s">
        <v>1163</v>
      </c>
      <c r="AV42" s="145">
        <v>180</v>
      </c>
      <c r="BE42" s="145" t="s">
        <v>1183</v>
      </c>
      <c r="BF42" s="145">
        <v>300</v>
      </c>
      <c r="BW42" s="221" t="s">
        <v>1183</v>
      </c>
      <c r="BX42" s="221">
        <v>150</v>
      </c>
      <c r="CC42" s="221" t="s">
        <v>1174</v>
      </c>
      <c r="CD42" s="221">
        <v>500</v>
      </c>
      <c r="CI42" s="221" t="s">
        <v>1322</v>
      </c>
      <c r="CJ42" s="221">
        <v>0</v>
      </c>
      <c r="CO42" s="221" t="s">
        <v>1174</v>
      </c>
      <c r="CP42" s="221">
        <v>500</v>
      </c>
      <c r="CU42" s="221" t="s">
        <v>1345</v>
      </c>
      <c r="CV42" s="221">
        <v>30</v>
      </c>
      <c r="DA42" s="221" t="s">
        <v>1389</v>
      </c>
      <c r="DB42" s="221">
        <v>127.5</v>
      </c>
      <c r="DG42" s="299" t="s">
        <v>1459</v>
      </c>
      <c r="DH42" s="283">
        <v>65.319999999999993</v>
      </c>
      <c r="DI42" s="294" t="s">
        <v>1450</v>
      </c>
      <c r="DJ42" s="295" t="s">
        <v>1488</v>
      </c>
      <c r="DM42" s="220" t="s">
        <v>1520</v>
      </c>
      <c r="DN42" s="308"/>
      <c r="DP42"/>
      <c r="DS42" s="220" t="s">
        <v>1563</v>
      </c>
      <c r="DT42" s="308"/>
      <c r="DY42" t="s">
        <v>1578</v>
      </c>
      <c r="DZ42">
        <v>734.46</v>
      </c>
      <c r="EL42" s="6" t="s">
        <v>1663</v>
      </c>
      <c r="EM42" s="1">
        <v>29.9</v>
      </c>
      <c r="ER42" s="6" t="s">
        <v>1700</v>
      </c>
      <c r="ES42" s="145">
        <f>11.88+1.49+3.62</f>
        <v>16.990000000000002</v>
      </c>
      <c r="EX42" s="6" t="s">
        <v>1753</v>
      </c>
      <c r="EY42" s="6">
        <f>560-555.22</f>
        <v>4.7799999999999727</v>
      </c>
      <c r="EZ42" t="s">
        <v>1041</v>
      </c>
      <c r="FD42" t="s">
        <v>1578</v>
      </c>
      <c r="FE42" s="1">
        <v>790</v>
      </c>
      <c r="FF42" t="s">
        <v>512</v>
      </c>
      <c r="FJ42" t="s">
        <v>1578</v>
      </c>
      <c r="FK42" s="1">
        <v>990</v>
      </c>
      <c r="FL42" s="257"/>
      <c r="FM42" s="282"/>
      <c r="FP42" s="344" t="s">
        <v>1835</v>
      </c>
      <c r="FQ42" s="345"/>
      <c r="FV42" s="364" t="s">
        <v>1948</v>
      </c>
      <c r="FW42" s="6">
        <v>4.5999999999999996</v>
      </c>
      <c r="GB42" s="364" t="s">
        <v>1963</v>
      </c>
      <c r="GC42" s="6">
        <v>11</v>
      </c>
      <c r="GH42" s="364" t="s">
        <v>1994</v>
      </c>
      <c r="GI42" s="6">
        <v>43</v>
      </c>
      <c r="GJ42" t="s">
        <v>1156</v>
      </c>
      <c r="GN42" s="396" t="s">
        <v>1754</v>
      </c>
      <c r="GO42" s="63"/>
      <c r="GP42" t="s">
        <v>1681</v>
      </c>
      <c r="GT42" s="403">
        <v>30</v>
      </c>
      <c r="GU42" s="344" t="s">
        <v>2097</v>
      </c>
      <c r="GZ42" s="357">
        <v>50</v>
      </c>
      <c r="HA42" s="396"/>
      <c r="HB42" t="s">
        <v>1041</v>
      </c>
      <c r="HE42" s="210"/>
      <c r="HF42" s="414">
        <v>29.54</v>
      </c>
      <c r="HR42" s="408" t="s">
        <v>2222</v>
      </c>
      <c r="HS42" s="348">
        <v>2.54</v>
      </c>
      <c r="HX42" s="408" t="s">
        <v>2297</v>
      </c>
      <c r="HY42" s="348">
        <v>98.89</v>
      </c>
      <c r="HZ42" t="s">
        <v>512</v>
      </c>
      <c r="ID42" s="419">
        <v>10</v>
      </c>
      <c r="IE42" s="344" t="s">
        <v>2375</v>
      </c>
      <c r="IH42" s="249" t="s">
        <v>1967</v>
      </c>
      <c r="II42" s="290">
        <f>SUM(IK14:IK15)</f>
        <v>1933.7466666666667</v>
      </c>
      <c r="IJ42" s="419">
        <v>10</v>
      </c>
      <c r="IK42" s="344" t="s">
        <v>2431</v>
      </c>
      <c r="IP42" s="419">
        <v>20</v>
      </c>
      <c r="IQ42" s="586" t="s">
        <v>2568</v>
      </c>
      <c r="IV42" s="630"/>
      <c r="IW42" s="632"/>
      <c r="JB42" s="410"/>
      <c r="JC42" s="576"/>
    </row>
    <row r="43" spans="1:263" x14ac:dyDescent="0.2">
      <c r="W43" s="200" t="s">
        <v>1019</v>
      </c>
      <c r="X43" s="145">
        <v>600</v>
      </c>
      <c r="AO43" s="255" t="s">
        <v>1117</v>
      </c>
      <c r="AP43" s="145">
        <v>95</v>
      </c>
      <c r="AU43" s="145" t="s">
        <v>1179</v>
      </c>
      <c r="AV43" s="145">
        <v>-180</v>
      </c>
      <c r="CC43" s="221" t="s">
        <v>1183</v>
      </c>
      <c r="CD43" s="221">
        <v>150</v>
      </c>
      <c r="CI43" s="221" t="s">
        <v>1312</v>
      </c>
      <c r="CJ43" s="221">
        <v>300</v>
      </c>
      <c r="CO43" s="221" t="s">
        <v>1183</v>
      </c>
      <c r="CP43" s="221">
        <v>400</v>
      </c>
      <c r="CU43" s="221" t="s">
        <v>1174</v>
      </c>
      <c r="CV43" s="221">
        <v>500</v>
      </c>
      <c r="DA43" s="221" t="s">
        <v>1387</v>
      </c>
      <c r="DB43" s="221">
        <v>114.55</v>
      </c>
      <c r="DG43" s="299" t="s">
        <v>1438</v>
      </c>
      <c r="DH43" s="283">
        <v>95</v>
      </c>
      <c r="DI43" s="294" t="s">
        <v>1487</v>
      </c>
      <c r="DJ43" s="295" t="s">
        <v>1488</v>
      </c>
      <c r="DL43" s="6"/>
      <c r="DM43" s="220" t="s">
        <v>1521</v>
      </c>
      <c r="DN43" s="308"/>
      <c r="DO43" s="1"/>
      <c r="DP43" s="109">
        <f>-DP11</f>
        <v>2524</v>
      </c>
      <c r="DR43" s="6"/>
      <c r="DS43" s="220" t="s">
        <v>1600</v>
      </c>
      <c r="DT43" s="308"/>
      <c r="DU43" s="145"/>
      <c r="DY43" t="s">
        <v>1620</v>
      </c>
      <c r="EA43" s="145" t="s">
        <v>1631</v>
      </c>
      <c r="EL43" s="6" t="s">
        <v>1666</v>
      </c>
      <c r="EM43" s="6">
        <v>35.799999999999997</v>
      </c>
      <c r="ER43" s="6" t="s">
        <v>1702</v>
      </c>
      <c r="ES43" s="145">
        <v>69.7</v>
      </c>
      <c r="EX43" s="6" t="s">
        <v>1745</v>
      </c>
      <c r="EY43" s="6">
        <v>8.64</v>
      </c>
      <c r="FD43" t="s">
        <v>1795</v>
      </c>
      <c r="FE43" s="6"/>
      <c r="FF43" t="s">
        <v>1681</v>
      </c>
      <c r="FJ43" t="s">
        <v>1822</v>
      </c>
      <c r="FK43" s="6"/>
      <c r="FL43" s="6"/>
      <c r="FP43" s="344" t="s">
        <v>1837</v>
      </c>
      <c r="FQ43" s="345"/>
      <c r="FX43" s="292"/>
      <c r="GB43" s="364" t="s">
        <v>1968</v>
      </c>
      <c r="GC43" s="6">
        <v>20</v>
      </c>
      <c r="GD43" s="292"/>
      <c r="GH43" s="364" t="s">
        <v>2008</v>
      </c>
      <c r="GI43" s="6">
        <v>64.680000000000007</v>
      </c>
      <c r="GJ43" t="s">
        <v>1041</v>
      </c>
      <c r="GN43" s="357">
        <v>100</v>
      </c>
      <c r="GO43" s="396"/>
      <c r="GP43" t="s">
        <v>93</v>
      </c>
      <c r="GT43" s="364" t="s">
        <v>2074</v>
      </c>
      <c r="GU43" s="6">
        <v>70</v>
      </c>
      <c r="GZ43" s="345" t="s">
        <v>2109</v>
      </c>
      <c r="HA43" s="358">
        <f>GW16+GZ42-HC17</f>
        <v>134</v>
      </c>
      <c r="HF43" t="s">
        <v>2093</v>
      </c>
      <c r="HG43" s="6">
        <v>90</v>
      </c>
      <c r="HX43" s="659" t="s">
        <v>2343</v>
      </c>
      <c r="HY43" s="659"/>
      <c r="HZ43" t="s">
        <v>93</v>
      </c>
      <c r="ID43" s="419">
        <f>20+9</f>
        <v>29</v>
      </c>
      <c r="IE43" s="344" t="s">
        <v>2391</v>
      </c>
      <c r="IH43" s="366" t="s">
        <v>1399</v>
      </c>
      <c r="II43">
        <f>SUM(IK10:IK11)</f>
        <v>3467.75</v>
      </c>
      <c r="IJ43" s="419">
        <v>20</v>
      </c>
      <c r="IK43" s="344" t="s">
        <v>2456</v>
      </c>
      <c r="IO43" s="536"/>
      <c r="IP43" s="419">
        <v>12</v>
      </c>
      <c r="IQ43" s="586" t="s">
        <v>2513</v>
      </c>
      <c r="IV43" s="205"/>
      <c r="IW43" s="361"/>
      <c r="JB43" s="410"/>
      <c r="JC43" s="576"/>
    </row>
    <row r="44" spans="1:263" x14ac:dyDescent="0.2">
      <c r="W44" s="201" t="s">
        <v>1035</v>
      </c>
      <c r="X44" s="145">
        <v>100</v>
      </c>
      <c r="AU44" s="145" t="s">
        <v>1173</v>
      </c>
      <c r="AV44" s="145">
        <f>53+76.3</f>
        <v>129.30000000000001</v>
      </c>
      <c r="CI44" s="221" t="s">
        <v>1174</v>
      </c>
      <c r="CJ44" s="221">
        <v>400</v>
      </c>
      <c r="CO44" s="221" t="s">
        <v>1366</v>
      </c>
      <c r="CU44" s="221" t="s">
        <v>1183</v>
      </c>
      <c r="CV44" s="221">
        <v>200</v>
      </c>
      <c r="DA44" s="221" t="s">
        <v>1174</v>
      </c>
      <c r="DB44" s="221">
        <v>700</v>
      </c>
      <c r="DG44" s="305" t="s">
        <v>1416</v>
      </c>
      <c r="DH44" s="307">
        <v>350</v>
      </c>
      <c r="DJ44" s="84"/>
      <c r="DL44" s="6"/>
      <c r="DM44" s="208" t="s">
        <v>1499</v>
      </c>
      <c r="DN44" s="283">
        <v>22.9</v>
      </c>
      <c r="DO44" s="1"/>
      <c r="DP44" s="109">
        <v>34.799999999999997</v>
      </c>
      <c r="DR44" s="6"/>
      <c r="DS44" s="220" t="s">
        <v>1590</v>
      </c>
      <c r="DT44" s="308"/>
      <c r="DU44" s="292"/>
      <c r="DY44" t="s">
        <v>1434</v>
      </c>
      <c r="DZ44">
        <v>70</v>
      </c>
      <c r="EL44" t="s">
        <v>1659</v>
      </c>
      <c r="EM44">
        <v>19.899999999999999</v>
      </c>
      <c r="EN44" s="145"/>
      <c r="ET44" s="292"/>
      <c r="EX44" s="6" t="s">
        <v>1747</v>
      </c>
      <c r="EY44" s="6">
        <f>7.3+13+10.5+10.8</f>
        <v>41.6</v>
      </c>
      <c r="FD44" t="s">
        <v>1434</v>
      </c>
      <c r="FE44">
        <v>30</v>
      </c>
      <c r="FF44" t="s">
        <v>1548</v>
      </c>
      <c r="FJ44" t="s">
        <v>1434</v>
      </c>
      <c r="FK44">
        <v>80</v>
      </c>
      <c r="FL44" s="6"/>
      <c r="FP44" s="6" t="s">
        <v>1830</v>
      </c>
      <c r="FQ44">
        <v>24</v>
      </c>
      <c r="FV44" t="s">
        <v>1578</v>
      </c>
      <c r="FW44" s="1">
        <v>646</v>
      </c>
      <c r="GB44" s="364" t="s">
        <v>1979</v>
      </c>
      <c r="GC44" s="6">
        <v>20</v>
      </c>
      <c r="GN44" s="345" t="s">
        <v>2054</v>
      </c>
      <c r="GO44" s="358">
        <f>GK17+GN43-GQ17</f>
        <v>104</v>
      </c>
      <c r="GP44" t="s">
        <v>1156</v>
      </c>
      <c r="GT44" s="364" t="s">
        <v>2092</v>
      </c>
      <c r="GU44" s="6">
        <v>29.6</v>
      </c>
      <c r="GZ44" s="402">
        <v>60</v>
      </c>
      <c r="HA44" s="344" t="s">
        <v>1835</v>
      </c>
      <c r="HX44" s="659"/>
      <c r="HY44" s="659"/>
      <c r="ID44" s="257" t="s">
        <v>2402</v>
      </c>
      <c r="IE44" s="348">
        <v>23</v>
      </c>
      <c r="IH44" s="350" t="s">
        <v>2173</v>
      </c>
      <c r="II44">
        <f>SUM(IK12:IK13)</f>
        <v>2138.0500000000002</v>
      </c>
      <c r="IJ44" s="419">
        <v>5</v>
      </c>
      <c r="IK44" s="344" t="s">
        <v>2435</v>
      </c>
      <c r="IO44" s="536"/>
      <c r="IP44" s="419">
        <v>20</v>
      </c>
      <c r="IQ44" s="586" t="s">
        <v>2234</v>
      </c>
      <c r="IV44" s="205"/>
      <c r="IW44" s="205"/>
      <c r="JB44" s="410"/>
      <c r="JC44" s="576"/>
    </row>
    <row r="45" spans="1:263" x14ac:dyDescent="0.2">
      <c r="AO45" s="145" t="s">
        <v>1114</v>
      </c>
      <c r="AP45" s="145">
        <f>129-18</f>
        <v>111</v>
      </c>
      <c r="AU45" s="145" t="s">
        <v>1152</v>
      </c>
      <c r="AV45" s="145">
        <v>25</v>
      </c>
      <c r="CI45" s="221" t="s">
        <v>1183</v>
      </c>
      <c r="CJ45" s="221">
        <v>150</v>
      </c>
      <c r="CU45" s="221" t="s">
        <v>1362</v>
      </c>
      <c r="DG45" s="220" t="s">
        <v>1485</v>
      </c>
      <c r="DH45" s="308"/>
      <c r="DI45" s="60" t="s">
        <v>512</v>
      </c>
      <c r="DL45" s="6"/>
      <c r="DM45" s="208" t="s">
        <v>1517</v>
      </c>
      <c r="DN45" s="283">
        <v>36.299999999999997</v>
      </c>
      <c r="DO45" s="1"/>
      <c r="DP45" s="109">
        <v>1.93</v>
      </c>
      <c r="DR45" s="6"/>
      <c r="DS45" s="220" t="s">
        <v>1591</v>
      </c>
      <c r="DT45" s="308"/>
      <c r="EL45" s="6" t="s">
        <v>1668</v>
      </c>
      <c r="EM45" s="6">
        <v>29</v>
      </c>
      <c r="ER45" t="s">
        <v>1578</v>
      </c>
      <c r="ES45" s="324">
        <v>840</v>
      </c>
      <c r="EX45" s="6" t="s">
        <v>1748</v>
      </c>
      <c r="EY45" s="6">
        <v>15.19</v>
      </c>
      <c r="FF45" t="s">
        <v>93</v>
      </c>
      <c r="FL45" t="s">
        <v>512</v>
      </c>
      <c r="FP45" s="1" t="s">
        <v>1348</v>
      </c>
      <c r="FQ45" s="1">
        <v>50</v>
      </c>
      <c r="FR45" s="292"/>
      <c r="FV45" t="s">
        <v>1950</v>
      </c>
      <c r="FW45" s="6"/>
      <c r="GB45" s="364" t="s">
        <v>1974</v>
      </c>
      <c r="GC45" s="6">
        <v>30.35</v>
      </c>
      <c r="GH45" t="s">
        <v>1578</v>
      </c>
      <c r="GI45" s="1">
        <v>638</v>
      </c>
      <c r="GN45" s="344" t="s">
        <v>2031</v>
      </c>
      <c r="GO45" s="345"/>
      <c r="GP45" t="s">
        <v>1041</v>
      </c>
      <c r="GT45" s="364" t="s">
        <v>2071</v>
      </c>
      <c r="GU45" s="6">
        <v>32.1</v>
      </c>
      <c r="GZ45" s="403">
        <v>20</v>
      </c>
      <c r="HA45" s="344" t="s">
        <v>2155</v>
      </c>
      <c r="HX45" s="217" t="s">
        <v>2337</v>
      </c>
      <c r="HY45">
        <f>40+150</f>
        <v>190</v>
      </c>
      <c r="ID45" s="410" t="s">
        <v>2358</v>
      </c>
      <c r="IE45">
        <v>54.8</v>
      </c>
      <c r="IH45" s="349" t="s">
        <v>2174</v>
      </c>
      <c r="II45" s="421">
        <f>SUM(IK16:IK23)</f>
        <v>1252.2433333333333</v>
      </c>
      <c r="IJ45" s="419">
        <v>7</v>
      </c>
      <c r="IK45" s="344" t="s">
        <v>2452</v>
      </c>
      <c r="IO45" s="537"/>
      <c r="IP45" s="357">
        <v>10</v>
      </c>
      <c r="IQ45" s="586" t="s">
        <v>2523</v>
      </c>
      <c r="IV45" s="408"/>
      <c r="IW45" s="205"/>
      <c r="JB45" s="630"/>
      <c r="JC45" s="632"/>
    </row>
    <row r="46" spans="1:263" x14ac:dyDescent="0.2">
      <c r="AO46" s="145" t="s">
        <v>1116</v>
      </c>
      <c r="AP46" s="145">
        <v>25</v>
      </c>
      <c r="BX46" s="265"/>
      <c r="CD46" s="265"/>
      <c r="CJ46" s="265"/>
      <c r="DG46" s="220" t="s">
        <v>1439</v>
      </c>
      <c r="DH46" s="308"/>
      <c r="DI46" s="60" t="s">
        <v>999</v>
      </c>
      <c r="DJ46" s="286"/>
      <c r="DL46" s="6"/>
      <c r="DM46" s="208" t="s">
        <v>1516</v>
      </c>
      <c r="DN46" s="283">
        <v>50</v>
      </c>
      <c r="DO46" s="1"/>
      <c r="DP46" s="109">
        <v>64</v>
      </c>
      <c r="DR46" s="6"/>
      <c r="DS46" s="220"/>
      <c r="DT46" s="308"/>
      <c r="ER46" t="s">
        <v>1721</v>
      </c>
      <c r="ES46" s="208"/>
      <c r="EX46" s="6"/>
      <c r="EY46" s="6"/>
      <c r="EZ46" s="292"/>
      <c r="FC46" s="52"/>
      <c r="FF46" t="s">
        <v>1156</v>
      </c>
      <c r="FL46" t="s">
        <v>1681</v>
      </c>
      <c r="FP46" s="364" t="s">
        <v>1834</v>
      </c>
      <c r="FQ46" s="1">
        <v>4.41</v>
      </c>
      <c r="FV46" t="s">
        <v>1902</v>
      </c>
      <c r="FW46">
        <v>52.15</v>
      </c>
      <c r="GH46" t="s">
        <v>2018</v>
      </c>
      <c r="GI46" s="6"/>
      <c r="GJ46" t="s">
        <v>484</v>
      </c>
      <c r="GN46" s="344" t="s">
        <v>2052</v>
      </c>
      <c r="GO46" s="345"/>
      <c r="GT46" s="364" t="s">
        <v>1499</v>
      </c>
      <c r="GU46">
        <v>2.66</v>
      </c>
      <c r="GZ46" s="403">
        <v>30</v>
      </c>
      <c r="HA46" s="344" t="s">
        <v>2114</v>
      </c>
      <c r="HB46" s="292"/>
      <c r="HX46" s="661" t="s">
        <v>2305</v>
      </c>
      <c r="HY46" s="348">
        <v>150</v>
      </c>
      <c r="ID46" s="410" t="s">
        <v>1663</v>
      </c>
      <c r="IE46">
        <v>54.6</v>
      </c>
      <c r="IH46" s="341" t="s">
        <v>2172</v>
      </c>
      <c r="II46">
        <f>SUM(IK24:IK36)</f>
        <v>602.14</v>
      </c>
      <c r="IJ46" s="357">
        <f>-IK7</f>
        <v>-15</v>
      </c>
      <c r="IK46" s="344" t="s">
        <v>2436</v>
      </c>
      <c r="IP46" s="357">
        <f>17+11+6</f>
        <v>34</v>
      </c>
      <c r="IQ46" s="586" t="s">
        <v>2561</v>
      </c>
      <c r="IV46" s="205"/>
      <c r="IW46" s="346"/>
      <c r="JB46" s="205"/>
      <c r="JC46" s="361"/>
    </row>
    <row r="47" spans="1:263" x14ac:dyDescent="0.2">
      <c r="AO47" s="145" t="s">
        <v>1115</v>
      </c>
      <c r="AP47" s="145">
        <v>508</v>
      </c>
      <c r="AU47" s="145" t="s">
        <v>1180</v>
      </c>
      <c r="AV47" s="145">
        <v>200</v>
      </c>
      <c r="DG47" s="220" t="s">
        <v>1480</v>
      </c>
      <c r="DH47" s="308"/>
      <c r="DI47" s="1" t="s">
        <v>93</v>
      </c>
      <c r="DJ47" s="78"/>
      <c r="DM47" s="208" t="s">
        <v>1541</v>
      </c>
      <c r="DN47" s="283">
        <v>34</v>
      </c>
      <c r="DO47" s="1"/>
      <c r="DP47" s="109">
        <v>21.78</v>
      </c>
      <c r="DS47" s="208" t="s">
        <v>1537</v>
      </c>
      <c r="DT47" s="283">
        <v>34.799999999999997</v>
      </c>
      <c r="EL47" t="s">
        <v>1578</v>
      </c>
      <c r="EM47">
        <v>870</v>
      </c>
      <c r="EN47" t="s">
        <v>1631</v>
      </c>
      <c r="ER47" t="s">
        <v>1434</v>
      </c>
      <c r="ES47" s="145">
        <v>60</v>
      </c>
      <c r="EX47" t="s">
        <v>1578</v>
      </c>
      <c r="EY47" s="1">
        <v>940</v>
      </c>
      <c r="FF47" t="s">
        <v>1041</v>
      </c>
      <c r="FL47" t="s">
        <v>1548</v>
      </c>
      <c r="FP47" s="364" t="s">
        <v>1833</v>
      </c>
      <c r="FQ47" s="6">
        <v>70.3</v>
      </c>
      <c r="FV47" t="s">
        <v>1903</v>
      </c>
      <c r="FX47" s="145"/>
      <c r="GB47" t="s">
        <v>1578</v>
      </c>
      <c r="GC47" s="1">
        <v>1057</v>
      </c>
      <c r="GD47" s="145"/>
      <c r="GH47" t="s">
        <v>1434</v>
      </c>
      <c r="GI47">
        <v>72</v>
      </c>
      <c r="GJ47" s="292" t="s">
        <v>1313</v>
      </c>
      <c r="GN47" s="344" t="s">
        <v>2101</v>
      </c>
      <c r="GO47" s="345"/>
      <c r="GT47" s="364" t="s">
        <v>2063</v>
      </c>
      <c r="GU47" s="6">
        <v>60.6</v>
      </c>
      <c r="GV47" s="759" t="s">
        <v>2100</v>
      </c>
      <c r="GZ47" s="364" t="s">
        <v>2118</v>
      </c>
      <c r="HA47" s="6">
        <v>6</v>
      </c>
      <c r="HX47" s="662" t="s">
        <v>2333</v>
      </c>
      <c r="HY47">
        <f>389.7+107.1</f>
        <v>496.79999999999995</v>
      </c>
      <c r="ID47" s="410" t="s">
        <v>2379</v>
      </c>
      <c r="IE47">
        <v>195.81</v>
      </c>
      <c r="IJ47" s="357">
        <v>20</v>
      </c>
      <c r="IK47" s="344" t="s">
        <v>1835</v>
      </c>
      <c r="IP47" s="357">
        <v>20</v>
      </c>
      <c r="IQ47" s="586" t="s">
        <v>2567</v>
      </c>
      <c r="IV47" s="410"/>
      <c r="IW47" s="631"/>
      <c r="JB47" s="205"/>
      <c r="JC47" s="205"/>
    </row>
    <row r="48" spans="1:263" x14ac:dyDescent="0.2">
      <c r="AO48" s="145" t="s">
        <v>1122</v>
      </c>
      <c r="AP48" s="145">
        <f>20*3</f>
        <v>60</v>
      </c>
      <c r="AU48" t="s">
        <v>1174</v>
      </c>
      <c r="AV48" s="145">
        <v>300</v>
      </c>
      <c r="AY48"/>
      <c r="DF48" s="6"/>
      <c r="DG48" s="220" t="s">
        <v>1433</v>
      </c>
      <c r="DH48" s="308"/>
      <c r="DI48" t="s">
        <v>1156</v>
      </c>
      <c r="DJ48" s="287"/>
      <c r="DM48" s="208"/>
      <c r="DO48" s="1"/>
      <c r="DP48" s="109">
        <v>27.85</v>
      </c>
      <c r="DS48" s="208" t="s">
        <v>1564</v>
      </c>
      <c r="DT48" s="283">
        <v>39.9</v>
      </c>
      <c r="EL48" t="s">
        <v>1667</v>
      </c>
      <c r="ET48" s="145"/>
      <c r="EX48" t="s">
        <v>1749</v>
      </c>
      <c r="EY48" s="6"/>
      <c r="FL48" t="s">
        <v>93</v>
      </c>
      <c r="FP48" s="364" t="s">
        <v>1866</v>
      </c>
      <c r="FQ48" s="6">
        <v>206</v>
      </c>
      <c r="FV48" t="s">
        <v>1434</v>
      </c>
      <c r="FW48">
        <v>48</v>
      </c>
      <c r="GB48" t="s">
        <v>1978</v>
      </c>
      <c r="GC48" s="6"/>
      <c r="GN48" s="344" t="s">
        <v>2051</v>
      </c>
      <c r="GO48" s="345"/>
      <c r="GP48" t="s">
        <v>484</v>
      </c>
      <c r="GT48" s="364" t="s">
        <v>2070</v>
      </c>
      <c r="GU48" s="6">
        <v>14.9</v>
      </c>
      <c r="GV48" s="759"/>
      <c r="GZ48" t="s">
        <v>2094</v>
      </c>
      <c r="HA48" s="213">
        <v>670.00099999999998</v>
      </c>
      <c r="HX48" s="661" t="s">
        <v>2304</v>
      </c>
      <c r="HY48" s="420">
        <v>14.4</v>
      </c>
      <c r="ID48" s="410" t="s">
        <v>2387</v>
      </c>
      <c r="IE48">
        <v>50</v>
      </c>
      <c r="IH48" s="344" t="s">
        <v>2458</v>
      </c>
      <c r="II48" s="357">
        <v>300</v>
      </c>
      <c r="IJ48" s="357">
        <v>20</v>
      </c>
      <c r="IK48" s="344" t="s">
        <v>2454</v>
      </c>
      <c r="IP48" s="546" t="s">
        <v>2497</v>
      </c>
      <c r="IQ48" s="576">
        <f>757-3.8</f>
        <v>753.2</v>
      </c>
      <c r="IV48" s="410"/>
      <c r="IW48" s="205"/>
      <c r="JB48" s="408"/>
      <c r="JC48" s="205"/>
    </row>
    <row r="49" spans="41:265" x14ac:dyDescent="0.2">
      <c r="AO49" s="145" t="s">
        <v>1124</v>
      </c>
      <c r="AP49" s="145">
        <v>810</v>
      </c>
      <c r="AU49" t="s">
        <v>1183</v>
      </c>
      <c r="AV49" s="145">
        <v>100</v>
      </c>
      <c r="AY49"/>
      <c r="DG49" s="220" t="s">
        <v>1447</v>
      </c>
      <c r="DH49" s="308"/>
      <c r="DI49" s="258" t="s">
        <v>1008</v>
      </c>
      <c r="DK49" s="6"/>
      <c r="DM49" s="221" t="s">
        <v>1538</v>
      </c>
      <c r="DN49" s="306">
        <v>700</v>
      </c>
      <c r="DO49" s="1"/>
      <c r="DP49" s="109">
        <v>15.35</v>
      </c>
      <c r="DQ49" s="6"/>
      <c r="DS49" s="221" t="s">
        <v>1536</v>
      </c>
      <c r="DT49" s="311">
        <v>0</v>
      </c>
      <c r="DU49" s="1"/>
      <c r="EL49" t="s">
        <v>1434</v>
      </c>
      <c r="EM49">
        <v>100</v>
      </c>
      <c r="EV49" s="52"/>
      <c r="EX49" t="s">
        <v>1434</v>
      </c>
      <c r="EY49">
        <v>30</v>
      </c>
      <c r="FL49" t="s">
        <v>1156</v>
      </c>
      <c r="FP49" s="364" t="s">
        <v>1841</v>
      </c>
      <c r="FQ49" s="6">
        <v>45.6</v>
      </c>
      <c r="FR49" s="145"/>
      <c r="GB49" t="s">
        <v>1434</v>
      </c>
      <c r="GC49">
        <v>100</v>
      </c>
      <c r="GN49" s="364" t="s">
        <v>2036</v>
      </c>
      <c r="GO49" s="6">
        <f>360+18</f>
        <v>378</v>
      </c>
      <c r="GP49" s="292" t="s">
        <v>1313</v>
      </c>
      <c r="GT49" s="364" t="s">
        <v>2089</v>
      </c>
      <c r="GU49" s="6">
        <v>55.29</v>
      </c>
      <c r="GV49" s="759"/>
      <c r="GZ49" s="213" t="s">
        <v>2125</v>
      </c>
      <c r="HX49" s="662" t="s">
        <v>2335</v>
      </c>
      <c r="HY49">
        <v>17.88</v>
      </c>
      <c r="ID49" s="410" t="s">
        <v>2389</v>
      </c>
      <c r="IE49">
        <v>26.8</v>
      </c>
      <c r="IJ49" s="419">
        <v>10</v>
      </c>
      <c r="IK49" s="63" t="s">
        <v>2429</v>
      </c>
      <c r="IP49" s="546" t="s">
        <v>2483</v>
      </c>
      <c r="IQ49" s="576">
        <v>92.8</v>
      </c>
      <c r="IV49" s="410"/>
      <c r="IW49" s="205"/>
      <c r="JB49" s="205"/>
      <c r="JC49" s="346"/>
    </row>
    <row r="50" spans="41:265" x14ac:dyDescent="0.2">
      <c r="AO50" s="145" t="s">
        <v>1132</v>
      </c>
      <c r="AP50" s="145">
        <f>15+25</f>
        <v>40</v>
      </c>
      <c r="DG50" s="220"/>
      <c r="DH50" s="308"/>
      <c r="DI50" s="6" t="s">
        <v>243</v>
      </c>
      <c r="DK50" s="6"/>
      <c r="DM50" s="221" t="s">
        <v>1582</v>
      </c>
      <c r="DO50" s="1"/>
      <c r="DP50" s="109">
        <v>12.7</v>
      </c>
      <c r="DQ50" s="6"/>
      <c r="DS50" s="221" t="s">
        <v>1578</v>
      </c>
      <c r="DT50" s="306">
        <v>590</v>
      </c>
      <c r="EZ50" s="145"/>
      <c r="FL50" t="s">
        <v>1041</v>
      </c>
      <c r="FP50" s="257" t="s">
        <v>1936</v>
      </c>
      <c r="FQ50" s="257"/>
      <c r="GN50" s="364" t="s">
        <v>2043</v>
      </c>
      <c r="GO50">
        <v>38.9</v>
      </c>
      <c r="GU50" s="6"/>
      <c r="GV50" s="759"/>
      <c r="GZ50" t="s">
        <v>2093</v>
      </c>
      <c r="HA50" s="6">
        <v>50.000999999999998</v>
      </c>
      <c r="HF50" s="1"/>
      <c r="HX50" s="662" t="s">
        <v>2336</v>
      </c>
      <c r="HY50">
        <v>23.86</v>
      </c>
      <c r="IJ50" s="546" t="s">
        <v>2425</v>
      </c>
      <c r="IK50" s="557">
        <f>161+14</f>
        <v>175</v>
      </c>
      <c r="IP50" s="546" t="s">
        <v>2489</v>
      </c>
      <c r="IQ50" s="576">
        <f>220.8+7.27*2</f>
        <v>235.34</v>
      </c>
      <c r="IV50" s="410"/>
      <c r="JB50" s="410"/>
      <c r="JC50" s="631"/>
    </row>
    <row r="51" spans="41:265" x14ac:dyDescent="0.2">
      <c r="AO51" s="145" t="s">
        <v>1151</v>
      </c>
      <c r="AP51" s="145">
        <v>12.9</v>
      </c>
      <c r="DG51" s="208" t="s">
        <v>1431</v>
      </c>
      <c r="DH51" s="283">
        <v>120</v>
      </c>
      <c r="DI51" s="257" t="s">
        <v>1041</v>
      </c>
      <c r="DK51" s="6"/>
      <c r="DM51" s="221" t="s">
        <v>1434</v>
      </c>
      <c r="DN51" s="306">
        <v>50</v>
      </c>
      <c r="DO51" s="1"/>
      <c r="DP51" s="109">
        <v>11.6</v>
      </c>
      <c r="DQ51" s="6"/>
      <c r="DS51" s="221" t="s">
        <v>1596</v>
      </c>
      <c r="FF51" s="292"/>
      <c r="FP51" s="364" t="s">
        <v>1843</v>
      </c>
      <c r="FQ51" s="6">
        <v>29.95</v>
      </c>
      <c r="GJ51" s="145"/>
      <c r="GN51" s="364" t="s">
        <v>2046</v>
      </c>
      <c r="GO51" s="6">
        <v>33</v>
      </c>
      <c r="GT51" t="s">
        <v>2094</v>
      </c>
      <c r="GU51" s="404">
        <v>900</v>
      </c>
      <c r="HB51" s="1"/>
      <c r="HC51" s="1"/>
      <c r="HD51" s="1"/>
      <c r="HE51" s="1"/>
      <c r="HF51" s="1"/>
      <c r="HX51" s="662" t="s">
        <v>2334</v>
      </c>
      <c r="HY51">
        <v>19.89</v>
      </c>
      <c r="ID51" s="533" t="s">
        <v>2343</v>
      </c>
      <c r="IE51" s="533"/>
      <c r="II51" s="536"/>
      <c r="IJ51" s="546" t="s">
        <v>2447</v>
      </c>
      <c r="IK51" s="557">
        <v>87.8</v>
      </c>
      <c r="IP51" s="408" t="s">
        <v>2514</v>
      </c>
      <c r="IQ51" s="576">
        <v>84.9</v>
      </c>
      <c r="IV51" s="410"/>
      <c r="JB51" s="410"/>
      <c r="JC51" s="205"/>
    </row>
    <row r="52" spans="41:265" x14ac:dyDescent="0.2">
      <c r="DA52" s="208"/>
      <c r="DB52" s="208"/>
      <c r="DC52" s="1"/>
      <c r="DD52" s="84"/>
      <c r="DG52" s="208" t="s">
        <v>1448</v>
      </c>
      <c r="DH52" s="283">
        <v>143.96</v>
      </c>
      <c r="DK52" s="6"/>
      <c r="DO52" s="1"/>
      <c r="DP52" s="109">
        <v>2</v>
      </c>
      <c r="DQ52" s="6"/>
      <c r="DS52" s="221" t="s">
        <v>1434</v>
      </c>
      <c r="DT52" s="306">
        <v>80</v>
      </c>
      <c r="FP52" s="364" t="s">
        <v>1857</v>
      </c>
      <c r="FQ52" s="6">
        <v>120</v>
      </c>
      <c r="GO52" s="6"/>
      <c r="GT52" s="404" t="s">
        <v>2091</v>
      </c>
      <c r="HB52" s="1"/>
      <c r="HC52" s="1"/>
      <c r="HD52" s="416"/>
      <c r="HE52" s="1"/>
      <c r="HF52" s="1"/>
      <c r="HX52" s="662" t="s">
        <v>2322</v>
      </c>
      <c r="HY52">
        <f>30.9+469.82+100.14+34.91</f>
        <v>635.77</v>
      </c>
      <c r="ID52" s="217" t="s">
        <v>2342</v>
      </c>
      <c r="IE52" s="145">
        <f>30+139.5</f>
        <v>169.5</v>
      </c>
      <c r="II52" s="536"/>
      <c r="IJ52" s="546" t="s">
        <v>2457</v>
      </c>
      <c r="IK52" s="557">
        <f>40.6+11.5</f>
        <v>52.1</v>
      </c>
      <c r="IP52" s="410" t="s">
        <v>2515</v>
      </c>
      <c r="IQ52" s="576">
        <v>105.8</v>
      </c>
      <c r="IV52" s="410"/>
      <c r="JB52" s="410"/>
      <c r="JC52" s="205"/>
    </row>
    <row r="53" spans="41:265" x14ac:dyDescent="0.2">
      <c r="DA53" s="208"/>
      <c r="DB53" s="208"/>
      <c r="DC53" s="1"/>
      <c r="DD53" s="84"/>
      <c r="DG53" s="221" t="s">
        <v>1428</v>
      </c>
      <c r="DH53" s="306">
        <v>51</v>
      </c>
      <c r="DI53" s="145"/>
      <c r="DK53" s="6"/>
      <c r="DO53" s="1"/>
      <c r="DP53" s="109">
        <v>28.8</v>
      </c>
      <c r="DQ53" s="6"/>
      <c r="FP53" s="364" t="s">
        <v>1867</v>
      </c>
      <c r="FQ53" s="6">
        <v>108.12</v>
      </c>
      <c r="GN53" t="s">
        <v>1578</v>
      </c>
      <c r="GO53">
        <v>800</v>
      </c>
      <c r="GT53" t="s">
        <v>2093</v>
      </c>
      <c r="GU53" s="6">
        <v>44</v>
      </c>
      <c r="HB53" s="1"/>
      <c r="HC53" s="1"/>
      <c r="HD53" s="416"/>
      <c r="HE53" s="1"/>
      <c r="HF53" s="1"/>
      <c r="HX53" s="145" t="s">
        <v>2293</v>
      </c>
      <c r="HY53" s="145">
        <v>7329.5</v>
      </c>
      <c r="ID53" s="217" t="s">
        <v>2356</v>
      </c>
      <c r="IE53">
        <v>15.32</v>
      </c>
      <c r="II53" s="537"/>
      <c r="IJ53" s="546" t="s">
        <v>2474</v>
      </c>
      <c r="IK53" s="557">
        <v>10.49</v>
      </c>
      <c r="IP53" s="410" t="s">
        <v>2518</v>
      </c>
      <c r="IQ53" s="576"/>
      <c r="JB53" s="410"/>
    </row>
    <row r="54" spans="41:265" x14ac:dyDescent="0.2">
      <c r="AO54" t="s">
        <v>1137</v>
      </c>
      <c r="AP54" s="145">
        <v>600</v>
      </c>
      <c r="DA54" s="208"/>
      <c r="DB54" s="208"/>
      <c r="DC54" s="1"/>
      <c r="DD54" s="84"/>
      <c r="DE54" s="6"/>
      <c r="DG54" s="208" t="s">
        <v>1426</v>
      </c>
      <c r="DH54" s="306">
        <f>500+356</f>
        <v>856</v>
      </c>
      <c r="DI54" s="292" t="s">
        <v>1313</v>
      </c>
      <c r="DK54" s="6"/>
      <c r="DO54" s="1"/>
      <c r="DP54" s="109">
        <v>25.5</v>
      </c>
      <c r="DQ54" s="6"/>
      <c r="FL54" s="292"/>
      <c r="GN54" t="s">
        <v>2053</v>
      </c>
      <c r="GO54" s="1"/>
      <c r="HB54" s="1"/>
      <c r="HC54" s="1"/>
      <c r="HD54" s="416"/>
      <c r="HE54" s="1"/>
      <c r="HF54" s="1"/>
      <c r="HX54" s="410"/>
      <c r="ID54" s="661" t="s">
        <v>2357</v>
      </c>
      <c r="IE54" s="348">
        <v>67.61</v>
      </c>
      <c r="IJ54" s="546" t="s">
        <v>2322</v>
      </c>
      <c r="IK54" s="557">
        <v>135.09</v>
      </c>
      <c r="IP54" s="410" t="s">
        <v>2509</v>
      </c>
      <c r="IQ54" s="576">
        <v>47.05</v>
      </c>
      <c r="JB54" s="410"/>
    </row>
    <row r="55" spans="41:265" x14ac:dyDescent="0.2">
      <c r="AO55" t="s">
        <v>1184</v>
      </c>
      <c r="AP55" s="145">
        <v>300</v>
      </c>
      <c r="DA55" s="208"/>
      <c r="DB55" s="208"/>
      <c r="DC55" s="309"/>
      <c r="DD55" s="310"/>
      <c r="DE55" s="6"/>
      <c r="DG55" s="208" t="s">
        <v>1432</v>
      </c>
      <c r="DH55" s="306">
        <v>30</v>
      </c>
      <c r="DK55" s="6"/>
      <c r="DO55" s="1" t="s">
        <v>1579</v>
      </c>
      <c r="DP55" s="109">
        <v>-1122.52</v>
      </c>
      <c r="DQ55" s="6"/>
      <c r="FF55" s="145"/>
      <c r="FP55" t="s">
        <v>1578</v>
      </c>
      <c r="FQ55" s="1">
        <v>753.05</v>
      </c>
      <c r="GN55" t="s">
        <v>1434</v>
      </c>
      <c r="GO55" s="6">
        <v>25</v>
      </c>
      <c r="HB55" s="1"/>
      <c r="HC55" s="1"/>
      <c r="HD55" s="416"/>
      <c r="HE55" s="1"/>
      <c r="HF55" s="1"/>
      <c r="HX55" s="410"/>
      <c r="ID55" s="217" t="s">
        <v>2365</v>
      </c>
      <c r="IE55" s="535">
        <v>-25.98</v>
      </c>
      <c r="IJ55" s="533" t="s">
        <v>2455</v>
      </c>
      <c r="IK55" s="533"/>
      <c r="IP55" s="410" t="s">
        <v>2569</v>
      </c>
      <c r="IQ55" s="632">
        <v>22.2</v>
      </c>
      <c r="JB55" s="410"/>
    </row>
    <row r="56" spans="41:265" x14ac:dyDescent="0.2">
      <c r="DA56" s="208"/>
      <c r="DB56" s="208"/>
      <c r="DC56" s="1"/>
      <c r="DD56" s="84"/>
      <c r="DE56" s="6"/>
      <c r="DG56" s="221" t="s">
        <v>1423</v>
      </c>
      <c r="DH56" s="306">
        <v>30</v>
      </c>
      <c r="DK56" s="6"/>
      <c r="DO56" s="1" t="s">
        <v>1580</v>
      </c>
      <c r="DP56" s="109">
        <f>SUM(DP43:DP55)</f>
        <v>1647.79</v>
      </c>
      <c r="DQ56" s="6"/>
      <c r="FP56" t="s">
        <v>1868</v>
      </c>
      <c r="FQ56" s="6"/>
      <c r="GV56" s="401"/>
      <c r="HB56" s="1"/>
      <c r="HC56" s="1"/>
      <c r="HD56" s="416"/>
      <c r="HE56" s="1"/>
      <c r="HF56" s="1"/>
      <c r="HX56" s="410"/>
      <c r="ID56" s="662" t="s">
        <v>2385</v>
      </c>
      <c r="IE56">
        <v>8.8000000000000007</v>
      </c>
      <c r="IJ56" s="410" t="s">
        <v>2403</v>
      </c>
      <c r="IK56">
        <v>150</v>
      </c>
      <c r="IP56" s="630" t="s">
        <v>2572</v>
      </c>
      <c r="IQ56" s="361">
        <v>22.6</v>
      </c>
    </row>
    <row r="57" spans="41:265" x14ac:dyDescent="0.2">
      <c r="DA57" s="208"/>
      <c r="DB57" s="208"/>
      <c r="DC57" s="1"/>
      <c r="DD57" s="84"/>
      <c r="DE57" s="6"/>
      <c r="DG57" s="221" t="s">
        <v>1453</v>
      </c>
      <c r="DH57" s="306">
        <v>58.2</v>
      </c>
      <c r="DK57" s="6"/>
      <c r="DQ57" s="6"/>
      <c r="FP57" t="s">
        <v>1434</v>
      </c>
      <c r="FQ57">
        <v>20</v>
      </c>
      <c r="HB57" s="1"/>
      <c r="HC57" s="1"/>
      <c r="HD57" s="416"/>
      <c r="HE57" s="1"/>
      <c r="HF57" s="1"/>
      <c r="ID57" s="633" t="s">
        <v>2399</v>
      </c>
      <c r="IE57">
        <f>2000+1311.79</f>
        <v>3311.79</v>
      </c>
      <c r="IJ57" s="410" t="s">
        <v>2385</v>
      </c>
      <c r="IK57">
        <v>5.4</v>
      </c>
      <c r="IP57" s="205"/>
      <c r="IQ57" s="205"/>
    </row>
    <row r="58" spans="41:265" x14ac:dyDescent="0.2">
      <c r="DA58" s="208"/>
      <c r="DB58" s="208"/>
      <c r="DC58" s="1"/>
      <c r="DD58" s="310"/>
      <c r="DE58" s="6"/>
      <c r="DG58" s="221" t="s">
        <v>1420</v>
      </c>
      <c r="DH58" s="306">
        <f>21.5+57.6</f>
        <v>79.099999999999994</v>
      </c>
      <c r="FL58" s="145"/>
      <c r="HB58" s="1"/>
      <c r="HC58" s="1"/>
      <c r="HD58" s="416"/>
      <c r="HE58" s="1"/>
      <c r="HF58" s="1"/>
      <c r="ID58" s="410"/>
      <c r="IJ58" s="410"/>
      <c r="IP58" s="205"/>
      <c r="IQ58" s="205"/>
      <c r="JE58" s="400"/>
    </row>
    <row r="59" spans="41:265" x14ac:dyDescent="0.2">
      <c r="DA59" s="208"/>
      <c r="DB59" s="208"/>
      <c r="DC59" s="1"/>
      <c r="DD59" s="84"/>
      <c r="DE59" s="6"/>
      <c r="DG59" s="221" t="s">
        <v>1440</v>
      </c>
      <c r="DH59" s="306">
        <v>193.38</v>
      </c>
      <c r="HB59" s="1"/>
      <c r="HC59" s="1"/>
      <c r="HD59" s="416"/>
      <c r="HE59" s="1"/>
      <c r="HF59" s="1"/>
      <c r="ID59" s="410"/>
      <c r="IJ59" s="410"/>
      <c r="IP59" s="408"/>
      <c r="IQ59" s="346"/>
    </row>
    <row r="60" spans="41:265" x14ac:dyDescent="0.2">
      <c r="DA60" s="208"/>
      <c r="DB60" s="208"/>
      <c r="DC60" s="1"/>
      <c r="DD60" s="84"/>
      <c r="DE60" s="6"/>
      <c r="DG60" s="221" t="s">
        <v>1441</v>
      </c>
      <c r="DH60" s="306">
        <v>159</v>
      </c>
      <c r="HB60" s="1"/>
      <c r="HC60" s="1"/>
      <c r="HD60" s="1"/>
      <c r="HE60" s="1"/>
      <c r="HF60" s="1"/>
      <c r="ID60" s="410"/>
      <c r="IJ60" s="533"/>
      <c r="IK60" s="533"/>
      <c r="IP60" s="205"/>
      <c r="IQ60" s="631"/>
      <c r="IY60" s="400"/>
    </row>
    <row r="61" spans="41:265" x14ac:dyDescent="0.2">
      <c r="DE61" s="6"/>
      <c r="DG61" s="221" t="s">
        <v>1486</v>
      </c>
      <c r="DH61" s="306">
        <v>88</v>
      </c>
      <c r="DI61" s="1"/>
      <c r="HB61" s="1"/>
      <c r="HC61" s="1"/>
      <c r="HD61" s="1"/>
      <c r="HE61" s="1"/>
      <c r="ID61" s="410"/>
      <c r="IJ61" s="145"/>
      <c r="IK61" s="145"/>
      <c r="IP61" s="410"/>
      <c r="IQ61" s="205"/>
    </row>
    <row r="62" spans="41:265" x14ac:dyDescent="0.2">
      <c r="DE62" s="6"/>
      <c r="DG62" s="221" t="s">
        <v>1479</v>
      </c>
      <c r="DH62" s="306">
        <v>51.9</v>
      </c>
      <c r="ID62" s="410"/>
      <c r="IP62" s="410"/>
      <c r="IQ62" s="205"/>
    </row>
    <row r="63" spans="41:265" x14ac:dyDescent="0.2">
      <c r="DG63" s="221" t="s">
        <v>1174</v>
      </c>
      <c r="DH63" s="306">
        <v>1500</v>
      </c>
      <c r="IP63" s="410"/>
    </row>
    <row r="64" spans="41:265" x14ac:dyDescent="0.2">
      <c r="IJ64" s="408"/>
      <c r="IK64" s="348"/>
      <c r="IP64" s="410"/>
    </row>
    <row r="65" spans="205:253" x14ac:dyDescent="0.2">
      <c r="IK65" s="535"/>
      <c r="IM65" s="400"/>
      <c r="IP65" s="410"/>
      <c r="IS65" s="400"/>
    </row>
    <row r="66" spans="205:253" x14ac:dyDescent="0.2">
      <c r="IJ66" s="410"/>
      <c r="IP66" s="410"/>
    </row>
    <row r="67" spans="205:253" x14ac:dyDescent="0.2">
      <c r="HO67" s="400"/>
      <c r="IG67" s="400"/>
      <c r="IJ67" s="410"/>
    </row>
    <row r="68" spans="205:253" x14ac:dyDescent="0.2">
      <c r="IJ68" s="410"/>
    </row>
    <row r="69" spans="205:253" x14ac:dyDescent="0.2">
      <c r="IJ69" s="410"/>
    </row>
    <row r="70" spans="205:253" x14ac:dyDescent="0.2">
      <c r="IJ70" s="410"/>
    </row>
    <row r="71" spans="205:253" x14ac:dyDescent="0.2">
      <c r="IJ71" s="410"/>
    </row>
    <row r="72" spans="205:253" x14ac:dyDescent="0.2">
      <c r="HI72" s="400"/>
    </row>
    <row r="74" spans="205:253" x14ac:dyDescent="0.2">
      <c r="GW74" s="400"/>
    </row>
    <row r="75" spans="205:253" x14ac:dyDescent="0.2">
      <c r="HU75" s="400"/>
    </row>
    <row r="76" spans="205:253" x14ac:dyDescent="0.2">
      <c r="HC76" s="400"/>
    </row>
    <row r="77" spans="205:253" x14ac:dyDescent="0.2">
      <c r="IA77" s="400"/>
    </row>
  </sheetData>
  <mergeCells count="246">
    <mergeCell ref="GJ1:GK1"/>
    <mergeCell ref="GH1:GI1"/>
    <mergeCell ref="GF1:GG1"/>
    <mergeCell ref="IT23:IU23"/>
    <mergeCell ref="IX1:IY1"/>
    <mergeCell ref="IV1:IW1"/>
    <mergeCell ref="IT1:I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GV47:GV50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IZ24:JA24"/>
    <mergeCell ref="JD1:JE1"/>
    <mergeCell ref="JB1:JC1"/>
    <mergeCell ref="IZ1:JA1"/>
    <mergeCell ref="FV1:FW1"/>
    <mergeCell ref="IN32:IO32"/>
    <mergeCell ref="IR1:IS1"/>
    <mergeCell ref="IP1:IQ1"/>
    <mergeCell ref="IN1:IO1"/>
    <mergeCell ref="HV23:HW23"/>
    <mergeCell ref="HZ1:IA1"/>
    <mergeCell ref="HX1:HY1"/>
    <mergeCell ref="HV1:HW1"/>
    <mergeCell ref="HP27:HQ27"/>
    <mergeCell ref="HT1:HU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49"/>
  <sheetViews>
    <sheetView zoomScaleNormal="100" workbookViewId="0">
      <selection activeCell="E29" sqref="E29"/>
    </sheetView>
  </sheetViews>
  <sheetFormatPr defaultColWidth="9.140625" defaultRowHeight="12.75" x14ac:dyDescent="0.2"/>
  <cols>
    <col min="1" max="1" width="1.140625" style="591" customWidth="1"/>
    <col min="2" max="3" width="4.5703125" style="591" bestFit="1" customWidth="1"/>
    <col min="4" max="4" width="4.7109375" style="591" bestFit="1" customWidth="1"/>
    <col min="5" max="5" width="6.85546875" style="591" bestFit="1" customWidth="1"/>
    <col min="6" max="6" width="8.5703125" style="591" bestFit="1" customWidth="1"/>
    <col min="7" max="7" width="11.140625" style="607" bestFit="1" customWidth="1"/>
    <col min="8" max="8" width="4" style="591" bestFit="1" customWidth="1"/>
    <col min="9" max="9" width="8" style="591" bestFit="1" customWidth="1"/>
    <col min="10" max="10" width="6.85546875" style="591" bestFit="1" customWidth="1"/>
    <col min="11" max="11" width="4.28515625" style="591" bestFit="1" customWidth="1"/>
    <col min="12" max="12" width="12.85546875" style="591" customWidth="1"/>
    <col min="13" max="13" width="10.28515625" style="591" bestFit="1" customWidth="1"/>
    <col min="14" max="14" width="11.42578125" style="591" bestFit="1" customWidth="1"/>
    <col min="15" max="15" width="53.85546875" style="591" bestFit="1" customWidth="1"/>
    <col min="16" max="16" width="8.5703125" style="591" bestFit="1" customWidth="1"/>
    <col min="17" max="17" width="6.140625" style="591" customWidth="1"/>
    <col min="18" max="18" width="20.85546875" style="591" bestFit="1" customWidth="1"/>
    <col min="19" max="19" width="12.7109375" style="591" bestFit="1" customWidth="1"/>
    <col min="20" max="16384" width="9.140625" style="591"/>
  </cols>
  <sheetData>
    <row r="1" spans="2:16" ht="3.75" customHeight="1" x14ac:dyDescent="0.2">
      <c r="I1" s="592"/>
    </row>
    <row r="2" spans="2:16" x14ac:dyDescent="0.2">
      <c r="B2" s="788" t="s">
        <v>1882</v>
      </c>
      <c r="C2" s="788"/>
      <c r="D2" s="788"/>
      <c r="E2" s="790" t="s">
        <v>2526</v>
      </c>
      <c r="F2" s="790" t="s">
        <v>2558</v>
      </c>
      <c r="G2" s="608"/>
      <c r="H2" s="793"/>
      <c r="I2" s="789" t="s">
        <v>2688</v>
      </c>
      <c r="J2" s="789"/>
      <c r="K2" s="781" t="s">
        <v>2684</v>
      </c>
      <c r="L2" s="781" t="s">
        <v>2584</v>
      </c>
      <c r="M2" s="790" t="s">
        <v>2531</v>
      </c>
      <c r="N2" s="792" t="s">
        <v>2541</v>
      </c>
    </row>
    <row r="3" spans="2:16" s="598" customFormat="1" x14ac:dyDescent="0.2">
      <c r="B3" s="593" t="s">
        <v>1881</v>
      </c>
      <c r="C3" s="594" t="s">
        <v>1880</v>
      </c>
      <c r="D3" s="595" t="s">
        <v>2441</v>
      </c>
      <c r="E3" s="791"/>
      <c r="F3" s="791"/>
      <c r="G3" s="609"/>
      <c r="H3" s="794"/>
      <c r="I3" s="596" t="s">
        <v>2636</v>
      </c>
      <c r="J3" s="597" t="s">
        <v>2219</v>
      </c>
      <c r="K3" s="782"/>
      <c r="L3" s="782"/>
      <c r="M3" s="791"/>
      <c r="N3" s="792"/>
    </row>
    <row r="4" spans="2:16" s="685" customFormat="1" ht="8.25" customHeight="1" x14ac:dyDescent="0.2">
      <c r="B4" s="685">
        <v>38</v>
      </c>
      <c r="C4" s="685">
        <v>29</v>
      </c>
      <c r="D4" s="685">
        <v>130</v>
      </c>
      <c r="G4" s="816">
        <v>44958</v>
      </c>
      <c r="I4" s="685">
        <f>360-J4</f>
        <v>285</v>
      </c>
      <c r="J4" s="685">
        <v>75</v>
      </c>
      <c r="K4" s="685">
        <v>65</v>
      </c>
      <c r="L4" s="685">
        <v>176</v>
      </c>
      <c r="M4" s="685">
        <v>485.00099999999998</v>
      </c>
      <c r="N4" s="685" t="s">
        <v>2544</v>
      </c>
      <c r="O4" s="685" t="s">
        <v>2591</v>
      </c>
    </row>
    <row r="5" spans="2:16" s="685" customFormat="1" ht="8.25" customHeight="1" x14ac:dyDescent="0.2">
      <c r="B5" s="685" t="s">
        <v>2527</v>
      </c>
      <c r="C5" s="685">
        <v>8</v>
      </c>
      <c r="D5" s="685">
        <f>D4</f>
        <v>130</v>
      </c>
      <c r="E5" s="685" t="s">
        <v>2560</v>
      </c>
      <c r="F5" s="685" t="s">
        <v>311</v>
      </c>
      <c r="G5" s="816">
        <v>44975</v>
      </c>
      <c r="H5" s="817"/>
      <c r="I5" s="685">
        <f>360-J5</f>
        <v>285</v>
      </c>
      <c r="J5" s="685">
        <v>75</v>
      </c>
      <c r="K5" s="685">
        <v>65</v>
      </c>
      <c r="L5" s="685">
        <v>176</v>
      </c>
      <c r="M5" s="685">
        <v>418.00099999999998</v>
      </c>
      <c r="N5" s="685" t="s">
        <v>2544</v>
      </c>
    </row>
    <row r="6" spans="2:16" s="715" customFormat="1" x14ac:dyDescent="0.2">
      <c r="B6" s="714"/>
      <c r="G6" s="815">
        <v>44985</v>
      </c>
      <c r="H6" s="814" t="s">
        <v>2593</v>
      </c>
      <c r="P6" s="716"/>
    </row>
    <row r="7" spans="2:16" x14ac:dyDescent="0.2">
      <c r="B7" s="616"/>
      <c r="G7" s="610">
        <v>44987</v>
      </c>
      <c r="H7" s="818" t="s">
        <v>2690</v>
      </c>
      <c r="P7" s="603"/>
    </row>
    <row r="8" spans="2:16" x14ac:dyDescent="0.2">
      <c r="B8" s="616"/>
      <c r="G8" s="657" t="s">
        <v>2748</v>
      </c>
      <c r="H8" s="818" t="s">
        <v>2749</v>
      </c>
      <c r="P8" s="603"/>
    </row>
    <row r="9" spans="2:16" x14ac:dyDescent="0.2">
      <c r="B9" s="616"/>
      <c r="G9" s="657" t="s">
        <v>2735</v>
      </c>
      <c r="H9" s="603" t="s">
        <v>2639</v>
      </c>
      <c r="O9" s="599"/>
      <c r="P9" s="603"/>
    </row>
    <row r="10" spans="2:16" x14ac:dyDescent="0.2">
      <c r="B10" s="616"/>
      <c r="G10" s="607">
        <v>45013</v>
      </c>
      <c r="H10" s="819" t="s">
        <v>2691</v>
      </c>
      <c r="I10" s="820"/>
      <c r="J10" s="820"/>
      <c r="K10" s="820"/>
      <c r="L10" s="820"/>
      <c r="M10" s="820"/>
      <c r="O10" s="599"/>
      <c r="P10" s="603"/>
    </row>
    <row r="11" spans="2:16" x14ac:dyDescent="0.2">
      <c r="B11" s="616"/>
      <c r="G11" s="607">
        <v>45015</v>
      </c>
      <c r="H11" s="603"/>
      <c r="I11" s="591">
        <f>I5+K5</f>
        <v>350</v>
      </c>
      <c r="J11" s="591" t="s">
        <v>2660</v>
      </c>
    </row>
    <row r="12" spans="2:16" x14ac:dyDescent="0.2">
      <c r="B12" s="617"/>
      <c r="E12" s="605" t="s">
        <v>2557</v>
      </c>
      <c r="F12" s="599" t="s">
        <v>2643</v>
      </c>
      <c r="G12" s="607">
        <v>45016</v>
      </c>
      <c r="H12" s="603"/>
      <c r="I12" s="599">
        <v>192</v>
      </c>
      <c r="J12" s="591">
        <v>75</v>
      </c>
      <c r="K12" s="603">
        <v>0</v>
      </c>
      <c r="L12" s="603"/>
      <c r="M12" s="591">
        <f>M5-C11-ABS(I11-I12)</f>
        <v>260.00099999999998</v>
      </c>
      <c r="N12" s="603" t="s">
        <v>2553</v>
      </c>
    </row>
    <row r="13" spans="2:16" x14ac:dyDescent="0.2">
      <c r="B13" s="618"/>
      <c r="C13" s="779" t="s">
        <v>2529</v>
      </c>
      <c r="D13" s="779"/>
      <c r="E13" s="779"/>
      <c r="F13" s="779"/>
      <c r="G13" s="779"/>
      <c r="H13" s="779"/>
      <c r="I13" s="779"/>
      <c r="J13" s="779"/>
      <c r="K13" s="779"/>
      <c r="L13" s="779"/>
      <c r="M13" s="779"/>
      <c r="N13" s="779"/>
      <c r="O13" s="779"/>
      <c r="P13" s="779"/>
    </row>
    <row r="14" spans="2:16" ht="12.75" customHeight="1" x14ac:dyDescent="0.2">
      <c r="B14" s="617"/>
      <c r="C14" s="606" t="s">
        <v>2552</v>
      </c>
      <c r="D14" s="604"/>
      <c r="E14" s="790" t="s">
        <v>2526</v>
      </c>
      <c r="F14" s="790" t="s">
        <v>2558</v>
      </c>
      <c r="G14" s="609"/>
      <c r="H14" s="793" t="s">
        <v>2540</v>
      </c>
      <c r="I14" s="795" t="s">
        <v>2548</v>
      </c>
      <c r="J14" s="780" t="s">
        <v>2685</v>
      </c>
      <c r="K14" s="780"/>
      <c r="L14" s="781" t="s">
        <v>2663</v>
      </c>
      <c r="M14" s="790" t="s">
        <v>2531</v>
      </c>
      <c r="N14" s="792" t="s">
        <v>2541</v>
      </c>
    </row>
    <row r="15" spans="2:16" x14ac:dyDescent="0.2">
      <c r="B15" s="617"/>
      <c r="C15" s="594" t="s">
        <v>1880</v>
      </c>
      <c r="D15" s="595" t="s">
        <v>2441</v>
      </c>
      <c r="E15" s="791"/>
      <c r="F15" s="791"/>
      <c r="G15" s="611"/>
      <c r="H15" s="794"/>
      <c r="I15" s="796"/>
      <c r="J15" s="612" t="s">
        <v>2555</v>
      </c>
      <c r="K15" s="613" t="s">
        <v>1881</v>
      </c>
      <c r="L15" s="782"/>
      <c r="M15" s="791"/>
      <c r="N15" s="792"/>
    </row>
    <row r="16" spans="2:16" x14ac:dyDescent="0.2">
      <c r="B16" s="785">
        <v>10</v>
      </c>
      <c r="C16" s="785"/>
      <c r="G16" s="786">
        <v>45017</v>
      </c>
      <c r="H16" s="603">
        <v>0</v>
      </c>
      <c r="I16" s="591">
        <v>90</v>
      </c>
      <c r="J16" s="670">
        <f>I12-I16-L16</f>
        <v>102</v>
      </c>
      <c r="K16" s="591">
        <v>75</v>
      </c>
      <c r="L16" s="591">
        <v>0</v>
      </c>
      <c r="O16" s="591" t="s">
        <v>2554</v>
      </c>
    </row>
    <row r="17" spans="2:16" x14ac:dyDescent="0.2">
      <c r="B17" s="617"/>
      <c r="E17" s="599"/>
      <c r="F17" s="599"/>
      <c r="G17" s="787"/>
      <c r="H17" s="617"/>
      <c r="N17" s="603"/>
      <c r="O17" s="591" t="s">
        <v>2741</v>
      </c>
    </row>
    <row r="18" spans="2:16" x14ac:dyDescent="0.2">
      <c r="B18" s="617"/>
      <c r="E18" s="599"/>
      <c r="F18" s="599"/>
      <c r="G18" s="787"/>
      <c r="H18" s="617"/>
      <c r="N18" s="603"/>
      <c r="O18" s="591" t="s">
        <v>2742</v>
      </c>
    </row>
    <row r="19" spans="2:16" x14ac:dyDescent="0.2">
      <c r="B19" s="617"/>
      <c r="C19" s="591" t="s">
        <v>2527</v>
      </c>
      <c r="E19" s="818" t="s">
        <v>2689</v>
      </c>
      <c r="F19" s="818" t="s">
        <v>2674</v>
      </c>
      <c r="G19" s="607">
        <v>45020</v>
      </c>
      <c r="H19" s="617"/>
      <c r="M19" s="591">
        <f>M12-B16</f>
        <v>250.00099999999998</v>
      </c>
      <c r="N19" s="603"/>
    </row>
    <row r="20" spans="2:16" x14ac:dyDescent="0.2">
      <c r="B20" s="617"/>
      <c r="E20" s="686"/>
      <c r="F20" s="686"/>
      <c r="G20" s="607">
        <v>45034</v>
      </c>
      <c r="H20" s="617" t="s">
        <v>2744</v>
      </c>
      <c r="N20" s="603"/>
    </row>
    <row r="21" spans="2:16" x14ac:dyDescent="0.2">
      <c r="B21" s="617"/>
      <c r="E21" s="783" t="s">
        <v>2686</v>
      </c>
      <c r="F21" s="784"/>
      <c r="G21" s="607">
        <v>45013</v>
      </c>
      <c r="H21" s="617"/>
      <c r="N21" s="603"/>
      <c r="O21" s="819" t="s">
        <v>2633</v>
      </c>
    </row>
    <row r="22" spans="2:16" x14ac:dyDescent="0.2">
      <c r="B22" s="617"/>
      <c r="E22" s="784"/>
      <c r="F22" s="784"/>
      <c r="G22" s="607" t="s">
        <v>2596</v>
      </c>
      <c r="H22" s="617"/>
      <c r="N22" s="603"/>
      <c r="O22" s="674" t="s">
        <v>2641</v>
      </c>
    </row>
    <row r="23" spans="2:16" x14ac:dyDescent="0.2">
      <c r="B23" s="617"/>
      <c r="E23" s="655"/>
      <c r="F23" s="655"/>
      <c r="H23" s="617"/>
      <c r="N23" s="603"/>
      <c r="O23" s="600"/>
    </row>
    <row r="24" spans="2:16" x14ac:dyDescent="0.2">
      <c r="B24" s="617"/>
      <c r="E24" s="641"/>
      <c r="F24" s="641"/>
      <c r="G24" s="658" t="s">
        <v>2644</v>
      </c>
      <c r="H24" s="656" t="s">
        <v>2638</v>
      </c>
      <c r="N24" s="603"/>
    </row>
    <row r="25" spans="2:16" x14ac:dyDescent="0.2">
      <c r="B25" s="617"/>
      <c r="E25" s="600"/>
      <c r="F25" s="600"/>
      <c r="G25" s="610">
        <v>45045</v>
      </c>
      <c r="H25" s="617"/>
      <c r="K25" s="603"/>
      <c r="L25" s="603"/>
      <c r="O25" s="601" t="s">
        <v>2598</v>
      </c>
    </row>
    <row r="26" spans="2:16" x14ac:dyDescent="0.2">
      <c r="B26" s="618"/>
      <c r="C26" s="779" t="s">
        <v>2530</v>
      </c>
      <c r="D26" s="779"/>
      <c r="E26" s="779"/>
      <c r="F26" s="779"/>
      <c r="G26" s="779"/>
      <c r="H26" s="779"/>
      <c r="I26" s="779"/>
      <c r="J26" s="779"/>
      <c r="K26" s="779"/>
      <c r="L26" s="779"/>
      <c r="M26" s="779"/>
      <c r="N26" s="779"/>
      <c r="O26" s="779"/>
      <c r="P26" s="779"/>
    </row>
    <row r="27" spans="2:16" x14ac:dyDescent="0.2">
      <c r="B27" s="617"/>
      <c r="G27" s="610">
        <v>45048</v>
      </c>
      <c r="H27" s="617" t="s">
        <v>2745</v>
      </c>
    </row>
    <row r="28" spans="2:16" x14ac:dyDescent="0.2">
      <c r="B28" s="617"/>
      <c r="C28" s="591">
        <v>9</v>
      </c>
      <c r="E28" s="819" t="s">
        <v>2634</v>
      </c>
      <c r="F28" s="819" t="s">
        <v>2643</v>
      </c>
      <c r="G28" s="610">
        <v>45048</v>
      </c>
      <c r="H28" s="617"/>
      <c r="I28" s="591">
        <v>0</v>
      </c>
      <c r="J28" s="591">
        <f>J16-25</f>
        <v>77</v>
      </c>
      <c r="K28" s="591">
        <f>J5</f>
        <v>75</v>
      </c>
      <c r="L28" s="591">
        <v>0</v>
      </c>
      <c r="M28" s="591">
        <f>ABS(SUM(I16:L16)-M19-SUM(I28:L28))</f>
        <v>135.00099999999998</v>
      </c>
      <c r="O28" s="591" t="s">
        <v>2595</v>
      </c>
    </row>
    <row r="29" spans="2:16" x14ac:dyDescent="0.2">
      <c r="B29" s="617"/>
      <c r="C29" s="591" t="s">
        <v>2527</v>
      </c>
      <c r="E29" s="674" t="s">
        <v>2594</v>
      </c>
      <c r="F29" s="674" t="s">
        <v>2642</v>
      </c>
      <c r="G29" s="610" t="s">
        <v>2597</v>
      </c>
      <c r="H29" s="617"/>
      <c r="K29" s="603"/>
      <c r="L29" s="603"/>
      <c r="M29" s="591">
        <f>M28-C28</f>
        <v>126.00099999999998</v>
      </c>
      <c r="N29" s="591" t="s">
        <v>2542</v>
      </c>
      <c r="O29" s="591" t="s">
        <v>2545</v>
      </c>
    </row>
    <row r="30" spans="2:16" x14ac:dyDescent="0.2">
      <c r="B30" s="617"/>
      <c r="E30" s="605"/>
      <c r="F30" s="674"/>
      <c r="G30" s="610">
        <v>45062</v>
      </c>
      <c r="H30" s="617" t="s">
        <v>2746</v>
      </c>
      <c r="K30" s="603"/>
      <c r="L30" s="603"/>
    </row>
    <row r="31" spans="2:16" x14ac:dyDescent="0.2">
      <c r="B31" s="617"/>
      <c r="E31" s="600"/>
      <c r="F31" s="600"/>
      <c r="G31" s="610">
        <v>45076</v>
      </c>
      <c r="H31" s="617" t="s">
        <v>2747</v>
      </c>
      <c r="K31" s="603"/>
      <c r="L31" s="603"/>
      <c r="O31" s="601"/>
    </row>
    <row r="32" spans="2:16" x14ac:dyDescent="0.2">
      <c r="B32" s="617"/>
      <c r="E32" s="600"/>
      <c r="F32" s="600"/>
      <c r="G32" s="610"/>
      <c r="H32" s="617"/>
      <c r="K32" s="603"/>
      <c r="L32" s="603"/>
      <c r="O32" s="601"/>
    </row>
    <row r="33" spans="2:18" x14ac:dyDescent="0.2">
      <c r="B33" s="617"/>
      <c r="E33" s="600"/>
      <c r="F33" s="600"/>
      <c r="G33" s="639">
        <v>45076</v>
      </c>
      <c r="H33" s="617"/>
      <c r="K33" s="603"/>
      <c r="L33" s="603"/>
      <c r="O33" s="591" t="s">
        <v>2575</v>
      </c>
      <c r="R33" s="601"/>
    </row>
    <row r="34" spans="2:18" x14ac:dyDescent="0.2">
      <c r="B34" s="617"/>
      <c r="C34" s="591">
        <f>20+1</f>
        <v>21</v>
      </c>
      <c r="D34" s="591" t="s">
        <v>2528</v>
      </c>
      <c r="E34" s="600"/>
      <c r="F34" s="600"/>
      <c r="G34" s="639">
        <v>45077</v>
      </c>
      <c r="H34" s="617"/>
      <c r="K34" s="603"/>
      <c r="L34" s="603"/>
      <c r="O34" s="591" t="s">
        <v>2539</v>
      </c>
      <c r="R34" s="601"/>
    </row>
    <row r="35" spans="2:18" x14ac:dyDescent="0.2">
      <c r="B35" s="617"/>
      <c r="E35" s="600"/>
      <c r="F35" s="600"/>
      <c r="G35" s="610">
        <v>45077</v>
      </c>
      <c r="H35" s="603">
        <v>5</v>
      </c>
      <c r="I35" s="591" t="s">
        <v>2546</v>
      </c>
      <c r="K35" s="603"/>
      <c r="L35" s="603"/>
      <c r="R35" s="601"/>
    </row>
    <row r="36" spans="2:18" x14ac:dyDescent="0.2">
      <c r="B36" s="617"/>
      <c r="E36" s="600"/>
      <c r="F36" s="600"/>
      <c r="G36" s="610">
        <v>45077</v>
      </c>
      <c r="H36" s="603">
        <v>5.2</v>
      </c>
      <c r="I36" s="591" t="s">
        <v>2547</v>
      </c>
      <c r="K36" s="603"/>
      <c r="L36" s="603"/>
      <c r="O36" s="591" t="s">
        <v>2556</v>
      </c>
      <c r="R36" s="601"/>
    </row>
    <row r="37" spans="2:18" x14ac:dyDescent="0.2">
      <c r="B37" s="617"/>
      <c r="E37" s="600"/>
      <c r="F37" s="600"/>
      <c r="G37" s="610"/>
      <c r="H37" s="603"/>
      <c r="K37" s="603"/>
      <c r="L37" s="603"/>
      <c r="R37" s="601"/>
    </row>
    <row r="38" spans="2:18" x14ac:dyDescent="0.2">
      <c r="B38" s="617"/>
      <c r="G38" s="638">
        <v>45078</v>
      </c>
      <c r="H38" s="603"/>
      <c r="K38" s="603"/>
      <c r="L38" s="603"/>
      <c r="O38" s="591" t="s">
        <v>2551</v>
      </c>
    </row>
    <row r="39" spans="2:18" x14ac:dyDescent="0.2">
      <c r="B39" s="617"/>
      <c r="C39" s="591" t="s">
        <v>2527</v>
      </c>
      <c r="E39" s="605" t="s">
        <v>2559</v>
      </c>
      <c r="F39" s="602" t="s">
        <v>1873</v>
      </c>
      <c r="G39" s="638">
        <v>45079</v>
      </c>
      <c r="H39" s="603"/>
      <c r="K39" s="603"/>
      <c r="L39" s="603"/>
      <c r="M39" s="591">
        <f>M29-C34</f>
        <v>105.00099999999998</v>
      </c>
      <c r="N39" s="591" t="s">
        <v>2543</v>
      </c>
      <c r="O39" s="591" t="s">
        <v>2599</v>
      </c>
    </row>
    <row r="40" spans="2:18" x14ac:dyDescent="0.2">
      <c r="B40" s="617"/>
      <c r="E40" s="601"/>
      <c r="F40" s="601"/>
      <c r="H40" s="603"/>
      <c r="K40" s="603"/>
      <c r="L40" s="603"/>
    </row>
    <row r="41" spans="2:18" x14ac:dyDescent="0.2">
      <c r="B41" s="617"/>
      <c r="E41" s="602"/>
      <c r="H41" s="603"/>
      <c r="K41" s="603"/>
      <c r="L41" s="603"/>
    </row>
    <row r="42" spans="2:18" x14ac:dyDescent="0.2">
      <c r="B42" s="617"/>
      <c r="E42" s="602"/>
      <c r="G42" s="610">
        <v>45104</v>
      </c>
      <c r="H42" s="603"/>
      <c r="K42" s="603"/>
      <c r="L42" s="603"/>
      <c r="O42" s="591" t="s">
        <v>2537</v>
      </c>
    </row>
    <row r="43" spans="2:18" x14ac:dyDescent="0.2">
      <c r="B43" s="617"/>
      <c r="C43" s="591">
        <f>113+1</f>
        <v>114</v>
      </c>
      <c r="D43" s="591" t="s">
        <v>2528</v>
      </c>
      <c r="G43" s="610">
        <v>45105</v>
      </c>
      <c r="H43" s="603"/>
      <c r="K43" s="603"/>
      <c r="L43" s="603"/>
      <c r="O43" s="591" t="s">
        <v>2538</v>
      </c>
    </row>
    <row r="44" spans="2:18" x14ac:dyDescent="0.2">
      <c r="B44" s="617"/>
      <c r="G44" s="610">
        <v>45107</v>
      </c>
      <c r="H44" s="603"/>
      <c r="K44" s="603"/>
      <c r="L44" s="603"/>
      <c r="O44" s="591" t="s">
        <v>2551</v>
      </c>
    </row>
    <row r="45" spans="2:18" x14ac:dyDescent="0.2">
      <c r="B45" s="617"/>
      <c r="D45" s="591">
        <v>0</v>
      </c>
      <c r="E45" s="640" t="s">
        <v>2534</v>
      </c>
      <c r="F45" s="640" t="s">
        <v>2535</v>
      </c>
      <c r="G45" s="610">
        <v>45110</v>
      </c>
      <c r="H45" s="603"/>
      <c r="K45" s="603"/>
      <c r="L45" s="603"/>
    </row>
    <row r="46" spans="2:18" x14ac:dyDescent="0.2">
      <c r="H46" s="603"/>
      <c r="K46" s="603"/>
      <c r="L46" s="603"/>
    </row>
    <row r="47" spans="2:18" x14ac:dyDescent="0.2">
      <c r="H47" s="603"/>
      <c r="K47" s="603"/>
      <c r="L47" s="603"/>
      <c r="N47" s="620">
        <v>10000</v>
      </c>
      <c r="O47" s="619" t="s">
        <v>2536</v>
      </c>
    </row>
    <row r="48" spans="2:18" x14ac:dyDescent="0.2">
      <c r="N48" s="621">
        <f>3.78%-2.5%</f>
        <v>1.2799999999999999E-2</v>
      </c>
      <c r="O48" s="619" t="s">
        <v>2533</v>
      </c>
    </row>
    <row r="49" spans="14:15" x14ac:dyDescent="0.2">
      <c r="N49" s="622">
        <f>N47*N48/12</f>
        <v>10.666666666666666</v>
      </c>
      <c r="O49" s="619" t="s">
        <v>2532</v>
      </c>
    </row>
  </sheetData>
  <mergeCells count="22">
    <mergeCell ref="N2:N3"/>
    <mergeCell ref="E14:E15"/>
    <mergeCell ref="F14:F15"/>
    <mergeCell ref="M14:M15"/>
    <mergeCell ref="N14:N15"/>
    <mergeCell ref="H14:H15"/>
    <mergeCell ref="H2:H3"/>
    <mergeCell ref="L2:L3"/>
    <mergeCell ref="I14:I15"/>
    <mergeCell ref="B2:D2"/>
    <mergeCell ref="I2:J2"/>
    <mergeCell ref="E2:E3"/>
    <mergeCell ref="F2:F3"/>
    <mergeCell ref="M2:M3"/>
    <mergeCell ref="K2:K3"/>
    <mergeCell ref="C26:P26"/>
    <mergeCell ref="C13:P13"/>
    <mergeCell ref="J14:K14"/>
    <mergeCell ref="L14:L15"/>
    <mergeCell ref="E21:F22"/>
    <mergeCell ref="B16:C16"/>
    <mergeCell ref="G16:G18"/>
  </mergeCells>
  <pageMargins left="0.25" right="0.25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"/>
  <sheetViews>
    <sheetView workbookViewId="0">
      <selection activeCell="G11" sqref="G11"/>
    </sheetView>
  </sheetViews>
  <sheetFormatPr defaultRowHeight="12.75" x14ac:dyDescent="0.2"/>
  <cols>
    <col min="1" max="1" width="2" bestFit="1" customWidth="1"/>
  </cols>
  <sheetData>
    <row r="2" spans="1:2" x14ac:dyDescent="0.2">
      <c r="A2">
        <v>1</v>
      </c>
      <c r="B2" t="s">
        <v>1047</v>
      </c>
    </row>
    <row r="3" spans="1:2" x14ac:dyDescent="0.2">
      <c r="A3">
        <v>2</v>
      </c>
      <c r="B3" t="s">
        <v>1039</v>
      </c>
    </row>
    <row r="4" spans="1:2" x14ac:dyDescent="0.2">
      <c r="A4">
        <v>3</v>
      </c>
      <c r="B4" t="s">
        <v>1040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3"/>
  <sheetViews>
    <sheetView workbookViewId="0">
      <selection activeCell="C19" sqref="C19"/>
    </sheetView>
  </sheetViews>
  <sheetFormatPr defaultColWidth="9.140625" defaultRowHeight="15" x14ac:dyDescent="0.25"/>
  <cols>
    <col min="1" max="1" width="1.7109375" style="380" customWidth="1"/>
    <col min="2" max="2" width="26.85546875" style="380" bestFit="1" customWidth="1"/>
    <col min="3" max="3" width="17.85546875" style="391" bestFit="1" customWidth="1"/>
    <col min="4" max="4" width="10" style="380" bestFit="1" customWidth="1"/>
    <col min="5" max="16384" width="9.140625" style="380"/>
  </cols>
  <sheetData>
    <row r="2" spans="2:5" x14ac:dyDescent="0.25">
      <c r="B2" s="380" t="s">
        <v>1892</v>
      </c>
    </row>
    <row r="3" spans="2:5" x14ac:dyDescent="0.25">
      <c r="B3" s="380" t="s">
        <v>1891</v>
      </c>
      <c r="C3" s="797" t="s">
        <v>1904</v>
      </c>
      <c r="D3" s="797"/>
    </row>
    <row r="4" spans="2:5" x14ac:dyDescent="0.25">
      <c r="B4" s="380" t="s">
        <v>1888</v>
      </c>
      <c r="D4" s="393">
        <v>64</v>
      </c>
    </row>
    <row r="5" spans="2:5" x14ac:dyDescent="0.25">
      <c r="B5" s="380" t="s">
        <v>1887</v>
      </c>
      <c r="D5" s="393">
        <v>1000</v>
      </c>
    </row>
    <row r="6" spans="2:5" x14ac:dyDescent="0.25">
      <c r="B6" s="381" t="s">
        <v>1886</v>
      </c>
      <c r="C6" s="392"/>
      <c r="D6" s="383">
        <v>70000</v>
      </c>
      <c r="E6" s="380" t="s">
        <v>1907</v>
      </c>
    </row>
    <row r="7" spans="2:5" x14ac:dyDescent="0.25">
      <c r="B7" s="380" t="s">
        <v>1919</v>
      </c>
      <c r="C7" s="391">
        <f>SUM(D4:D6)</f>
        <v>71064</v>
      </c>
      <c r="D7" s="393"/>
    </row>
    <row r="8" spans="2:5" x14ac:dyDescent="0.25">
      <c r="B8" s="380" t="s">
        <v>1916</v>
      </c>
      <c r="C8" s="391" t="s">
        <v>433</v>
      </c>
      <c r="D8" s="393">
        <v>13000</v>
      </c>
    </row>
    <row r="9" spans="2:5" x14ac:dyDescent="0.25">
      <c r="B9" s="381" t="s">
        <v>1889</v>
      </c>
      <c r="C9" s="392" t="s">
        <v>433</v>
      </c>
      <c r="D9" s="383">
        <v>6000</v>
      </c>
    </row>
    <row r="10" spans="2:5" x14ac:dyDescent="0.25">
      <c r="B10" s="380" t="s">
        <v>1953</v>
      </c>
      <c r="D10" s="393">
        <f>SUM(D4:D9)</f>
        <v>90064</v>
      </c>
      <c r="E10" s="380" t="s">
        <v>1940</v>
      </c>
    </row>
    <row r="12" spans="2:5" x14ac:dyDescent="0.25">
      <c r="B12" s="380" t="s">
        <v>1890</v>
      </c>
      <c r="C12" s="391" t="s">
        <v>1904</v>
      </c>
    </row>
    <row r="13" spans="2:5" x14ac:dyDescent="0.25">
      <c r="B13" s="380" t="s">
        <v>1885</v>
      </c>
      <c r="C13" s="391" t="s">
        <v>1904</v>
      </c>
    </row>
    <row r="14" spans="2:5" x14ac:dyDescent="0.25">
      <c r="B14" s="380" t="s">
        <v>1884</v>
      </c>
      <c r="C14" s="391" t="s">
        <v>1904</v>
      </c>
    </row>
    <row r="15" spans="2:5" x14ac:dyDescent="0.25">
      <c r="B15" s="380" t="s">
        <v>1883</v>
      </c>
      <c r="C15" s="391">
        <v>510000</v>
      </c>
      <c r="D15" s="391"/>
    </row>
    <row r="16" spans="2:5" x14ac:dyDescent="0.25">
      <c r="B16" s="380" t="s">
        <v>1925</v>
      </c>
      <c r="C16" s="391">
        <v>38000</v>
      </c>
    </row>
    <row r="19" spans="2:3" x14ac:dyDescent="0.25">
      <c r="B19" s="380" t="s">
        <v>2059</v>
      </c>
      <c r="C19" s="391">
        <f>SUM(C7:C17)</f>
        <v>619064</v>
      </c>
    </row>
    <row r="22" spans="2:3" ht="28.5" x14ac:dyDescent="0.45">
      <c r="B22" s="397" t="s">
        <v>1956</v>
      </c>
    </row>
    <row r="23" spans="2:3" x14ac:dyDescent="0.25">
      <c r="B23" s="380" t="s">
        <v>1955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B38"/>
  <sheetViews>
    <sheetView zoomScale="96" zoomScaleNormal="100" workbookViewId="0">
      <selection activeCell="E20" sqref="E20"/>
    </sheetView>
  </sheetViews>
  <sheetFormatPr defaultColWidth="9.140625" defaultRowHeight="15.75" x14ac:dyDescent="0.25"/>
  <cols>
    <col min="1" max="1" width="1.140625" style="368" customWidth="1"/>
    <col min="2" max="2" width="4.140625" style="438" customWidth="1"/>
    <col min="3" max="3" width="4.85546875" style="438" customWidth="1"/>
    <col min="4" max="4" width="4.5703125" style="368" bestFit="1" customWidth="1"/>
    <col min="5" max="5" width="7.85546875" style="368" bestFit="1" customWidth="1"/>
    <col min="6" max="6" width="4.7109375" style="438" bestFit="1" customWidth="1"/>
    <col min="7" max="7" width="5.5703125" style="438" bestFit="1" customWidth="1"/>
    <col min="8" max="8" width="8.28515625" style="384" bestFit="1" customWidth="1"/>
    <col min="9" max="10" width="6.7109375" style="369" bestFit="1" customWidth="1"/>
    <col min="11" max="11" width="1.85546875" style="369" customWidth="1"/>
    <col min="12" max="13" width="4.5703125" style="368" bestFit="1" customWidth="1"/>
    <col min="14" max="14" width="8" style="438" bestFit="1" customWidth="1"/>
    <col min="15" max="15" width="6.140625" style="368" bestFit="1" customWidth="1"/>
    <col min="16" max="16" width="0.7109375" style="438" customWidth="1"/>
    <col min="17" max="17" width="11.5703125" style="438" customWidth="1"/>
    <col min="18" max="18" width="5.140625" style="368" bestFit="1" customWidth="1"/>
    <col min="19" max="19" width="14" style="368" customWidth="1"/>
    <col min="20" max="20" width="7.85546875" style="368" bestFit="1" customWidth="1"/>
    <col min="21" max="21" width="6.85546875" style="368" customWidth="1"/>
    <col min="22" max="22" width="6.140625" style="368" customWidth="1"/>
    <col min="23" max="23" width="7.7109375" style="368" bestFit="1" customWidth="1"/>
    <col min="24" max="24" width="6.140625" style="368" customWidth="1"/>
    <col min="25" max="25" width="9.140625" style="368"/>
    <col min="26" max="26" width="6.140625" style="368" customWidth="1"/>
    <col min="27" max="16384" width="9.140625" style="368"/>
  </cols>
  <sheetData>
    <row r="1" spans="2:28" ht="5.25" customHeight="1" x14ac:dyDescent="0.25">
      <c r="L1" s="369"/>
    </row>
    <row r="2" spans="2:28" ht="15.75" customHeight="1" x14ac:dyDescent="0.25">
      <c r="B2" s="800" t="s">
        <v>2087</v>
      </c>
      <c r="C2" s="800"/>
      <c r="D2" s="801" t="s">
        <v>1882</v>
      </c>
      <c r="E2" s="801"/>
      <c r="F2" s="512"/>
      <c r="G2" s="512"/>
      <c r="H2" s="385"/>
      <c r="I2" s="804" t="s">
        <v>2278</v>
      </c>
      <c r="J2" s="805"/>
      <c r="K2" s="805"/>
      <c r="L2" s="805"/>
      <c r="M2" s="805"/>
      <c r="N2" s="805"/>
      <c r="O2" s="806"/>
      <c r="P2" s="466"/>
      <c r="Q2" s="807" t="s">
        <v>2314</v>
      </c>
      <c r="R2" s="450"/>
    </row>
    <row r="3" spans="2:28" s="438" customFormat="1" ht="15.75" customHeight="1" x14ac:dyDescent="0.25">
      <c r="B3" s="445"/>
      <c r="C3" s="451"/>
      <c r="D3" s="439"/>
      <c r="E3" s="439"/>
      <c r="F3" s="812" t="s">
        <v>2309</v>
      </c>
      <c r="G3" s="813"/>
      <c r="H3" s="385"/>
      <c r="I3" s="449"/>
      <c r="J3" s="513"/>
      <c r="K3" s="809" t="s">
        <v>2451</v>
      </c>
      <c r="L3" s="810"/>
      <c r="M3" s="811"/>
      <c r="N3" s="518"/>
      <c r="O3" s="446"/>
      <c r="P3" s="510"/>
      <c r="Q3" s="808"/>
      <c r="R3" s="379"/>
    </row>
    <row r="4" spans="2:28" ht="31.5" x14ac:dyDescent="0.25">
      <c r="B4" s="438" t="s">
        <v>2086</v>
      </c>
      <c r="C4" s="438" t="s">
        <v>2085</v>
      </c>
      <c r="D4" s="377" t="s">
        <v>1881</v>
      </c>
      <c r="E4" s="561" t="s">
        <v>2501</v>
      </c>
      <c r="F4" s="562" t="s">
        <v>2441</v>
      </c>
      <c r="G4" s="563" t="s">
        <v>2442</v>
      </c>
      <c r="H4" s="386" t="s">
        <v>466</v>
      </c>
      <c r="I4" s="447" t="s">
        <v>1879</v>
      </c>
      <c r="J4" s="448" t="s">
        <v>2296</v>
      </c>
      <c r="K4" s="447"/>
      <c r="L4" s="448" t="s">
        <v>1880</v>
      </c>
      <c r="M4" s="447" t="s">
        <v>2219</v>
      </c>
      <c r="N4" s="447" t="s">
        <v>2284</v>
      </c>
      <c r="O4" s="382"/>
      <c r="P4" s="467"/>
      <c r="Q4" s="442"/>
      <c r="R4" s="378" t="s">
        <v>1878</v>
      </c>
    </row>
    <row r="5" spans="2:28" s="409" customFormat="1" ht="13.5" customHeight="1" x14ac:dyDescent="0.25">
      <c r="B5" s="484">
        <v>16</v>
      </c>
      <c r="C5" s="484">
        <v>16</v>
      </c>
      <c r="D5" s="491">
        <v>39</v>
      </c>
      <c r="E5" s="491">
        <v>132</v>
      </c>
      <c r="F5" s="491"/>
      <c r="G5" s="491"/>
      <c r="H5" s="492">
        <v>44593</v>
      </c>
      <c r="I5" s="494">
        <v>38</v>
      </c>
      <c r="J5" s="494">
        <v>0</v>
      </c>
      <c r="K5" s="494"/>
      <c r="L5" s="494">
        <v>0</v>
      </c>
      <c r="M5" s="494">
        <v>78</v>
      </c>
      <c r="N5" s="494" t="s">
        <v>2285</v>
      </c>
      <c r="O5" s="495">
        <v>186</v>
      </c>
      <c r="P5" s="495"/>
      <c r="Q5" s="491"/>
      <c r="R5" s="491"/>
      <c r="S5" s="484"/>
      <c r="T5" s="484"/>
      <c r="U5" s="484"/>
      <c r="V5" s="484"/>
      <c r="W5" s="484"/>
      <c r="X5" s="484"/>
      <c r="Y5" s="484"/>
    </row>
    <row r="6" spans="2:28" s="409" customFormat="1" ht="13.5" customHeight="1" x14ac:dyDescent="0.25">
      <c r="B6" s="484">
        <v>16</v>
      </c>
      <c r="C6" s="484">
        <v>16</v>
      </c>
      <c r="D6" s="491">
        <v>39</v>
      </c>
      <c r="E6" s="491">
        <v>121</v>
      </c>
      <c r="F6" s="491"/>
      <c r="G6" s="491"/>
      <c r="H6" s="492">
        <v>44621</v>
      </c>
      <c r="I6" s="494">
        <v>38</v>
      </c>
      <c r="J6" s="494">
        <v>0</v>
      </c>
      <c r="K6" s="494"/>
      <c r="L6" s="494">
        <v>0</v>
      </c>
      <c r="M6" s="496">
        <v>79</v>
      </c>
      <c r="N6" s="496" t="s">
        <v>2286</v>
      </c>
      <c r="O6" s="495">
        <v>206</v>
      </c>
      <c r="P6" s="495"/>
      <c r="Q6" s="491"/>
      <c r="R6" s="491"/>
      <c r="S6" s="497" t="s">
        <v>2084</v>
      </c>
      <c r="T6" s="484"/>
      <c r="U6" s="484">
        <v>20.010000000000002</v>
      </c>
      <c r="V6" s="484"/>
      <c r="W6" s="484"/>
      <c r="X6" s="484"/>
      <c r="Y6" s="484"/>
    </row>
    <row r="7" spans="2:28" s="409" customFormat="1" ht="13.5" customHeight="1" x14ac:dyDescent="0.25">
      <c r="B7" s="484">
        <v>16</v>
      </c>
      <c r="C7" s="484">
        <v>16</v>
      </c>
      <c r="D7" s="491">
        <v>39</v>
      </c>
      <c r="E7" s="491">
        <v>123</v>
      </c>
      <c r="F7" s="491"/>
      <c r="G7" s="491"/>
      <c r="H7" s="492">
        <v>44652</v>
      </c>
      <c r="I7" s="493">
        <v>38</v>
      </c>
      <c r="J7" s="494">
        <v>0</v>
      </c>
      <c r="K7" s="494"/>
      <c r="L7" s="494">
        <v>0</v>
      </c>
      <c r="M7" s="493"/>
      <c r="N7" s="493"/>
      <c r="O7" s="491">
        <v>215</v>
      </c>
      <c r="P7" s="491"/>
      <c r="Q7" s="491"/>
      <c r="R7" s="491"/>
      <c r="S7" s="498"/>
      <c r="T7" s="499"/>
      <c r="U7" s="484"/>
      <c r="V7" s="484"/>
      <c r="W7" s="484"/>
      <c r="X7" s="484"/>
      <c r="Y7" s="484"/>
    </row>
    <row r="8" spans="2:28" s="409" customFormat="1" ht="13.5" customHeight="1" x14ac:dyDescent="0.25">
      <c r="B8" s="484"/>
      <c r="C8" s="484"/>
      <c r="D8" s="500"/>
      <c r="E8" s="500"/>
      <c r="F8" s="500"/>
      <c r="G8" s="500"/>
      <c r="H8" s="501"/>
      <c r="I8" s="502"/>
      <c r="J8" s="494">
        <v>0</v>
      </c>
      <c r="K8" s="494"/>
      <c r="L8" s="494">
        <v>0</v>
      </c>
      <c r="M8" s="502"/>
      <c r="N8" s="502" t="s">
        <v>2279</v>
      </c>
      <c r="O8" s="500"/>
      <c r="P8" s="500"/>
      <c r="Q8" s="503"/>
      <c r="R8" s="503"/>
      <c r="S8" s="802" t="s">
        <v>1877</v>
      </c>
      <c r="T8" s="490">
        <v>500</v>
      </c>
      <c r="U8" s="490">
        <f>X8+Y8-T8-V8</f>
        <v>84.25</v>
      </c>
      <c r="V8" s="504">
        <v>160.75</v>
      </c>
      <c r="W8" s="490" t="s">
        <v>990</v>
      </c>
      <c r="X8" s="490">
        <v>750</v>
      </c>
      <c r="Y8" s="490">
        <v>-5</v>
      </c>
    </row>
    <row r="9" spans="2:28" s="409" customFormat="1" ht="13.5" customHeight="1" x14ac:dyDescent="0.25">
      <c r="B9" s="484"/>
      <c r="C9" s="484"/>
      <c r="D9" s="500">
        <v>0</v>
      </c>
      <c r="E9" s="500">
        <v>1</v>
      </c>
      <c r="F9" s="500"/>
      <c r="G9" s="500"/>
      <c r="H9" s="505">
        <v>44682</v>
      </c>
      <c r="I9" s="502">
        <v>38</v>
      </c>
      <c r="J9" s="494">
        <v>0</v>
      </c>
      <c r="K9" s="494"/>
      <c r="L9" s="494">
        <v>0</v>
      </c>
      <c r="M9" s="502">
        <v>82</v>
      </c>
      <c r="N9" s="502" t="s">
        <v>2280</v>
      </c>
      <c r="O9" s="500">
        <v>139</v>
      </c>
      <c r="P9" s="500"/>
      <c r="Q9" s="500"/>
      <c r="R9" s="500">
        <f>-ABS(T8)</f>
        <v>-500</v>
      </c>
      <c r="S9" s="802"/>
      <c r="T9" s="489" t="s">
        <v>1876</v>
      </c>
      <c r="U9" s="489" t="s">
        <v>515</v>
      </c>
      <c r="V9" s="490" t="s">
        <v>1873</v>
      </c>
      <c r="W9" s="489"/>
      <c r="X9" s="489" t="s">
        <v>1875</v>
      </c>
      <c r="Y9" s="490" t="s">
        <v>1929</v>
      </c>
    </row>
    <row r="10" spans="2:28" s="409" customFormat="1" ht="13.5" customHeight="1" x14ac:dyDescent="0.25">
      <c r="B10" s="484"/>
      <c r="C10" s="484"/>
      <c r="D10" s="485"/>
      <c r="E10" s="485">
        <v>2</v>
      </c>
      <c r="F10" s="485"/>
      <c r="G10" s="485"/>
      <c r="H10" s="486">
        <v>44713</v>
      </c>
      <c r="I10" s="487">
        <v>38</v>
      </c>
      <c r="J10" s="494">
        <v>0</v>
      </c>
      <c r="K10" s="494"/>
      <c r="L10" s="494">
        <v>0</v>
      </c>
      <c r="M10" s="487">
        <v>82</v>
      </c>
      <c r="N10" s="487"/>
      <c r="O10" s="485">
        <v>156</v>
      </c>
      <c r="P10" s="485"/>
      <c r="Q10" s="485"/>
      <c r="R10" s="485"/>
      <c r="S10" s="484"/>
      <c r="T10" s="489"/>
      <c r="U10" s="489"/>
      <c r="V10" s="490"/>
      <c r="W10" s="489"/>
      <c r="X10" s="489"/>
      <c r="Y10" s="490"/>
      <c r="Z10" s="415"/>
    </row>
    <row r="11" spans="2:28" s="409" customFormat="1" ht="13.5" customHeight="1" x14ac:dyDescent="0.25">
      <c r="B11" s="484">
        <v>16</v>
      </c>
      <c r="C11" s="484">
        <v>17</v>
      </c>
      <c r="D11" s="485">
        <v>0</v>
      </c>
      <c r="E11" s="485"/>
      <c r="F11" s="485"/>
      <c r="G11" s="485"/>
      <c r="H11" s="486">
        <v>44743</v>
      </c>
      <c r="I11" s="487">
        <v>38</v>
      </c>
      <c r="J11" s="494">
        <v>0</v>
      </c>
      <c r="K11" s="494"/>
      <c r="L11" s="494">
        <v>0</v>
      </c>
      <c r="M11" s="487">
        <v>82</v>
      </c>
      <c r="N11" s="487" t="s">
        <v>2281</v>
      </c>
      <c r="O11" s="485">
        <v>141</v>
      </c>
      <c r="P11" s="485"/>
      <c r="Q11" s="485"/>
      <c r="R11" s="485">
        <v>498</v>
      </c>
      <c r="S11" s="506" t="s">
        <v>2224</v>
      </c>
      <c r="T11" s="489"/>
      <c r="U11" s="489"/>
      <c r="V11" s="490"/>
      <c r="W11" s="489"/>
      <c r="X11" s="489"/>
      <c r="Y11" s="490"/>
      <c r="Z11" s="415"/>
    </row>
    <row r="12" spans="2:28" s="409" customFormat="1" ht="13.5" customHeight="1" x14ac:dyDescent="0.25">
      <c r="B12" s="484"/>
      <c r="C12" s="484"/>
      <c r="D12" s="485"/>
      <c r="E12" s="485"/>
      <c r="F12" s="485"/>
      <c r="G12" s="485"/>
      <c r="H12" s="486">
        <v>44774</v>
      </c>
      <c r="I12" s="487">
        <v>38</v>
      </c>
      <c r="J12" s="487">
        <v>0</v>
      </c>
      <c r="K12" s="494"/>
      <c r="L12" s="494">
        <v>0</v>
      </c>
      <c r="M12" s="487">
        <v>77</v>
      </c>
      <c r="N12" s="487" t="s">
        <v>2282</v>
      </c>
      <c r="O12" s="485">
        <v>142</v>
      </c>
      <c r="P12" s="485"/>
      <c r="Q12" s="485"/>
      <c r="R12" s="485"/>
      <c r="S12" s="488"/>
      <c r="T12" s="489"/>
      <c r="U12" s="489"/>
      <c r="V12" s="490"/>
      <c r="W12" s="489"/>
      <c r="X12" s="489"/>
      <c r="Y12" s="490"/>
      <c r="Z12" s="415"/>
    </row>
    <row r="13" spans="2:28" s="490" customFormat="1" x14ac:dyDescent="0.25">
      <c r="D13" s="500"/>
      <c r="E13" s="500"/>
      <c r="F13" s="500"/>
      <c r="G13" s="500"/>
      <c r="H13" s="505"/>
      <c r="I13" s="502"/>
      <c r="J13" s="502"/>
      <c r="K13" s="502"/>
      <c r="L13" s="502"/>
      <c r="M13" s="502"/>
      <c r="N13" s="502"/>
      <c r="O13" s="500"/>
      <c r="P13" s="500"/>
      <c r="Q13" s="500"/>
      <c r="R13" s="500"/>
      <c r="S13" s="803" t="s">
        <v>1874</v>
      </c>
      <c r="T13" s="490">
        <f>685-5</f>
        <v>680</v>
      </c>
      <c r="U13" s="507">
        <v>-7.3</v>
      </c>
      <c r="V13" s="490" t="s">
        <v>990</v>
      </c>
      <c r="W13" s="490">
        <f>SUM(T13:U13)</f>
        <v>672.7</v>
      </c>
    </row>
    <row r="14" spans="2:28" s="490" customFormat="1" x14ac:dyDescent="0.25">
      <c r="D14" s="500">
        <v>0</v>
      </c>
      <c r="E14" s="500">
        <v>7</v>
      </c>
      <c r="F14" s="500"/>
      <c r="G14" s="500"/>
      <c r="H14" s="505">
        <v>44825</v>
      </c>
      <c r="I14" s="502">
        <v>38</v>
      </c>
      <c r="J14" s="502">
        <v>80</v>
      </c>
      <c r="K14" s="508"/>
      <c r="L14" s="502">
        <v>0</v>
      </c>
      <c r="M14" s="508">
        <v>70</v>
      </c>
      <c r="N14" s="508"/>
      <c r="O14" s="508">
        <v>787</v>
      </c>
      <c r="P14" s="509"/>
      <c r="Q14" s="500"/>
      <c r="R14" s="500">
        <v>492</v>
      </c>
      <c r="S14" s="803"/>
      <c r="T14" s="489" t="s">
        <v>2231</v>
      </c>
      <c r="U14" s="489" t="s">
        <v>2230</v>
      </c>
      <c r="V14" s="489"/>
      <c r="W14" s="504" t="s">
        <v>1872</v>
      </c>
    </row>
    <row r="15" spans="2:28" s="484" customFormat="1" x14ac:dyDescent="0.25">
      <c r="B15" s="484">
        <v>16</v>
      </c>
      <c r="C15" s="484">
        <v>17</v>
      </c>
      <c r="D15" s="491">
        <v>38</v>
      </c>
      <c r="E15" s="491">
        <v>149</v>
      </c>
      <c r="F15" s="491"/>
      <c r="G15" s="491"/>
      <c r="H15" s="519">
        <v>44830</v>
      </c>
      <c r="I15" s="493">
        <v>38</v>
      </c>
      <c r="J15" s="493">
        <v>320</v>
      </c>
      <c r="K15" s="517"/>
      <c r="L15" s="493">
        <v>150</v>
      </c>
      <c r="M15" s="517">
        <v>70</v>
      </c>
      <c r="N15" s="517"/>
      <c r="O15" s="517">
        <v>607</v>
      </c>
      <c r="P15" s="516"/>
      <c r="Q15" s="517">
        <f>D15+E15+K15+J15</f>
        <v>507</v>
      </c>
      <c r="R15" s="491">
        <v>492</v>
      </c>
      <c r="S15" s="498" t="s">
        <v>2216</v>
      </c>
      <c r="T15" s="499">
        <f>U6+V8-(39-38)+0.6</f>
        <v>180.35999999999999</v>
      </c>
      <c r="U15" s="520" t="s">
        <v>2254</v>
      </c>
      <c r="X15" s="499"/>
      <c r="Y15" s="499"/>
      <c r="Z15" s="499"/>
      <c r="AA15" s="499"/>
      <c r="AB15" s="499"/>
    </row>
    <row r="16" spans="2:28" s="484" customFormat="1" x14ac:dyDescent="0.25">
      <c r="B16" s="484">
        <v>16</v>
      </c>
      <c r="C16" s="484">
        <v>17</v>
      </c>
      <c r="D16" s="491">
        <v>38</v>
      </c>
      <c r="E16" s="500">
        <v>151</v>
      </c>
      <c r="F16" s="500"/>
      <c r="G16" s="491"/>
      <c r="H16" s="519">
        <v>44866</v>
      </c>
      <c r="I16" s="493">
        <v>38</v>
      </c>
      <c r="J16" s="493"/>
      <c r="K16" s="517"/>
      <c r="L16" s="493"/>
      <c r="M16" s="517"/>
      <c r="N16" s="517"/>
      <c r="O16" s="517"/>
      <c r="P16" s="516"/>
      <c r="Q16" s="517"/>
      <c r="R16" s="491"/>
      <c r="S16" s="498"/>
      <c r="T16" s="499"/>
      <c r="U16" s="520"/>
      <c r="X16" s="499"/>
      <c r="Y16" s="499"/>
      <c r="Z16" s="499"/>
      <c r="AA16" s="499"/>
      <c r="AB16" s="499"/>
    </row>
    <row r="17" spans="2:28" s="484" customFormat="1" x14ac:dyDescent="0.25">
      <c r="B17" s="484">
        <v>16</v>
      </c>
      <c r="C17" s="484">
        <v>17</v>
      </c>
      <c r="D17" s="491">
        <v>38</v>
      </c>
      <c r="E17" s="491">
        <f>133+20</f>
        <v>153</v>
      </c>
      <c r="F17" s="491">
        <v>176</v>
      </c>
      <c r="G17" s="491">
        <v>24.5</v>
      </c>
      <c r="H17" s="519">
        <v>44897</v>
      </c>
      <c r="I17" s="493">
        <v>38</v>
      </c>
      <c r="J17" s="493">
        <v>65</v>
      </c>
      <c r="K17" s="517"/>
      <c r="L17" s="493">
        <v>225</v>
      </c>
      <c r="M17" s="517">
        <v>70</v>
      </c>
      <c r="N17" s="517"/>
      <c r="O17" s="517">
        <v>619</v>
      </c>
      <c r="P17" s="516"/>
      <c r="Q17" s="517">
        <f>SUM(D17:G17)+J17+L17</f>
        <v>681.5</v>
      </c>
      <c r="R17" s="491"/>
      <c r="S17" s="498"/>
      <c r="T17" s="499"/>
      <c r="U17" s="520"/>
      <c r="X17" s="499"/>
      <c r="Y17" s="499"/>
      <c r="Z17" s="499"/>
      <c r="AA17" s="499"/>
      <c r="AB17" s="499"/>
    </row>
    <row r="18" spans="2:28" s="521" customFormat="1" x14ac:dyDescent="0.25">
      <c r="D18" s="522"/>
      <c r="E18" s="522"/>
      <c r="F18" s="522"/>
      <c r="G18" s="522"/>
      <c r="H18" s="523"/>
      <c r="I18" s="524"/>
      <c r="J18" s="524"/>
      <c r="K18" s="525"/>
      <c r="L18" s="524"/>
      <c r="M18" s="525"/>
      <c r="N18" s="525"/>
      <c r="O18" s="525"/>
      <c r="P18" s="526"/>
      <c r="Q18" s="525"/>
      <c r="R18" s="522"/>
      <c r="S18" s="527"/>
      <c r="T18" s="528"/>
      <c r="U18" s="529"/>
      <c r="X18" s="528"/>
      <c r="Y18" s="528"/>
      <c r="Z18" s="528"/>
      <c r="AA18" s="528"/>
      <c r="AB18" s="528"/>
    </row>
    <row r="19" spans="2:28" s="484" customFormat="1" x14ac:dyDescent="0.25">
      <c r="B19" s="484">
        <v>16</v>
      </c>
      <c r="C19" s="484">
        <v>18</v>
      </c>
      <c r="D19" s="491">
        <v>38</v>
      </c>
      <c r="E19" s="500">
        <f>29+(20+113)</f>
        <v>162</v>
      </c>
      <c r="F19" s="491">
        <v>176</v>
      </c>
      <c r="G19" s="491">
        <v>24.5</v>
      </c>
      <c r="H19" s="519">
        <v>44927</v>
      </c>
      <c r="I19" s="493">
        <v>38</v>
      </c>
      <c r="J19" s="493">
        <v>65</v>
      </c>
      <c r="K19" s="517"/>
      <c r="L19" s="493">
        <v>225</v>
      </c>
      <c r="M19" s="517">
        <v>70</v>
      </c>
      <c r="N19" s="517"/>
      <c r="O19" s="517"/>
      <c r="P19" s="516"/>
      <c r="Q19" s="517"/>
      <c r="R19" s="491"/>
      <c r="S19" s="498"/>
      <c r="T19" s="499"/>
      <c r="U19" s="520"/>
      <c r="X19" s="499"/>
      <c r="Y19" s="499"/>
      <c r="Z19" s="499"/>
      <c r="AA19" s="499"/>
      <c r="AB19" s="499"/>
    </row>
    <row r="20" spans="2:28" x14ac:dyDescent="0.25">
      <c r="B20" s="497">
        <v>15</v>
      </c>
      <c r="C20" s="637">
        <v>18</v>
      </c>
      <c r="D20" s="491">
        <v>38</v>
      </c>
      <c r="E20" s="500">
        <f>29+(20+113)</f>
        <v>162</v>
      </c>
      <c r="F20" s="491">
        <v>176</v>
      </c>
      <c r="G20" s="491">
        <v>24.5</v>
      </c>
      <c r="H20" s="519">
        <v>44946</v>
      </c>
      <c r="I20" s="493">
        <v>38</v>
      </c>
      <c r="J20" s="493">
        <v>65</v>
      </c>
      <c r="K20" s="493"/>
      <c r="L20" s="493"/>
      <c r="M20" s="493"/>
      <c r="N20" s="493"/>
      <c r="O20" s="491"/>
      <c r="P20" s="491"/>
      <c r="Q20" s="491"/>
      <c r="R20" s="491"/>
      <c r="S20" s="437"/>
      <c r="T20" s="437"/>
    </row>
    <row r="21" spans="2:28" s="438" customFormat="1" x14ac:dyDescent="0.25">
      <c r="B21" s="441"/>
      <c r="C21" s="461"/>
      <c r="D21" s="372"/>
      <c r="E21" s="372"/>
      <c r="F21" s="372"/>
      <c r="G21" s="372"/>
      <c r="H21" s="387" t="s">
        <v>2289</v>
      </c>
      <c r="I21" s="373"/>
      <c r="J21" s="373"/>
      <c r="K21" s="469"/>
      <c r="L21" s="469"/>
      <c r="M21" s="373"/>
      <c r="N21" s="373"/>
      <c r="O21" s="429">
        <f>O15-U21</f>
        <v>594</v>
      </c>
      <c r="P21" s="372"/>
      <c r="Q21" s="372"/>
      <c r="R21" s="372"/>
      <c r="S21" s="437"/>
      <c r="T21" s="376" t="s">
        <v>2236</v>
      </c>
      <c r="U21" s="437">
        <v>13</v>
      </c>
    </row>
    <row r="22" spans="2:28" s="427" customFormat="1" x14ac:dyDescent="0.25">
      <c r="B22" s="465">
        <f>B15+0.27*U22</f>
        <v>26.26</v>
      </c>
      <c r="C22" s="462">
        <f>C15+0.22*U22</f>
        <v>25.36</v>
      </c>
      <c r="D22" s="372">
        <f>D15+0.51*U22</f>
        <v>57.379999999999995</v>
      </c>
      <c r="E22" s="372">
        <v>150</v>
      </c>
      <c r="F22" s="372"/>
      <c r="G22" s="372"/>
      <c r="H22" s="387">
        <v>44863</v>
      </c>
      <c r="I22" s="373"/>
      <c r="J22" s="443">
        <f>J17</f>
        <v>65</v>
      </c>
      <c r="K22" s="511"/>
      <c r="L22" s="444"/>
      <c r="M22" s="440"/>
      <c r="N22" s="440"/>
      <c r="O22" s="429">
        <f>O21-U22</f>
        <v>556</v>
      </c>
      <c r="P22" s="429"/>
      <c r="Q22" s="440">
        <f>D22+E22+G22+J22+K22</f>
        <v>272.38</v>
      </c>
      <c r="R22" s="372">
        <v>490</v>
      </c>
      <c r="T22" s="430" t="s">
        <v>2229</v>
      </c>
      <c r="U22" s="437">
        <v>38</v>
      </c>
      <c r="W22" s="428"/>
      <c r="X22" s="428"/>
      <c r="Y22" s="428"/>
      <c r="Z22" s="428"/>
      <c r="AA22" s="428"/>
      <c r="AB22" s="428"/>
    </row>
    <row r="23" spans="2:28" s="438" customFormat="1" x14ac:dyDescent="0.25">
      <c r="B23" s="465">
        <f>B22+0.27*U23</f>
        <v>36.520000000000003</v>
      </c>
      <c r="C23" s="463">
        <f>C22+0.22*U23</f>
        <v>33.72</v>
      </c>
      <c r="D23" s="372">
        <f>D22+0.51*U23</f>
        <v>76.759999999999991</v>
      </c>
      <c r="E23" s="372">
        <f>E22+4</f>
        <v>154</v>
      </c>
      <c r="F23" s="372"/>
      <c r="G23" s="372"/>
      <c r="H23" s="458">
        <v>44955</v>
      </c>
      <c r="I23" s="373"/>
      <c r="J23" s="443">
        <f>J22</f>
        <v>65</v>
      </c>
      <c r="K23" s="511"/>
      <c r="L23" s="444"/>
      <c r="M23" s="440"/>
      <c r="N23" s="440"/>
      <c r="O23" s="429" t="s">
        <v>2223</v>
      </c>
      <c r="P23" s="429"/>
      <c r="Q23" s="440">
        <f>D23+E23+G23+J23+K23</f>
        <v>295.76</v>
      </c>
      <c r="R23" s="372">
        <v>486</v>
      </c>
      <c r="T23" s="430" t="s">
        <v>2228</v>
      </c>
      <c r="U23" s="437">
        <v>38</v>
      </c>
      <c r="V23" s="468" t="s">
        <v>2226</v>
      </c>
      <c r="W23" s="437"/>
      <c r="X23" s="437"/>
      <c r="Y23" s="437"/>
      <c r="Z23" s="437"/>
      <c r="AA23" s="437"/>
      <c r="AB23" s="437"/>
    </row>
    <row r="24" spans="2:28" s="438" customFormat="1" x14ac:dyDescent="0.25">
      <c r="B24" s="465"/>
      <c r="C24" s="463"/>
      <c r="D24" s="372"/>
      <c r="E24" s="372"/>
      <c r="F24" s="372"/>
      <c r="G24" s="372"/>
      <c r="H24" s="387"/>
      <c r="I24" s="373"/>
      <c r="J24" s="443"/>
      <c r="K24" s="444"/>
      <c r="L24" s="444"/>
      <c r="M24" s="440"/>
      <c r="N24" s="440"/>
      <c r="O24" s="429"/>
      <c r="P24" s="429"/>
      <c r="Q24" s="372"/>
      <c r="R24" s="372"/>
      <c r="S24" s="430"/>
      <c r="T24" s="437"/>
      <c r="W24" s="437"/>
      <c r="X24" s="437"/>
      <c r="Y24" s="437"/>
      <c r="Z24" s="437"/>
      <c r="AA24" s="437"/>
      <c r="AB24" s="437"/>
    </row>
    <row r="25" spans="2:28" s="438" customFormat="1" x14ac:dyDescent="0.25">
      <c r="B25" s="465"/>
      <c r="C25" s="463"/>
      <c r="D25" s="374"/>
      <c r="E25" s="374" t="s">
        <v>1189</v>
      </c>
      <c r="F25" s="374"/>
      <c r="G25" s="374"/>
      <c r="H25" s="388"/>
      <c r="I25" s="375"/>
      <c r="J25" s="454"/>
      <c r="K25" s="455"/>
      <c r="L25" s="455"/>
      <c r="M25" s="394"/>
      <c r="N25" s="394"/>
      <c r="O25" s="395"/>
      <c r="P25" s="395"/>
      <c r="Q25" s="374" t="s">
        <v>2227</v>
      </c>
      <c r="R25" s="374" t="s">
        <v>1189</v>
      </c>
      <c r="S25" s="459"/>
      <c r="T25" s="460"/>
      <c r="W25" s="437"/>
      <c r="X25" s="437"/>
      <c r="Y25" s="437"/>
      <c r="Z25" s="437"/>
      <c r="AA25" s="437"/>
      <c r="AB25" s="437"/>
    </row>
    <row r="26" spans="2:28" s="438" customFormat="1" x14ac:dyDescent="0.25">
      <c r="B26" s="465">
        <f>B22</f>
        <v>26.26</v>
      </c>
      <c r="C26" s="463"/>
      <c r="D26" s="374">
        <f>D23</f>
        <v>76.759999999999991</v>
      </c>
      <c r="E26" s="374">
        <f>ROUNDDOWN(E23,0)+12</f>
        <v>166</v>
      </c>
      <c r="F26" s="374"/>
      <c r="G26" s="374"/>
      <c r="H26" s="453">
        <v>45292</v>
      </c>
      <c r="I26" s="375"/>
      <c r="J26" s="375">
        <f>J23</f>
        <v>65</v>
      </c>
      <c r="K26" s="375"/>
      <c r="L26" s="375"/>
      <c r="M26" s="375"/>
      <c r="N26" s="375"/>
      <c r="O26" s="395" t="s">
        <v>2223</v>
      </c>
      <c r="P26" s="395"/>
      <c r="Q26" s="374">
        <f>D26+E26+J26</f>
        <v>307.76</v>
      </c>
      <c r="R26" s="374">
        <v>460</v>
      </c>
      <c r="S26" s="459" t="s">
        <v>2225</v>
      </c>
      <c r="T26" s="460"/>
      <c r="W26" s="437"/>
      <c r="X26" s="437"/>
      <c r="Y26" s="437"/>
      <c r="Z26" s="437"/>
      <c r="AA26" s="437"/>
      <c r="AB26" s="437"/>
    </row>
    <row r="27" spans="2:28" s="438" customFormat="1" x14ac:dyDescent="0.25">
      <c r="B27" s="465"/>
      <c r="C27" s="463"/>
      <c r="D27" s="798" t="s">
        <v>1549</v>
      </c>
      <c r="E27" s="799"/>
      <c r="F27" s="560"/>
      <c r="G27" s="374"/>
      <c r="H27" s="453" t="s">
        <v>2249</v>
      </c>
      <c r="I27" s="375"/>
      <c r="J27" s="454">
        <f>J26-(R26-D26-E26)</f>
        <v>-152.24</v>
      </c>
      <c r="K27" s="515" t="s">
        <v>2290</v>
      </c>
      <c r="L27" s="455"/>
      <c r="M27" s="394"/>
      <c r="N27" s="394"/>
      <c r="O27" s="395" t="s">
        <v>2223</v>
      </c>
      <c r="P27" s="395"/>
      <c r="Q27" s="473" t="s">
        <v>2232</v>
      </c>
      <c r="R27" s="473"/>
      <c r="S27" s="478" t="s">
        <v>2251</v>
      </c>
      <c r="T27" s="460"/>
      <c r="U27" s="481" t="s">
        <v>2255</v>
      </c>
      <c r="W27" s="437"/>
      <c r="X27" s="437"/>
      <c r="Y27" s="437"/>
      <c r="Z27" s="437"/>
      <c r="AA27" s="437"/>
      <c r="AB27" s="437"/>
    </row>
    <row r="28" spans="2:28" s="438" customFormat="1" x14ac:dyDescent="0.25">
      <c r="B28" s="465"/>
      <c r="C28" s="463"/>
      <c r="D28" s="372"/>
      <c r="E28" s="372"/>
      <c r="F28" s="372"/>
      <c r="G28" s="372"/>
      <c r="H28" s="452"/>
      <c r="I28" s="373"/>
      <c r="J28" s="443"/>
      <c r="K28" s="444"/>
      <c r="L28" s="444"/>
      <c r="M28" s="440"/>
      <c r="N28" s="440"/>
      <c r="O28" s="429"/>
      <c r="P28" s="471"/>
      <c r="Q28" s="475"/>
      <c r="R28" s="474"/>
      <c r="S28" s="430"/>
      <c r="T28" s="437"/>
      <c r="W28" s="437"/>
      <c r="X28" s="437"/>
      <c r="Y28" s="437"/>
      <c r="Z28" s="437"/>
      <c r="AA28" s="437"/>
      <c r="AB28" s="437"/>
    </row>
    <row r="29" spans="2:28" s="438" customFormat="1" ht="15.75" customHeight="1" x14ac:dyDescent="0.25">
      <c r="B29" s="465">
        <f>B26</f>
        <v>26.26</v>
      </c>
      <c r="C29" s="464"/>
      <c r="D29" s="374">
        <v>76</v>
      </c>
      <c r="E29" s="374"/>
      <c r="F29" s="374"/>
      <c r="G29" s="374"/>
      <c r="H29" s="457" t="s">
        <v>2253</v>
      </c>
      <c r="I29" s="375"/>
      <c r="J29" s="454"/>
      <c r="K29" s="455"/>
      <c r="L29" s="455"/>
      <c r="M29" s="394"/>
      <c r="N29" s="394"/>
      <c r="O29" s="395"/>
      <c r="P29" s="395"/>
      <c r="Q29" s="479" t="s">
        <v>2256</v>
      </c>
      <c r="R29" s="479"/>
      <c r="S29" s="479"/>
      <c r="T29" s="470"/>
      <c r="U29" s="477"/>
      <c r="V29" s="477"/>
      <c r="W29" s="477"/>
      <c r="X29" s="437"/>
      <c r="Y29" s="437"/>
      <c r="Z29" s="437"/>
      <c r="AA29" s="437"/>
      <c r="AB29" s="437"/>
    </row>
    <row r="30" spans="2:28" x14ac:dyDescent="0.25">
      <c r="B30" s="465">
        <f>B29</f>
        <v>26.26</v>
      </c>
      <c r="C30" s="464">
        <f>C23+D23</f>
        <v>110.47999999999999</v>
      </c>
      <c r="D30" s="374">
        <v>0</v>
      </c>
      <c r="E30" s="456"/>
      <c r="F30" s="456"/>
      <c r="G30" s="456"/>
      <c r="H30" s="456" t="s">
        <v>2249</v>
      </c>
      <c r="I30" s="375"/>
      <c r="J30" s="375"/>
      <c r="K30" s="375"/>
      <c r="L30" s="375"/>
      <c r="M30" s="375"/>
      <c r="N30" s="375"/>
      <c r="O30" s="374"/>
      <c r="P30" s="374"/>
      <c r="Q30" s="470" t="s">
        <v>2252</v>
      </c>
      <c r="R30" s="460"/>
      <c r="S30" s="480"/>
      <c r="T30" s="470"/>
      <c r="U30" s="477"/>
      <c r="V30" s="477"/>
      <c r="W30" s="477"/>
    </row>
    <row r="31" spans="2:28" s="427" customFormat="1" x14ac:dyDescent="0.25">
      <c r="B31" s="465"/>
      <c r="C31" s="463"/>
      <c r="D31" s="372"/>
      <c r="E31" s="372"/>
      <c r="F31" s="372"/>
      <c r="G31" s="372"/>
      <c r="H31" s="387"/>
      <c r="I31" s="373"/>
      <c r="J31" s="373"/>
      <c r="K31" s="373"/>
      <c r="L31" s="373"/>
      <c r="M31" s="373"/>
      <c r="N31" s="373"/>
      <c r="O31" s="372"/>
      <c r="P31" s="472"/>
      <c r="Q31" s="476"/>
      <c r="R31" s="370"/>
      <c r="S31" s="428"/>
    </row>
    <row r="32" spans="2:28" x14ac:dyDescent="0.25">
      <c r="D32" s="370"/>
      <c r="E32" s="370"/>
      <c r="F32" s="370"/>
      <c r="G32" s="370"/>
      <c r="H32" s="389"/>
      <c r="I32" s="371"/>
      <c r="J32" s="371"/>
      <c r="K32" s="371"/>
      <c r="L32" s="370"/>
      <c r="M32" s="370"/>
      <c r="N32" s="370"/>
      <c r="Q32" s="370"/>
      <c r="R32" s="370"/>
    </row>
    <row r="33" spans="3:18" x14ac:dyDescent="0.25">
      <c r="Q33" s="370"/>
      <c r="R33" s="370"/>
    </row>
    <row r="36" spans="3:18" ht="23.25" x14ac:dyDescent="0.35">
      <c r="C36" s="514" t="s">
        <v>2283</v>
      </c>
    </row>
    <row r="37" spans="3:18" ht="23.25" x14ac:dyDescent="0.35">
      <c r="C37" s="514" t="s">
        <v>2287</v>
      </c>
    </row>
    <row r="38" spans="3:18" x14ac:dyDescent="0.25">
      <c r="C38" s="438" t="s">
        <v>2288</v>
      </c>
    </row>
  </sheetData>
  <mergeCells count="9">
    <mergeCell ref="D27:E27"/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H21"/>
  <sheetViews>
    <sheetView workbookViewId="0">
      <selection activeCell="K25" sqref="K25"/>
    </sheetView>
  </sheetViews>
  <sheetFormatPr defaultRowHeight="12.75" x14ac:dyDescent="0.2"/>
  <cols>
    <col min="1" max="1" width="2.5703125" customWidth="1"/>
    <col min="2" max="2" width="31" bestFit="1" customWidth="1"/>
    <col min="4" max="4" width="9.7109375" bestFit="1" customWidth="1"/>
    <col min="5" max="5" width="8.28515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s="115"/>
      <c r="C2" s="115" t="s">
        <v>326</v>
      </c>
      <c r="D2" s="115" t="s">
        <v>336</v>
      </c>
      <c r="E2" s="115" t="s">
        <v>335</v>
      </c>
      <c r="F2" s="116" t="s">
        <v>319</v>
      </c>
      <c r="G2" s="115" t="s">
        <v>318</v>
      </c>
      <c r="H2">
        <v>1.36</v>
      </c>
    </row>
    <row r="3" spans="2:8" x14ac:dyDescent="0.2">
      <c r="B3" t="s">
        <v>1043</v>
      </c>
      <c r="C3" t="s">
        <v>327</v>
      </c>
      <c r="D3" t="s">
        <v>317</v>
      </c>
      <c r="E3" t="s">
        <v>316</v>
      </c>
      <c r="F3" s="114">
        <v>78000</v>
      </c>
    </row>
    <row r="4" spans="2:8" x14ac:dyDescent="0.2">
      <c r="B4" t="s">
        <v>309</v>
      </c>
      <c r="C4" t="s">
        <v>327</v>
      </c>
      <c r="D4" t="s">
        <v>324</v>
      </c>
      <c r="E4" t="s">
        <v>316</v>
      </c>
      <c r="F4" s="114">
        <f>$H$2*G4</f>
        <v>27200.000000000004</v>
      </c>
      <c r="G4" s="2">
        <v>20000</v>
      </c>
    </row>
    <row r="5" spans="2:8" x14ac:dyDescent="0.2">
      <c r="B5" t="s">
        <v>322</v>
      </c>
      <c r="C5" t="s">
        <v>327</v>
      </c>
      <c r="D5" t="s">
        <v>324</v>
      </c>
      <c r="E5" s="9" t="s">
        <v>317</v>
      </c>
      <c r="F5" s="121">
        <f>$H$2*G5</f>
        <v>1387.2</v>
      </c>
      <c r="G5" s="2">
        <f>170*6</f>
        <v>1020</v>
      </c>
    </row>
    <row r="6" spans="2:8" x14ac:dyDescent="0.2">
      <c r="B6" t="s">
        <v>346</v>
      </c>
      <c r="C6" t="s">
        <v>329</v>
      </c>
      <c r="D6" t="s">
        <v>317</v>
      </c>
      <c r="E6" s="9" t="s">
        <v>317</v>
      </c>
      <c r="F6" s="121">
        <f>$H$2*G6</f>
        <v>163200</v>
      </c>
      <c r="G6">
        <f>200000-80000</f>
        <v>120000</v>
      </c>
    </row>
    <row r="7" spans="2:8" x14ac:dyDescent="0.2">
      <c r="B7" t="s">
        <v>314</v>
      </c>
      <c r="C7" t="s">
        <v>327</v>
      </c>
      <c r="D7" t="s">
        <v>331</v>
      </c>
      <c r="E7" s="9" t="s">
        <v>316</v>
      </c>
      <c r="F7" s="121">
        <f>$H$2*G7</f>
        <v>122400.00000000001</v>
      </c>
      <c r="G7">
        <v>90000</v>
      </c>
    </row>
    <row r="8" spans="2:8" x14ac:dyDescent="0.2">
      <c r="B8" t="s">
        <v>315</v>
      </c>
      <c r="C8" t="s">
        <v>329</v>
      </c>
      <c r="D8" t="s">
        <v>331</v>
      </c>
      <c r="E8" s="9" t="s">
        <v>316</v>
      </c>
      <c r="F8" s="121">
        <v>600000</v>
      </c>
    </row>
    <row r="9" spans="2:8" x14ac:dyDescent="0.2">
      <c r="B9" t="s">
        <v>339</v>
      </c>
      <c r="C9" t="s">
        <v>329</v>
      </c>
      <c r="D9" t="s">
        <v>317</v>
      </c>
      <c r="E9" s="9" t="s">
        <v>316</v>
      </c>
      <c r="F9" s="121">
        <v>-154000</v>
      </c>
    </row>
    <row r="10" spans="2:8" x14ac:dyDescent="0.2">
      <c r="B10" t="s">
        <v>312</v>
      </c>
      <c r="C10" t="s">
        <v>327</v>
      </c>
      <c r="D10" t="s">
        <v>331</v>
      </c>
      <c r="E10" s="9" t="s">
        <v>316</v>
      </c>
      <c r="F10" s="121">
        <f>15000+50000+40000</f>
        <v>105000</v>
      </c>
    </row>
    <row r="11" spans="2:8" x14ac:dyDescent="0.2">
      <c r="B11" t="s">
        <v>310</v>
      </c>
      <c r="C11" t="s">
        <v>327</v>
      </c>
      <c r="D11" t="s">
        <v>317</v>
      </c>
      <c r="E11" s="9" t="s">
        <v>316</v>
      </c>
      <c r="F11" s="121">
        <v>30000</v>
      </c>
    </row>
    <row r="12" spans="2:8" x14ac:dyDescent="0.2">
      <c r="B12" t="s">
        <v>334</v>
      </c>
      <c r="C12" t="s">
        <v>328</v>
      </c>
      <c r="D12" t="s">
        <v>317</v>
      </c>
      <c r="E12" s="9" t="s">
        <v>316</v>
      </c>
      <c r="F12" s="121">
        <v>5000</v>
      </c>
    </row>
    <row r="13" spans="2:8" x14ac:dyDescent="0.2">
      <c r="B13" t="s">
        <v>334</v>
      </c>
      <c r="C13" t="s">
        <v>327</v>
      </c>
      <c r="D13" t="s">
        <v>317</v>
      </c>
      <c r="E13" s="9" t="s">
        <v>316</v>
      </c>
      <c r="F13" s="121">
        <v>142000</v>
      </c>
    </row>
    <row r="14" spans="2:8" x14ac:dyDescent="0.2">
      <c r="B14" t="s">
        <v>313</v>
      </c>
      <c r="C14" t="s">
        <v>328</v>
      </c>
      <c r="D14" t="s">
        <v>317</v>
      </c>
      <c r="E14" s="9" t="s">
        <v>317</v>
      </c>
      <c r="F14" s="121">
        <v>55000</v>
      </c>
    </row>
    <row r="15" spans="2:8" x14ac:dyDescent="0.2">
      <c r="B15" t="s">
        <v>313</v>
      </c>
      <c r="C15" t="s">
        <v>327</v>
      </c>
      <c r="D15" t="s">
        <v>324</v>
      </c>
      <c r="E15" s="9" t="s">
        <v>337</v>
      </c>
      <c r="F15" s="121">
        <v>155000</v>
      </c>
    </row>
    <row r="16" spans="2:8" x14ac:dyDescent="0.2">
      <c r="B16" t="s">
        <v>347</v>
      </c>
      <c r="C16" t="s">
        <v>329</v>
      </c>
      <c r="D16" t="s">
        <v>317</v>
      </c>
      <c r="E16" s="9" t="s">
        <v>317</v>
      </c>
      <c r="F16" s="121">
        <v>20000</v>
      </c>
    </row>
    <row r="17" spans="2:6" x14ac:dyDescent="0.2">
      <c r="B17" t="s">
        <v>340</v>
      </c>
      <c r="D17" t="s">
        <v>317</v>
      </c>
      <c r="E17" s="9" t="s">
        <v>317</v>
      </c>
      <c r="F17" s="121">
        <v>-30000</v>
      </c>
    </row>
    <row r="18" spans="2:6" x14ac:dyDescent="0.2">
      <c r="B18" t="s">
        <v>325</v>
      </c>
      <c r="C18" t="s">
        <v>328</v>
      </c>
      <c r="D18" t="s">
        <v>317</v>
      </c>
      <c r="E18" s="9" t="s">
        <v>317</v>
      </c>
      <c r="F18" s="121" t="s">
        <v>332</v>
      </c>
    </row>
    <row r="19" spans="2:6" x14ac:dyDescent="0.2">
      <c r="B19" t="s">
        <v>330</v>
      </c>
      <c r="C19" t="s">
        <v>328</v>
      </c>
      <c r="D19" t="s">
        <v>317</v>
      </c>
      <c r="E19" s="9" t="s">
        <v>317</v>
      </c>
      <c r="F19" s="121" t="s">
        <v>332</v>
      </c>
    </row>
    <row r="20" spans="2:6" x14ac:dyDescent="0.2">
      <c r="B20" t="s">
        <v>320</v>
      </c>
      <c r="D20" t="s">
        <v>324</v>
      </c>
      <c r="E20" t="s">
        <v>316</v>
      </c>
      <c r="F20" s="114" t="s">
        <v>321</v>
      </c>
    </row>
    <row r="21" spans="2:6" x14ac:dyDescent="0.2">
      <c r="F21" s="114">
        <f>SUM(F3:F20)</f>
        <v>1320187.2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T40"/>
  <sheetViews>
    <sheetView workbookViewId="0">
      <selection activeCell="Q21" sqref="Q21"/>
    </sheetView>
  </sheetViews>
  <sheetFormatPr defaultRowHeight="12.75" x14ac:dyDescent="0.2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 x14ac:dyDescent="0.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 x14ac:dyDescent="0.2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 x14ac:dyDescent="0.2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 x14ac:dyDescent="0.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 x14ac:dyDescent="0.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 x14ac:dyDescent="0.2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 x14ac:dyDescent="0.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 x14ac:dyDescent="0.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 x14ac:dyDescent="0.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 x14ac:dyDescent="0.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 x14ac:dyDescent="0.2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 x14ac:dyDescent="0.2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 x14ac:dyDescent="0.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 x14ac:dyDescent="0.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 x14ac:dyDescent="0.2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 x14ac:dyDescent="0.2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 x14ac:dyDescent="0.2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 x14ac:dyDescent="0.2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 x14ac:dyDescent="0.2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 x14ac:dyDescent="0.2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 x14ac:dyDescent="0.2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 x14ac:dyDescent="0.2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 x14ac:dyDescent="0.2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 x14ac:dyDescent="0.2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 x14ac:dyDescent="0.2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 x14ac:dyDescent="0.2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 x14ac:dyDescent="0.2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 x14ac:dyDescent="0.2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 x14ac:dyDescent="0.2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 x14ac:dyDescent="0.2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 x14ac:dyDescent="0.2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 x14ac:dyDescent="0.2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 x14ac:dyDescent="0.2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 x14ac:dyDescent="0.2">
      <c r="A34" s="11"/>
      <c r="B34" s="35" t="s">
        <v>0</v>
      </c>
      <c r="C34" s="1"/>
      <c r="D34" s="11"/>
      <c r="E34" s="35" t="s">
        <v>0</v>
      </c>
      <c r="AZ34" s="52"/>
    </row>
    <row r="35" spans="1:58" x14ac:dyDescent="0.2">
      <c r="A35" s="22"/>
      <c r="B35" s="36" t="s">
        <v>3</v>
      </c>
      <c r="C35" s="1"/>
      <c r="D35" s="22"/>
      <c r="E35" s="36" t="s">
        <v>3</v>
      </c>
    </row>
    <row r="36" spans="1:58" x14ac:dyDescent="0.2">
      <c r="A36" s="6" t="s">
        <v>68</v>
      </c>
      <c r="B36" s="1"/>
      <c r="C36" s="1"/>
      <c r="D36" s="6" t="s">
        <v>68</v>
      </c>
      <c r="E36" s="1"/>
    </row>
    <row r="37" spans="1:58" x14ac:dyDescent="0.2">
      <c r="A37" s="6" t="s">
        <v>69</v>
      </c>
      <c r="B37" s="1"/>
      <c r="D37" s="6" t="s">
        <v>69</v>
      </c>
      <c r="E37" s="1"/>
    </row>
    <row r="38" spans="1:58" x14ac:dyDescent="0.2">
      <c r="A38" s="1"/>
      <c r="B38" s="1"/>
      <c r="D38" s="6" t="s">
        <v>90</v>
      </c>
    </row>
    <row r="39" spans="1:58" x14ac:dyDescent="0.2">
      <c r="A39"/>
    </row>
    <row r="40" spans="1:58" x14ac:dyDescent="0.2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"/>
  <sheetViews>
    <sheetView workbookViewId="0">
      <selection activeCell="Q6" sqref="Q6"/>
    </sheetView>
  </sheetViews>
  <sheetFormatPr defaultRowHeight="12.75" x14ac:dyDescent="0.2"/>
  <sheetData>
    <row r="2" spans="2:2" ht="25.5" x14ac:dyDescent="0.35">
      <c r="B2" s="230" t="s">
        <v>918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BK80"/>
  <sheetViews>
    <sheetView topLeftCell="N1" zoomScale="90" zoomScaleNormal="90" workbookViewId="0">
      <selection activeCell="X54" sqref="X54"/>
    </sheetView>
  </sheetViews>
  <sheetFormatPr defaultRowHeight="12.75" x14ac:dyDescent="0.2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4" customWidth="1"/>
    <col min="25" max="25" width="11.28515625" style="125" customWidth="1"/>
    <col min="26" max="26" width="18.28515625" customWidth="1"/>
    <col min="28" max="28" width="10.5703125" style="146" customWidth="1"/>
    <col min="29" max="29" width="10.28515625" style="146" customWidth="1"/>
    <col min="30" max="30" width="19.7109375" style="145" customWidth="1"/>
    <col min="31" max="31" width="12.85546875" style="145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7" customWidth="1"/>
    <col min="37" max="37" width="9.28515625" style="157" customWidth="1"/>
    <col min="38" max="38" width="16.5703125" customWidth="1"/>
    <col min="39" max="39" width="12.140625" style="182" bestFit="1" customWidth="1"/>
    <col min="40" max="40" width="13.85546875" style="171" customWidth="1"/>
    <col min="41" max="41" width="10.42578125" style="171" customWidth="1"/>
    <col min="42" max="42" width="25.85546875" style="173" bestFit="1" customWidth="1"/>
    <col min="43" max="43" width="11" style="173" customWidth="1"/>
    <col min="44" max="44" width="17" customWidth="1"/>
    <col min="45" max="45" width="12.140625" style="182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202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202" bestFit="1" customWidth="1"/>
    <col min="56" max="56" width="9.5703125" bestFit="1" customWidth="1"/>
  </cols>
  <sheetData>
    <row r="1" spans="2:63" x14ac:dyDescent="0.2">
      <c r="B1" s="727" t="s">
        <v>124</v>
      </c>
      <c r="C1" s="727"/>
      <c r="D1" s="730" t="s">
        <v>292</v>
      </c>
      <c r="E1" s="730"/>
      <c r="F1" s="730" t="s">
        <v>345</v>
      </c>
      <c r="G1" s="730"/>
      <c r="H1" s="728" t="s">
        <v>127</v>
      </c>
      <c r="I1" s="728"/>
      <c r="J1" s="724" t="s">
        <v>292</v>
      </c>
      <c r="K1" s="724"/>
      <c r="L1" s="729" t="s">
        <v>526</v>
      </c>
      <c r="M1" s="729"/>
      <c r="N1" s="728" t="s">
        <v>146</v>
      </c>
      <c r="O1" s="728"/>
      <c r="P1" s="724" t="s">
        <v>293</v>
      </c>
      <c r="Q1" s="724"/>
      <c r="R1" s="729" t="s">
        <v>528</v>
      </c>
      <c r="S1" s="729"/>
      <c r="T1" s="718" t="s">
        <v>193</v>
      </c>
      <c r="U1" s="718"/>
      <c r="V1" s="724" t="s">
        <v>292</v>
      </c>
      <c r="W1" s="724"/>
      <c r="X1" s="723" t="s">
        <v>530</v>
      </c>
      <c r="Y1" s="723"/>
      <c r="Z1" s="718" t="s">
        <v>241</v>
      </c>
      <c r="AA1" s="718"/>
      <c r="AB1" s="725" t="s">
        <v>292</v>
      </c>
      <c r="AC1" s="725"/>
      <c r="AD1" s="726" t="s">
        <v>530</v>
      </c>
      <c r="AE1" s="726"/>
      <c r="AF1" s="718" t="s">
        <v>373</v>
      </c>
      <c r="AG1" s="718"/>
      <c r="AH1" s="725" t="s">
        <v>292</v>
      </c>
      <c r="AI1" s="725"/>
      <c r="AJ1" s="723" t="s">
        <v>536</v>
      </c>
      <c r="AK1" s="723"/>
      <c r="AL1" s="718" t="s">
        <v>395</v>
      </c>
      <c r="AM1" s="718"/>
      <c r="AN1" s="735" t="s">
        <v>292</v>
      </c>
      <c r="AO1" s="735"/>
      <c r="AP1" s="733" t="s">
        <v>537</v>
      </c>
      <c r="AQ1" s="733"/>
      <c r="AR1" s="718" t="s">
        <v>422</v>
      </c>
      <c r="AS1" s="718"/>
      <c r="AV1" s="733" t="s">
        <v>285</v>
      </c>
      <c r="AW1" s="733"/>
      <c r="AX1" s="736" t="s">
        <v>1005</v>
      </c>
      <c r="AY1" s="736"/>
      <c r="AZ1" s="736"/>
      <c r="BA1" s="211"/>
      <c r="BB1" s="731">
        <v>42942</v>
      </c>
      <c r="BC1" s="732"/>
      <c r="BD1" s="732"/>
    </row>
    <row r="2" spans="2:63" ht="3.75" customHeight="1" x14ac:dyDescent="0.2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 x14ac:dyDescent="0.2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525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22" t="s">
        <v>296</v>
      </c>
      <c r="Y3" s="125">
        <f>U3-AA3+W3</f>
        <v>109463.96991000001</v>
      </c>
      <c r="Z3" s="1" t="s">
        <v>161</v>
      </c>
      <c r="AA3" s="1">
        <f>SUM(AA8:AA18)</f>
        <v>76765.001000000004</v>
      </c>
      <c r="AB3" s="146" t="s">
        <v>295</v>
      </c>
      <c r="AC3" s="146">
        <f>SUM(AC5:AC40)</f>
        <v>174748.49099999998</v>
      </c>
      <c r="AD3" s="122" t="s">
        <v>296</v>
      </c>
      <c r="AE3" s="157">
        <f>AC3+AA3-AG3</f>
        <v>223990.49209999997</v>
      </c>
      <c r="AF3" s="1" t="s">
        <v>161</v>
      </c>
      <c r="AG3" s="1">
        <f>SUM(AG8:AG16)</f>
        <v>27522.999899999999</v>
      </c>
      <c r="AH3" s="146" t="s">
        <v>295</v>
      </c>
      <c r="AI3" s="146">
        <f>SUM(AI5:AI40)</f>
        <v>25592</v>
      </c>
      <c r="AJ3" s="122" t="s">
        <v>296</v>
      </c>
      <c r="AK3" s="157">
        <f>AI3+AG3-AM3</f>
        <v>30952.999909999995</v>
      </c>
      <c r="AL3" s="1" t="s">
        <v>435</v>
      </c>
      <c r="AM3" s="183">
        <f>SUM(AM8:AM20)</f>
        <v>22161.99999</v>
      </c>
      <c r="AN3" s="171" t="s">
        <v>295</v>
      </c>
      <c r="AO3" s="178">
        <f>SUM(AO5:AO40)</f>
        <v>119737.70000000001</v>
      </c>
      <c r="AP3" s="174" t="s">
        <v>296</v>
      </c>
      <c r="AQ3" s="177">
        <f>AO3+AM3-AS3</f>
        <v>102094.64899000002</v>
      </c>
      <c r="AR3" s="1" t="s">
        <v>436</v>
      </c>
      <c r="AS3" s="183">
        <f>SUM(AS6:AS28)</f>
        <v>39805.050999999999</v>
      </c>
      <c r="AX3" s="1" t="s">
        <v>436</v>
      </c>
      <c r="AY3" s="202">
        <f>SUM(AY6:AY20)</f>
        <v>160501.32599999997</v>
      </c>
      <c r="BB3" s="1" t="s">
        <v>161</v>
      </c>
      <c r="BC3" s="202">
        <f>SUM(BC6:BC23)</f>
        <v>118958.00099999999</v>
      </c>
    </row>
    <row r="4" spans="2:63" ht="12.75" customHeight="1" x14ac:dyDescent="0.2">
      <c r="B4" t="s">
        <v>96</v>
      </c>
      <c r="C4">
        <v>720</v>
      </c>
      <c r="D4" t="s">
        <v>103</v>
      </c>
      <c r="H4" s="63"/>
      <c r="I4" s="63"/>
      <c r="L4" s="47" t="s">
        <v>524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717" t="s">
        <v>261</v>
      </c>
      <c r="U4" s="717"/>
      <c r="X4" s="122" t="s">
        <v>233</v>
      </c>
      <c r="Y4" s="126">
        <f>Y3-Y6</f>
        <v>4.9669099999591708</v>
      </c>
      <c r="Z4" s="717" t="s">
        <v>262</v>
      </c>
      <c r="AA4" s="717"/>
      <c r="AD4" s="157" t="s">
        <v>233</v>
      </c>
      <c r="AE4" s="157">
        <f>AE3-AE5</f>
        <v>-52.526899999851594</v>
      </c>
      <c r="AF4" s="717" t="s">
        <v>262</v>
      </c>
      <c r="AG4" s="717"/>
      <c r="AH4" s="146"/>
      <c r="AI4" s="146"/>
      <c r="AJ4" s="157" t="s">
        <v>233</v>
      </c>
      <c r="AK4" s="157">
        <f>AK3-AK5</f>
        <v>94.988909999992757</v>
      </c>
      <c r="AL4" s="717" t="s">
        <v>262</v>
      </c>
      <c r="AM4" s="717"/>
      <c r="AP4" s="173" t="s">
        <v>233</v>
      </c>
      <c r="AQ4" s="177">
        <f>AQ3-AQ5</f>
        <v>33.841989999942598</v>
      </c>
      <c r="AR4" s="717" t="s">
        <v>262</v>
      </c>
      <c r="AS4" s="717"/>
      <c r="AX4" s="717" t="s">
        <v>570</v>
      </c>
      <c r="AY4" s="717"/>
      <c r="BB4" s="717" t="s">
        <v>573</v>
      </c>
      <c r="BC4" s="717"/>
    </row>
    <row r="5" spans="2:63" ht="39" customHeight="1" x14ac:dyDescent="0.2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532</v>
      </c>
      <c r="S5" s="61">
        <f>SUM(S15:S55)</f>
        <v>104150.52223000005</v>
      </c>
      <c r="T5" s="717"/>
      <c r="U5" s="717"/>
      <c r="V5" s="3" t="s">
        <v>258</v>
      </c>
      <c r="W5">
        <v>2050</v>
      </c>
      <c r="X5" s="82"/>
      <c r="Z5" s="717"/>
      <c r="AA5" s="717"/>
      <c r="AB5" s="146" t="s">
        <v>341</v>
      </c>
      <c r="AC5" s="146">
        <v>2550</v>
      </c>
      <c r="AD5" s="157" t="s">
        <v>358</v>
      </c>
      <c r="AE5" s="165">
        <f>SUM(AE11:AE55)</f>
        <v>224043.01899999983</v>
      </c>
      <c r="AF5" s="717"/>
      <c r="AG5" s="717"/>
      <c r="AH5" s="146"/>
      <c r="AI5" s="146"/>
      <c r="AJ5" s="157" t="s">
        <v>358</v>
      </c>
      <c r="AK5" s="165">
        <f>SUM(AK11:AK59)</f>
        <v>30858.011000000002</v>
      </c>
      <c r="AL5" s="717"/>
      <c r="AM5" s="717"/>
      <c r="AN5" s="171" t="s">
        <v>428</v>
      </c>
      <c r="AO5" s="171">
        <v>800</v>
      </c>
      <c r="AP5" s="173" t="s">
        <v>358</v>
      </c>
      <c r="AQ5" s="177">
        <f>SUM(AQ11:AQ82)</f>
        <v>102060.80700000007</v>
      </c>
      <c r="AR5" s="717"/>
      <c r="AS5" s="717"/>
      <c r="AX5" s="717"/>
      <c r="AY5" s="717"/>
      <c r="BB5" s="717"/>
      <c r="BC5" s="717"/>
      <c r="BD5" s="734" t="s">
        <v>1006</v>
      </c>
      <c r="BE5" s="734"/>
      <c r="BF5" s="734"/>
      <c r="BG5" s="734"/>
      <c r="BH5" s="734"/>
      <c r="BI5" s="734"/>
      <c r="BJ5" s="734"/>
      <c r="BK5" s="734"/>
    </row>
    <row r="6" spans="2:63" ht="25.5" x14ac:dyDescent="0.2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542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533</v>
      </c>
      <c r="S6" s="61">
        <f>SUM(S15:S40)</f>
        <v>90121.520000000019</v>
      </c>
      <c r="T6" s="105"/>
      <c r="U6" s="105"/>
      <c r="V6" s="76" t="s">
        <v>265</v>
      </c>
      <c r="W6" s="77"/>
      <c r="X6" s="127" t="s">
        <v>361</v>
      </c>
      <c r="Y6" s="125">
        <f>SUM(Y12:Y60)</f>
        <v>109459.00300000006</v>
      </c>
      <c r="AB6" s="146" t="s">
        <v>349</v>
      </c>
      <c r="AC6" s="146">
        <v>3000</v>
      </c>
      <c r="AD6" s="145" t="s">
        <v>544</v>
      </c>
      <c r="AH6" s="146" t="s">
        <v>349</v>
      </c>
      <c r="AI6" s="146">
        <v>0</v>
      </c>
      <c r="AN6" s="171" t="s">
        <v>349</v>
      </c>
      <c r="AO6" s="171">
        <f>600.01+900.01</f>
        <v>1500.02</v>
      </c>
      <c r="AP6" s="145" t="s">
        <v>545</v>
      </c>
      <c r="AQ6" s="177"/>
      <c r="AR6" t="s">
        <v>429</v>
      </c>
      <c r="AS6" s="182">
        <v>10600.32</v>
      </c>
      <c r="AX6" t="s">
        <v>429</v>
      </c>
      <c r="AY6" s="202">
        <v>10600.32</v>
      </c>
      <c r="BB6" t="s">
        <v>429</v>
      </c>
      <c r="BC6" s="202">
        <v>10600.001</v>
      </c>
      <c r="BD6" t="s">
        <v>1267</v>
      </c>
    </row>
    <row r="7" spans="2:63" ht="38.25" x14ac:dyDescent="0.2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535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535</v>
      </c>
      <c r="S7" s="61">
        <f>S5-S6</f>
        <v>14029.002230000027</v>
      </c>
      <c r="V7" s="68" t="s">
        <v>250</v>
      </c>
      <c r="W7" s="63">
        <v>12330.33</v>
      </c>
      <c r="X7" s="82" t="s">
        <v>535</v>
      </c>
      <c r="Y7" s="125">
        <f>SUM(Y21:Y60)</f>
        <v>27022.002000000004</v>
      </c>
      <c r="AD7" s="82" t="s">
        <v>535</v>
      </c>
      <c r="AE7" s="158">
        <f>AE5-AE10-AE8</f>
        <v>30105.016999999818</v>
      </c>
      <c r="AH7" s="146"/>
      <c r="AI7" s="146"/>
      <c r="AJ7" s="82" t="s">
        <v>538</v>
      </c>
      <c r="AK7" s="158">
        <f>AK5-AK10-AK8</f>
        <v>9389.0110000000022</v>
      </c>
      <c r="AP7" s="82" t="s">
        <v>538</v>
      </c>
      <c r="AQ7" s="177">
        <f>AQ5-AQ10-AQ8</f>
        <v>27654.80600000007</v>
      </c>
      <c r="AR7" s="1" t="s">
        <v>354</v>
      </c>
      <c r="AS7" s="183">
        <f>1249+3166+705</f>
        <v>5120</v>
      </c>
      <c r="AX7" s="1" t="s">
        <v>354</v>
      </c>
      <c r="AY7" s="202">
        <v>2000.001</v>
      </c>
      <c r="BB7" s="1" t="s">
        <v>354</v>
      </c>
      <c r="BC7" s="202">
        <v>3400</v>
      </c>
      <c r="BD7" t="s">
        <v>1268</v>
      </c>
    </row>
    <row r="8" spans="2:63" ht="25.5" x14ac:dyDescent="0.2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534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9" t="s">
        <v>543</v>
      </c>
      <c r="Z8" s="1" t="s">
        <v>248</v>
      </c>
      <c r="AA8" s="1">
        <v>3500.0010000000002</v>
      </c>
      <c r="AB8" s="147" t="s">
        <v>359</v>
      </c>
      <c r="AC8" s="148"/>
      <c r="AD8" s="159" t="s">
        <v>540</v>
      </c>
      <c r="AE8" s="159">
        <f>SUM(AE20:AE21)</f>
        <v>16721</v>
      </c>
      <c r="AF8" s="1" t="s">
        <v>354</v>
      </c>
      <c r="AG8" s="1">
        <f>3173+6258</f>
        <v>9431</v>
      </c>
      <c r="AH8" s="147" t="s">
        <v>397</v>
      </c>
      <c r="AI8" s="148"/>
      <c r="AJ8" s="159" t="s">
        <v>539</v>
      </c>
      <c r="AK8" s="157">
        <f>AK19</f>
        <v>1164</v>
      </c>
      <c r="AL8" s="1" t="s">
        <v>354</v>
      </c>
      <c r="AM8" s="183">
        <f>2482+4194</f>
        <v>6676</v>
      </c>
      <c r="AN8" s="172" t="s">
        <v>479</v>
      </c>
      <c r="AP8" s="187" t="s">
        <v>399</v>
      </c>
      <c r="AQ8" s="177">
        <f>AQ19</f>
        <v>2506</v>
      </c>
      <c r="AR8" s="186" t="s">
        <v>392</v>
      </c>
      <c r="AS8" s="184"/>
      <c r="AX8" t="s">
        <v>508</v>
      </c>
      <c r="AY8" s="202">
        <v>22000.001</v>
      </c>
      <c r="BB8" t="s">
        <v>508</v>
      </c>
      <c r="BC8" s="202">
        <v>9000</v>
      </c>
    </row>
    <row r="9" spans="2:63" ht="25.5" x14ac:dyDescent="0.2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8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22" t="s">
        <v>290</v>
      </c>
      <c r="Y9" s="125">
        <f>SUM(Y12:Y17)</f>
        <v>75135.001000000004</v>
      </c>
      <c r="Z9" s="66" t="s">
        <v>263</v>
      </c>
      <c r="AA9" s="1">
        <f>68000+4000+770-0*30000</f>
        <v>72770</v>
      </c>
      <c r="AB9" s="149" t="s">
        <v>150</v>
      </c>
      <c r="AC9" s="150">
        <v>12618</v>
      </c>
      <c r="AD9" s="157"/>
      <c r="AE9" s="157"/>
      <c r="AF9" s="66" t="s">
        <v>392</v>
      </c>
      <c r="AG9" s="1">
        <f>1517+11990+1465</f>
        <v>14972</v>
      </c>
      <c r="AH9" s="149" t="s">
        <v>253</v>
      </c>
      <c r="AI9" s="150">
        <v>12230</v>
      </c>
      <c r="AL9" s="66" t="s">
        <v>392</v>
      </c>
      <c r="AM9" s="183"/>
      <c r="AN9" s="180" t="s">
        <v>447</v>
      </c>
      <c r="AO9" s="180">
        <v>6667</v>
      </c>
      <c r="AR9" s="186" t="s">
        <v>438</v>
      </c>
      <c r="AS9" s="184">
        <f>1752</f>
        <v>1752</v>
      </c>
    </row>
    <row r="10" spans="2:63" x14ac:dyDescent="0.2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527</v>
      </c>
      <c r="S10" s="119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6" t="s">
        <v>360</v>
      </c>
      <c r="Y10" s="154">
        <f>Y19+Y20</f>
        <v>7302</v>
      </c>
      <c r="Z10" s="1" t="s">
        <v>98</v>
      </c>
      <c r="AA10" s="84">
        <v>687</v>
      </c>
      <c r="AB10" s="149" t="s">
        <v>151</v>
      </c>
      <c r="AC10" s="150">
        <v>12330.33</v>
      </c>
      <c r="AD10" s="160" t="s">
        <v>365</v>
      </c>
      <c r="AE10" s="160">
        <f>SUM(AE11:AE18)</f>
        <v>177217.00200000001</v>
      </c>
      <c r="AF10" s="1" t="s">
        <v>98</v>
      </c>
      <c r="AG10" s="84">
        <v>1967</v>
      </c>
      <c r="AH10" s="149" t="s">
        <v>289</v>
      </c>
      <c r="AI10" s="150">
        <v>12330</v>
      </c>
      <c r="AJ10" s="160" t="s">
        <v>365</v>
      </c>
      <c r="AK10" s="160">
        <f>SUM(AK11:AK17)</f>
        <v>20305</v>
      </c>
      <c r="AL10" s="66" t="s">
        <v>438</v>
      </c>
      <c r="AM10" s="183">
        <f>1290</f>
        <v>1290</v>
      </c>
      <c r="AN10" s="179" t="s">
        <v>252</v>
      </c>
      <c r="AO10" s="180">
        <v>12330.33</v>
      </c>
      <c r="AP10" s="188" t="s">
        <v>365</v>
      </c>
      <c r="AQ10" s="188">
        <f>SUM(AQ11:AQ17)</f>
        <v>71900.001000000004</v>
      </c>
      <c r="AR10" s="186" t="s">
        <v>449</v>
      </c>
      <c r="AS10" s="184">
        <v>5623</v>
      </c>
    </row>
    <row r="11" spans="2:63" ht="25.5" x14ac:dyDescent="0.2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531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9" t="s">
        <v>177</v>
      </c>
      <c r="AC11" s="150">
        <v>12330.33</v>
      </c>
      <c r="AD11" s="161" t="s">
        <v>1049</v>
      </c>
      <c r="AE11" s="160">
        <f>50000+40388</f>
        <v>90388</v>
      </c>
      <c r="AF11" s="1" t="s">
        <v>100</v>
      </c>
      <c r="AG11" s="84">
        <v>1370</v>
      </c>
      <c r="AH11" s="149"/>
      <c r="AI11" s="150"/>
      <c r="AJ11" s="161" t="s">
        <v>379</v>
      </c>
      <c r="AK11" s="160">
        <v>0</v>
      </c>
      <c r="AL11" s="66" t="s">
        <v>439</v>
      </c>
      <c r="AM11" s="183">
        <v>11034</v>
      </c>
      <c r="AN11" s="179" t="s">
        <v>251</v>
      </c>
      <c r="AO11" s="180">
        <v>12460.33</v>
      </c>
      <c r="AP11" s="188" t="s">
        <v>418</v>
      </c>
      <c r="AQ11" s="188">
        <v>10000</v>
      </c>
      <c r="AR11" s="186" t="s">
        <v>440</v>
      </c>
      <c r="AS11" s="184">
        <v>1056</v>
      </c>
    </row>
    <row r="12" spans="2:63" ht="38.25" x14ac:dyDescent="0.2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8" t="s">
        <v>529</v>
      </c>
      <c r="Y12" s="129">
        <f>W5+5000</f>
        <v>7050</v>
      </c>
      <c r="Z12" s="109" t="s">
        <v>239</v>
      </c>
      <c r="AA12" s="64"/>
      <c r="AB12" s="149" t="s">
        <v>178</v>
      </c>
      <c r="AC12" s="150">
        <v>12330.33</v>
      </c>
      <c r="AD12" s="161" t="s">
        <v>390</v>
      </c>
      <c r="AE12" s="160">
        <v>2000.001</v>
      </c>
      <c r="AF12" s="109" t="s">
        <v>239</v>
      </c>
      <c r="AG12" s="64"/>
      <c r="AH12" s="166" t="s">
        <v>404</v>
      </c>
      <c r="AI12" s="150">
        <v>180</v>
      </c>
      <c r="AJ12" s="161" t="s">
        <v>396</v>
      </c>
      <c r="AK12" s="160">
        <v>10000</v>
      </c>
      <c r="AL12" s="66" t="s">
        <v>440</v>
      </c>
      <c r="AM12" s="183">
        <v>1465</v>
      </c>
      <c r="AN12" s="179" t="s">
        <v>250</v>
      </c>
      <c r="AO12" s="180">
        <v>12240.33</v>
      </c>
      <c r="AP12" s="188"/>
      <c r="AQ12" s="188"/>
      <c r="AR12" s="71" t="s">
        <v>448</v>
      </c>
      <c r="AS12" s="184">
        <v>1000</v>
      </c>
    </row>
    <row r="13" spans="2:63" ht="25.5" x14ac:dyDescent="0.2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30" t="s">
        <v>179</v>
      </c>
      <c r="Y13" s="131">
        <v>11200.001</v>
      </c>
      <c r="Z13" s="109" t="s">
        <v>128</v>
      </c>
      <c r="AA13" s="64">
        <v>-611</v>
      </c>
      <c r="AB13" s="151" t="s">
        <v>191</v>
      </c>
      <c r="AC13" s="150">
        <v>12900</v>
      </c>
      <c r="AD13" s="161" t="s">
        <v>380</v>
      </c>
      <c r="AE13" s="160">
        <v>10100</v>
      </c>
      <c r="AF13" s="109" t="s">
        <v>128</v>
      </c>
      <c r="AG13" s="64">
        <v>-203</v>
      </c>
      <c r="AH13" s="151"/>
      <c r="AI13" s="150"/>
      <c r="AJ13" s="161" t="s">
        <v>411</v>
      </c>
      <c r="AK13" s="160">
        <v>0</v>
      </c>
      <c r="AL13" s="66" t="s">
        <v>434</v>
      </c>
      <c r="AM13" s="183" t="s">
        <v>433</v>
      </c>
      <c r="AN13" s="181" t="s">
        <v>150</v>
      </c>
      <c r="AO13" s="180">
        <v>14750.69</v>
      </c>
      <c r="AP13" s="188" t="s">
        <v>426</v>
      </c>
      <c r="AQ13" s="188">
        <v>1500.001</v>
      </c>
      <c r="AR13" s="186" t="s">
        <v>450</v>
      </c>
      <c r="AS13" s="184" t="s">
        <v>433</v>
      </c>
      <c r="AX13" s="1" t="s">
        <v>98</v>
      </c>
      <c r="AY13" s="202">
        <v>1000.001</v>
      </c>
      <c r="BB13" s="1" t="s">
        <v>98</v>
      </c>
      <c r="BC13" s="202">
        <v>993</v>
      </c>
    </row>
    <row r="14" spans="2:63" ht="25.5" x14ac:dyDescent="0.2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30" t="s">
        <v>149</v>
      </c>
      <c r="Y14" s="131">
        <f>300+500+500</f>
        <v>1300</v>
      </c>
      <c r="Z14" s="109" t="s">
        <v>129</v>
      </c>
      <c r="AA14" s="64">
        <v>-3751</v>
      </c>
      <c r="AB14" s="151" t="s">
        <v>192</v>
      </c>
      <c r="AC14" s="150">
        <v>12608</v>
      </c>
      <c r="AD14" s="161" t="s">
        <v>385</v>
      </c>
      <c r="AE14" s="160">
        <v>0</v>
      </c>
      <c r="AF14" s="109" t="s">
        <v>129</v>
      </c>
      <c r="AG14" s="64">
        <v>-307</v>
      </c>
      <c r="AH14" s="151"/>
      <c r="AI14" s="150"/>
      <c r="AJ14" s="161" t="s">
        <v>385</v>
      </c>
      <c r="AK14" s="160">
        <v>0</v>
      </c>
      <c r="AL14" s="1" t="s">
        <v>98</v>
      </c>
      <c r="AM14" s="183">
        <v>1970</v>
      </c>
      <c r="AN14" s="181" t="s">
        <v>404</v>
      </c>
      <c r="AO14" s="180" t="s">
        <v>427</v>
      </c>
      <c r="AP14" s="189" t="s">
        <v>425</v>
      </c>
      <c r="AQ14" s="188"/>
      <c r="AR14" s="1" t="s">
        <v>98</v>
      </c>
      <c r="AS14" s="183">
        <v>1010</v>
      </c>
      <c r="AX14" s="1" t="s">
        <v>100</v>
      </c>
      <c r="AY14" s="202">
        <v>1501</v>
      </c>
      <c r="BB14" s="1" t="s">
        <v>100</v>
      </c>
      <c r="BC14" s="202">
        <v>865</v>
      </c>
    </row>
    <row r="15" spans="2:63" x14ac:dyDescent="0.2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7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32" t="s">
        <v>1048</v>
      </c>
      <c r="Y15" s="131">
        <v>15000</v>
      </c>
      <c r="Z15" s="109" t="s">
        <v>194</v>
      </c>
      <c r="AA15" s="64">
        <v>-249</v>
      </c>
      <c r="AB15" s="151" t="s">
        <v>301</v>
      </c>
      <c r="AC15" s="150">
        <v>12130</v>
      </c>
      <c r="AD15" s="161" t="s">
        <v>381</v>
      </c>
      <c r="AE15" s="160">
        <f>1300*3</f>
        <v>3900</v>
      </c>
      <c r="AF15" s="109" t="s">
        <v>351</v>
      </c>
      <c r="AG15" s="64">
        <v>303</v>
      </c>
      <c r="AH15" s="151"/>
      <c r="AI15" s="150"/>
      <c r="AJ15" s="161" t="s">
        <v>381</v>
      </c>
      <c r="AK15" s="160">
        <v>0</v>
      </c>
      <c r="AL15" s="1" t="s">
        <v>100</v>
      </c>
      <c r="AM15" s="183">
        <v>1450</v>
      </c>
      <c r="AP15" s="188"/>
      <c r="AQ15" s="188">
        <v>20100</v>
      </c>
      <c r="AR15" s="1" t="s">
        <v>100</v>
      </c>
      <c r="AS15" s="183">
        <v>14470.19</v>
      </c>
      <c r="AX15" t="s">
        <v>498</v>
      </c>
      <c r="AY15" s="202">
        <v>21000.001</v>
      </c>
      <c r="BB15" t="s">
        <v>566</v>
      </c>
      <c r="BC15" s="202">
        <f>9100+2100</f>
        <v>11200</v>
      </c>
    </row>
    <row r="16" spans="2:63" x14ac:dyDescent="0.2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7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32" t="s">
        <v>271</v>
      </c>
      <c r="Y16" s="131">
        <v>40185</v>
      </c>
      <c r="Z16" s="110" t="s">
        <v>245</v>
      </c>
      <c r="AA16" s="63">
        <v>204</v>
      </c>
      <c r="AD16" s="161" t="s">
        <v>382</v>
      </c>
      <c r="AE16" s="160">
        <v>1000.001</v>
      </c>
      <c r="AF16" s="110" t="s">
        <v>350</v>
      </c>
      <c r="AG16" s="64">
        <v>-10.0001</v>
      </c>
      <c r="AH16" s="146"/>
      <c r="AI16" s="146"/>
      <c r="AJ16" s="161" t="s">
        <v>382</v>
      </c>
      <c r="AK16" s="160">
        <v>1000</v>
      </c>
      <c r="AL16" s="109" t="s">
        <v>239</v>
      </c>
      <c r="AM16" s="184"/>
      <c r="AN16" s="171" t="s">
        <v>420</v>
      </c>
      <c r="AO16" s="178">
        <v>11200</v>
      </c>
      <c r="AP16" s="188"/>
      <c r="AQ16" s="188">
        <v>40100</v>
      </c>
      <c r="AR16" s="63" t="s">
        <v>239</v>
      </c>
      <c r="AS16" s="184"/>
      <c r="AX16" t="s">
        <v>499</v>
      </c>
      <c r="AY16" s="202">
        <f>88800+33600.001</f>
        <v>122400.00099999999</v>
      </c>
      <c r="BB16" t="s">
        <v>567</v>
      </c>
      <c r="BC16" s="202">
        <v>0</v>
      </c>
    </row>
    <row r="17" spans="4:55" x14ac:dyDescent="0.2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7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32" t="s">
        <v>390</v>
      </c>
      <c r="Y17" s="133">
        <v>400</v>
      </c>
      <c r="Z17" s="110" t="s">
        <v>247</v>
      </c>
      <c r="AA17" s="63">
        <v>1E-4</v>
      </c>
      <c r="AD17" s="161" t="s">
        <v>383</v>
      </c>
      <c r="AE17" s="160">
        <v>2400</v>
      </c>
      <c r="AF17" t="s">
        <v>352</v>
      </c>
      <c r="AG17" s="1"/>
      <c r="AH17" s="146"/>
      <c r="AI17" s="146"/>
      <c r="AJ17" s="161" t="s">
        <v>384</v>
      </c>
      <c r="AK17" s="160">
        <f>602+702+8001</f>
        <v>9305</v>
      </c>
      <c r="AL17" s="109" t="s">
        <v>128</v>
      </c>
      <c r="AM17" s="184">
        <v>-1370</v>
      </c>
      <c r="AN17" s="171" t="s">
        <v>421</v>
      </c>
      <c r="AO17" s="171">
        <v>800</v>
      </c>
      <c r="AP17" s="188" t="s">
        <v>446</v>
      </c>
      <c r="AQ17" s="188">
        <v>200</v>
      </c>
      <c r="AR17" s="63" t="s">
        <v>128</v>
      </c>
      <c r="AS17" s="184">
        <v>-544.78</v>
      </c>
      <c r="AX17" t="s">
        <v>572</v>
      </c>
      <c r="AY17" s="202">
        <v>-40000</v>
      </c>
      <c r="BB17" t="s">
        <v>577</v>
      </c>
      <c r="BC17" s="202">
        <f>97700+21400</f>
        <v>119100</v>
      </c>
    </row>
    <row r="18" spans="4:55" x14ac:dyDescent="0.2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9">
        <v>3000</v>
      </c>
      <c r="T18" s="63"/>
      <c r="U18" s="63"/>
      <c r="X18" s="134"/>
      <c r="Y18" s="135"/>
      <c r="Z18" s="109" t="s">
        <v>244</v>
      </c>
      <c r="AA18" s="63">
        <v>-20.0001</v>
      </c>
      <c r="AB18" s="146" t="s">
        <v>355</v>
      </c>
      <c r="AC18" s="146">
        <f>17000+28000</f>
        <v>45000</v>
      </c>
      <c r="AD18" s="161" t="s">
        <v>384</v>
      </c>
      <c r="AE18" s="160">
        <v>67429</v>
      </c>
      <c r="AF18" t="s">
        <v>353</v>
      </c>
      <c r="AG18" s="1"/>
      <c r="AH18" s="146" t="s">
        <v>355</v>
      </c>
      <c r="AI18" s="146">
        <v>0</v>
      </c>
      <c r="AL18" s="109" t="s">
        <v>129</v>
      </c>
      <c r="AM18" s="184">
        <v>-120</v>
      </c>
      <c r="AN18" s="171" t="s">
        <v>419</v>
      </c>
      <c r="AO18" s="171">
        <v>800</v>
      </c>
      <c r="AR18" s="63" t="s">
        <v>129</v>
      </c>
      <c r="AS18" s="184">
        <v>-255.15</v>
      </c>
      <c r="AX18" t="s">
        <v>511</v>
      </c>
      <c r="AY18" s="202">
        <v>10000.001</v>
      </c>
      <c r="BB18" t="s">
        <v>511</v>
      </c>
      <c r="BC18" s="202">
        <f>2200+1600</f>
        <v>3800</v>
      </c>
    </row>
    <row r="19" spans="4:55" x14ac:dyDescent="0.2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9">
        <v>10100</v>
      </c>
      <c r="U19" s="1"/>
      <c r="X19" s="153" t="s">
        <v>198</v>
      </c>
      <c r="Y19" s="154">
        <f>567*6</f>
        <v>3402</v>
      </c>
      <c r="AA19" s="1"/>
      <c r="AD19" s="162"/>
      <c r="AE19" s="157"/>
      <c r="AF19" t="s">
        <v>391</v>
      </c>
      <c r="AH19" s="146"/>
      <c r="AI19" s="146"/>
      <c r="AJ19" s="170" t="s">
        <v>106</v>
      </c>
      <c r="AK19" s="169">
        <f>582*2</f>
        <v>1164</v>
      </c>
      <c r="AL19" s="109" t="s">
        <v>351</v>
      </c>
      <c r="AM19" s="184">
        <v>-223</v>
      </c>
      <c r="AP19" s="198" t="s">
        <v>106</v>
      </c>
      <c r="AQ19" s="195">
        <f>626.5*4</f>
        <v>2506</v>
      </c>
      <c r="AR19" s="63" t="s">
        <v>194</v>
      </c>
      <c r="AS19" s="184">
        <v>-84.53</v>
      </c>
      <c r="AV19" s="198" t="s">
        <v>106</v>
      </c>
      <c r="AX19" t="s">
        <v>500</v>
      </c>
      <c r="AY19" s="202">
        <v>0</v>
      </c>
      <c r="BB19" t="s">
        <v>500</v>
      </c>
      <c r="BC19" s="202">
        <v>0</v>
      </c>
    </row>
    <row r="20" spans="4:55" x14ac:dyDescent="0.2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9"/>
      <c r="U20" s="6"/>
      <c r="X20" s="155" t="s">
        <v>362</v>
      </c>
      <c r="Y20" s="154">
        <v>3900</v>
      </c>
      <c r="Z20" s="1" t="s">
        <v>92</v>
      </c>
      <c r="AA20" s="1"/>
      <c r="AB20" s="146" t="s">
        <v>363</v>
      </c>
      <c r="AC20" s="146">
        <v>2203.5</v>
      </c>
      <c r="AD20" s="163" t="s">
        <v>541</v>
      </c>
      <c r="AE20" s="159">
        <v>12745</v>
      </c>
      <c r="AH20" s="185"/>
      <c r="AI20" s="146"/>
      <c r="AL20" s="110" t="s">
        <v>350</v>
      </c>
      <c r="AM20" s="184">
        <v>-10.00001</v>
      </c>
      <c r="AN20" s="171" t="s">
        <v>423</v>
      </c>
      <c r="AP20" s="169"/>
      <c r="AQ20" s="169"/>
      <c r="AR20" s="71" t="s">
        <v>350</v>
      </c>
      <c r="AS20" s="184">
        <v>1E-3</v>
      </c>
      <c r="AV20" t="s">
        <v>485</v>
      </c>
      <c r="AW20">
        <v>900.00099999999998</v>
      </c>
      <c r="AX20" t="s">
        <v>507</v>
      </c>
      <c r="AY20" s="202">
        <v>10000</v>
      </c>
      <c r="BB20" t="s">
        <v>572</v>
      </c>
      <c r="BC20" s="202">
        <v>-40000</v>
      </c>
    </row>
    <row r="21" spans="4:55" x14ac:dyDescent="0.2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20">
        <v>800</v>
      </c>
      <c r="U21" s="1"/>
      <c r="V21" s="73" t="s">
        <v>249</v>
      </c>
      <c r="W21" s="64"/>
      <c r="X21" s="137" t="s">
        <v>272</v>
      </c>
      <c r="Y21" s="125">
        <v>7500</v>
      </c>
      <c r="Z21" s="1" t="s">
        <v>93</v>
      </c>
      <c r="AA21" s="1"/>
      <c r="AB21" s="146" t="s">
        <v>364</v>
      </c>
      <c r="AC21" s="146">
        <v>300.00099999999998</v>
      </c>
      <c r="AD21" s="163" t="s">
        <v>393</v>
      </c>
      <c r="AE21" s="159">
        <f>568*7</f>
        <v>3976</v>
      </c>
      <c r="AH21" s="146"/>
      <c r="AI21" s="146"/>
      <c r="AJ21" s="162"/>
      <c r="AL21" t="s">
        <v>352</v>
      </c>
      <c r="AM21" s="183"/>
      <c r="AN21" s="171" t="s">
        <v>356</v>
      </c>
      <c r="AP21" s="169" t="s">
        <v>477</v>
      </c>
      <c r="AQ21" s="169"/>
      <c r="AR21" s="71" t="s">
        <v>430</v>
      </c>
      <c r="AS21" s="184">
        <v>58</v>
      </c>
    </row>
    <row r="22" spans="4:55" x14ac:dyDescent="0.2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20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7" t="s">
        <v>343</v>
      </c>
      <c r="Y22" s="125">
        <f>220+250+80</f>
        <v>550</v>
      </c>
      <c r="Z22" s="1" t="s">
        <v>95</v>
      </c>
      <c r="AD22" s="162" t="s">
        <v>372</v>
      </c>
      <c r="AE22" s="157"/>
      <c r="AH22" s="146"/>
      <c r="AI22" s="146"/>
      <c r="AJ22" s="168" t="s">
        <v>372</v>
      </c>
      <c r="AK22" s="169"/>
      <c r="AL22" t="s">
        <v>353</v>
      </c>
      <c r="AM22" s="183"/>
      <c r="AN22" s="176">
        <v>42543</v>
      </c>
      <c r="AO22" s="171">
        <v>1400</v>
      </c>
      <c r="AP22" s="169" t="s">
        <v>476</v>
      </c>
      <c r="AQ22" s="169">
        <v>78</v>
      </c>
      <c r="AX22" t="s">
        <v>513</v>
      </c>
    </row>
    <row r="23" spans="4:55" x14ac:dyDescent="0.2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344</v>
      </c>
      <c r="O23" s="67"/>
      <c r="Q23" s="78"/>
      <c r="R23" s="68" t="s">
        <v>219</v>
      </c>
      <c r="S23" s="120">
        <v>2051</v>
      </c>
      <c r="T23" s="1" t="s">
        <v>93</v>
      </c>
      <c r="V23" s="719" t="s">
        <v>264</v>
      </c>
      <c r="W23" s="720"/>
      <c r="X23" s="137" t="s">
        <v>246</v>
      </c>
      <c r="Y23" s="125">
        <v>4000.0010000000002</v>
      </c>
      <c r="Z23" s="6" t="s">
        <v>242</v>
      </c>
      <c r="AD23" s="157" t="s">
        <v>369</v>
      </c>
      <c r="AE23" s="157">
        <v>1100.001</v>
      </c>
      <c r="AF23" s="1" t="s">
        <v>92</v>
      </c>
      <c r="AH23" s="146"/>
      <c r="AI23" s="146"/>
      <c r="AJ23" s="169" t="s">
        <v>369</v>
      </c>
      <c r="AK23" s="169">
        <v>0</v>
      </c>
      <c r="AL23" t="s">
        <v>391</v>
      </c>
      <c r="AN23" s="176">
        <v>42537</v>
      </c>
      <c r="AO23" s="171">
        <v>161</v>
      </c>
      <c r="AP23" s="169" t="s">
        <v>369</v>
      </c>
      <c r="AQ23" s="169">
        <v>0</v>
      </c>
      <c r="AR23" t="s">
        <v>513</v>
      </c>
      <c r="AS23" s="183"/>
      <c r="AX23" t="s">
        <v>391</v>
      </c>
      <c r="BB23" t="s">
        <v>513</v>
      </c>
    </row>
    <row r="24" spans="4:55" x14ac:dyDescent="0.2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20">
        <v>1350</v>
      </c>
      <c r="T24" s="1" t="s">
        <v>95</v>
      </c>
      <c r="V24" s="721"/>
      <c r="W24" s="722"/>
      <c r="X24" s="137" t="s">
        <v>270</v>
      </c>
      <c r="Y24" s="125">
        <f>224*4</f>
        <v>896</v>
      </c>
      <c r="Z24" s="6" t="s">
        <v>304</v>
      </c>
      <c r="AD24" s="157" t="s">
        <v>370</v>
      </c>
      <c r="AE24" s="157">
        <v>400.00099999999998</v>
      </c>
      <c r="AF24" s="1" t="s">
        <v>93</v>
      </c>
      <c r="AH24" s="146"/>
      <c r="AI24" s="146"/>
      <c r="AJ24" s="169" t="s">
        <v>370</v>
      </c>
      <c r="AK24" s="169">
        <v>0</v>
      </c>
      <c r="AN24" s="176" t="s">
        <v>424</v>
      </c>
      <c r="AO24" s="178">
        <v>43028</v>
      </c>
      <c r="AP24" s="169" t="s">
        <v>437</v>
      </c>
      <c r="AQ24" s="169">
        <v>0</v>
      </c>
      <c r="AR24" t="s">
        <v>353</v>
      </c>
      <c r="AS24" s="183"/>
      <c r="AX24" t="s">
        <v>565</v>
      </c>
      <c r="BB24" t="s">
        <v>391</v>
      </c>
    </row>
    <row r="25" spans="4:55" x14ac:dyDescent="0.2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20">
        <v>1736</v>
      </c>
      <c r="T25" s="66" t="s">
        <v>94</v>
      </c>
      <c r="V25" s="50" t="s">
        <v>257</v>
      </c>
      <c r="W25" s="84">
        <v>44820</v>
      </c>
      <c r="X25" s="137" t="s">
        <v>281</v>
      </c>
      <c r="Y25" s="125">
        <v>1476</v>
      </c>
      <c r="Z25" s="66" t="s">
        <v>94</v>
      </c>
      <c r="AB25" s="146" t="s">
        <v>357</v>
      </c>
      <c r="AC25" s="146">
        <f>700*6</f>
        <v>4200</v>
      </c>
      <c r="AD25" s="157" t="s">
        <v>371</v>
      </c>
      <c r="AE25" s="157">
        <v>300.00099999999998</v>
      </c>
      <c r="AF25" s="6" t="s">
        <v>242</v>
      </c>
      <c r="AH25" s="146" t="s">
        <v>398</v>
      </c>
      <c r="AI25" s="146">
        <v>852</v>
      </c>
      <c r="AJ25" s="169" t="s">
        <v>400</v>
      </c>
      <c r="AK25" s="169">
        <v>0</v>
      </c>
      <c r="AP25" s="169" t="s">
        <v>371</v>
      </c>
      <c r="AQ25" s="169">
        <v>1476</v>
      </c>
      <c r="AR25" t="s">
        <v>391</v>
      </c>
      <c r="AV25" s="169" t="s">
        <v>371</v>
      </c>
      <c r="AW25">
        <v>288.75</v>
      </c>
    </row>
    <row r="26" spans="4:55" ht="12.75" customHeight="1" x14ac:dyDescent="0.2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20"/>
      <c r="T26" s="6" t="s">
        <v>187</v>
      </c>
      <c r="V26" s="3" t="s">
        <v>256</v>
      </c>
      <c r="W26">
        <v>3000</v>
      </c>
      <c r="X26" s="137" t="s">
        <v>274</v>
      </c>
      <c r="Y26" s="125">
        <v>300.00099999999998</v>
      </c>
      <c r="Z26" s="6" t="s">
        <v>243</v>
      </c>
      <c r="AB26" s="146" t="s">
        <v>356</v>
      </c>
      <c r="AC26" s="146">
        <f>SUM(AB27:AB31)</f>
        <v>30248</v>
      </c>
      <c r="AD26" s="157" t="s">
        <v>375</v>
      </c>
      <c r="AE26" s="157">
        <v>500.00099999999998</v>
      </c>
      <c r="AF26" s="6" t="s">
        <v>304</v>
      </c>
      <c r="AH26" s="146" t="s">
        <v>356</v>
      </c>
      <c r="AI26" s="146">
        <v>0</v>
      </c>
      <c r="AJ26" s="169" t="s">
        <v>375</v>
      </c>
      <c r="AK26" s="169">
        <v>0</v>
      </c>
      <c r="AN26" s="171" t="s">
        <v>431</v>
      </c>
      <c r="AO26" s="171">
        <v>200</v>
      </c>
      <c r="AP26" s="169" t="s">
        <v>375</v>
      </c>
      <c r="AQ26" s="169">
        <v>251</v>
      </c>
    </row>
    <row r="27" spans="4:55" x14ac:dyDescent="0.2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20">
        <v>5000</v>
      </c>
      <c r="V27" s="73" t="s">
        <v>306</v>
      </c>
      <c r="W27" s="63">
        <v>37114.980000000003</v>
      </c>
      <c r="AB27" s="146">
        <v>5070</v>
      </c>
      <c r="AD27" s="157" t="s">
        <v>376</v>
      </c>
      <c r="AE27" s="157">
        <v>0</v>
      </c>
      <c r="AF27" s="66" t="s">
        <v>94</v>
      </c>
      <c r="AJ27" s="169" t="s">
        <v>376</v>
      </c>
      <c r="AK27" s="169">
        <v>0</v>
      </c>
      <c r="AL27" s="1" t="s">
        <v>92</v>
      </c>
      <c r="AN27" s="171" t="s">
        <v>432</v>
      </c>
      <c r="AO27" s="171">
        <v>800</v>
      </c>
      <c r="AP27" s="169" t="s">
        <v>376</v>
      </c>
      <c r="AQ27" s="169">
        <v>300.00099999999998</v>
      </c>
      <c r="AX27" s="60" t="s">
        <v>512</v>
      </c>
      <c r="BB27" s="201" t="s">
        <v>512</v>
      </c>
    </row>
    <row r="28" spans="4:55" ht="12.75" customHeight="1" x14ac:dyDescent="0.2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20">
        <v>4000</v>
      </c>
      <c r="V28" s="68" t="s">
        <v>266</v>
      </c>
      <c r="W28" s="63"/>
      <c r="X28" s="137" t="s">
        <v>275</v>
      </c>
      <c r="Y28" s="125">
        <v>220.001</v>
      </c>
      <c r="AB28" s="146">
        <v>10150</v>
      </c>
      <c r="AD28" s="157"/>
      <c r="AE28" s="157"/>
      <c r="AF28" s="6" t="s">
        <v>243</v>
      </c>
      <c r="AJ28" s="169"/>
      <c r="AK28" s="169"/>
      <c r="AL28" s="1" t="s">
        <v>93</v>
      </c>
      <c r="AN28" s="193" t="s">
        <v>471</v>
      </c>
      <c r="AO28" s="171">
        <v>600</v>
      </c>
      <c r="AP28" s="169"/>
      <c r="AQ28" s="169"/>
      <c r="AX28" t="s">
        <v>571</v>
      </c>
      <c r="BB28" s="212" t="s">
        <v>569</v>
      </c>
    </row>
    <row r="29" spans="4:55" x14ac:dyDescent="0.2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20">
        <v>1000</v>
      </c>
      <c r="V29" s="90">
        <v>17483.650000000001</v>
      </c>
      <c r="W29" s="63"/>
      <c r="X29" s="137" t="s">
        <v>273</v>
      </c>
      <c r="Y29" s="125">
        <v>200</v>
      </c>
      <c r="AB29" s="146">
        <v>1015</v>
      </c>
      <c r="AD29" s="162" t="s">
        <v>368</v>
      </c>
      <c r="AE29" s="157">
        <f>SUM(AD30:AD32)</f>
        <v>3421</v>
      </c>
      <c r="AF29" s="6" t="s">
        <v>348</v>
      </c>
      <c r="AJ29" s="168" t="s">
        <v>368</v>
      </c>
      <c r="AK29" s="169">
        <f>AJ30+AJ31</f>
        <v>1599</v>
      </c>
      <c r="AL29" s="6" t="s">
        <v>242</v>
      </c>
      <c r="AP29" s="167" t="s">
        <v>238</v>
      </c>
      <c r="AQ29" s="169">
        <v>200.001</v>
      </c>
      <c r="AR29" s="60" t="s">
        <v>512</v>
      </c>
      <c r="AX29" t="s">
        <v>502</v>
      </c>
      <c r="BB29" s="212" t="s">
        <v>576</v>
      </c>
    </row>
    <row r="30" spans="4:55" x14ac:dyDescent="0.2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20">
        <v>1000.01</v>
      </c>
      <c r="V30" s="90">
        <v>12627.53</v>
      </c>
      <c r="W30" s="63"/>
      <c r="X30" s="137" t="s">
        <v>305</v>
      </c>
      <c r="Y30" s="125">
        <v>300.00099999999998</v>
      </c>
      <c r="AB30" s="146">
        <v>1013</v>
      </c>
      <c r="AD30" s="157">
        <v>779</v>
      </c>
      <c r="AE30" s="157"/>
      <c r="AJ30" s="169">
        <v>779</v>
      </c>
      <c r="AL30" s="6" t="s">
        <v>304</v>
      </c>
      <c r="AP30" s="168" t="s">
        <v>452</v>
      </c>
      <c r="AQ30" s="169">
        <f>250+300+100</f>
        <v>650</v>
      </c>
      <c r="AR30" s="1" t="s">
        <v>93</v>
      </c>
      <c r="AX30" t="s">
        <v>514</v>
      </c>
      <c r="BB30" s="212" t="s">
        <v>575</v>
      </c>
    </row>
    <row r="31" spans="4:55" x14ac:dyDescent="0.2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20">
        <v>100.03</v>
      </c>
      <c r="V31" s="90">
        <v>3013.39</v>
      </c>
      <c r="W31" s="63"/>
      <c r="X31" s="137" t="s">
        <v>286</v>
      </c>
      <c r="Y31" s="125">
        <v>216</v>
      </c>
      <c r="AB31" s="146">
        <v>13000</v>
      </c>
      <c r="AD31" s="157">
        <v>779</v>
      </c>
      <c r="AE31" s="157"/>
      <c r="AJ31" s="169">
        <v>820</v>
      </c>
      <c r="AL31" s="66" t="s">
        <v>94</v>
      </c>
      <c r="AP31" s="167" t="s">
        <v>237</v>
      </c>
      <c r="AQ31" s="169">
        <v>200.001</v>
      </c>
      <c r="AR31" s="6" t="s">
        <v>242</v>
      </c>
      <c r="AV31" s="167" t="s">
        <v>482</v>
      </c>
      <c r="AW31">
        <f>65+456</f>
        <v>521</v>
      </c>
      <c r="AX31" t="s">
        <v>503</v>
      </c>
      <c r="BB31" s="213" t="s">
        <v>571</v>
      </c>
    </row>
    <row r="32" spans="4:55" x14ac:dyDescent="0.2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20">
        <v>1000.01</v>
      </c>
      <c r="V32" s="63" t="s">
        <v>307</v>
      </c>
      <c r="W32" s="63"/>
      <c r="X32" s="122" t="s">
        <v>225</v>
      </c>
      <c r="Y32" s="125">
        <v>187</v>
      </c>
      <c r="AD32" s="157">
        <v>1863</v>
      </c>
      <c r="AE32" s="157"/>
      <c r="AL32" s="6" t="s">
        <v>243</v>
      </c>
      <c r="AP32" s="167" t="s">
        <v>139</v>
      </c>
      <c r="AQ32" s="169">
        <v>700.00099999999998</v>
      </c>
      <c r="AR32" s="6" t="s">
        <v>304</v>
      </c>
      <c r="BB32" s="213" t="s">
        <v>574</v>
      </c>
    </row>
    <row r="33" spans="11:56" x14ac:dyDescent="0.2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20">
        <v>100.02</v>
      </c>
      <c r="V33" s="63"/>
      <c r="W33" s="63"/>
      <c r="X33" s="137" t="s">
        <v>276</v>
      </c>
      <c r="Y33" s="125">
        <v>1410</v>
      </c>
      <c r="AD33" s="162" t="s">
        <v>270</v>
      </c>
      <c r="AE33" s="157">
        <v>1550</v>
      </c>
      <c r="AJ33" s="167" t="s">
        <v>377</v>
      </c>
      <c r="AK33" s="169">
        <f>310*2</f>
        <v>620</v>
      </c>
      <c r="AL33" s="6" t="s">
        <v>348</v>
      </c>
      <c r="AP33" s="168" t="s">
        <v>469</v>
      </c>
      <c r="AQ33" s="169">
        <v>1300.001</v>
      </c>
      <c r="AR33" s="66" t="s">
        <v>94</v>
      </c>
      <c r="AX33" s="63" t="s">
        <v>504</v>
      </c>
      <c r="AY33" s="203"/>
      <c r="AZ33" s="214"/>
      <c r="BA33" s="215"/>
      <c r="BB33" s="9" t="s">
        <v>568</v>
      </c>
      <c r="BD33" s="63"/>
    </row>
    <row r="34" spans="11:56" x14ac:dyDescent="0.2">
      <c r="N34" s="67"/>
      <c r="O34" s="67"/>
      <c r="P34" s="68" t="s">
        <v>199</v>
      </c>
      <c r="Q34" s="64">
        <v>2000.02</v>
      </c>
      <c r="R34" s="81">
        <v>42044</v>
      </c>
      <c r="S34" s="120">
        <v>200.02</v>
      </c>
      <c r="AD34" s="162" t="s">
        <v>366</v>
      </c>
      <c r="AE34" s="157">
        <v>800.00099999999998</v>
      </c>
      <c r="AJ34" s="167" t="s">
        <v>238</v>
      </c>
      <c r="AK34" s="169">
        <v>100.001</v>
      </c>
      <c r="AP34" s="167" t="s">
        <v>377</v>
      </c>
      <c r="AQ34" s="169">
        <v>1500.001</v>
      </c>
      <c r="AR34" s="6" t="s">
        <v>243</v>
      </c>
      <c r="AV34" s="167" t="s">
        <v>456</v>
      </c>
      <c r="AW34">
        <v>40</v>
      </c>
      <c r="AX34" s="63" t="s">
        <v>505</v>
      </c>
      <c r="AY34" s="203">
        <f>12000+14000</f>
        <v>26000</v>
      </c>
      <c r="AZ34" s="214"/>
      <c r="BA34" s="215"/>
      <c r="BD34" s="63"/>
    </row>
    <row r="35" spans="11:56" x14ac:dyDescent="0.2">
      <c r="L35" s="47" t="s">
        <v>523</v>
      </c>
      <c r="M35" s="61">
        <v>2000</v>
      </c>
      <c r="N35" s="67"/>
      <c r="O35" s="72"/>
      <c r="R35" s="81">
        <v>42047</v>
      </c>
      <c r="S35" s="120">
        <v>460</v>
      </c>
      <c r="V35" s="47" t="s">
        <v>300</v>
      </c>
      <c r="W35">
        <f>SUM(V37:V42)</f>
        <v>144</v>
      </c>
      <c r="X35" s="136" t="s">
        <v>283</v>
      </c>
      <c r="Y35" s="138"/>
      <c r="AD35" s="162" t="s">
        <v>169</v>
      </c>
      <c r="AE35" s="157">
        <v>600.00099999999998</v>
      </c>
      <c r="AJ35" s="167" t="s">
        <v>237</v>
      </c>
      <c r="AK35" s="169">
        <v>150.001</v>
      </c>
      <c r="AP35" s="168" t="s">
        <v>473</v>
      </c>
      <c r="AQ35" s="169">
        <v>300.00099999999998</v>
      </c>
      <c r="AR35" s="6" t="s">
        <v>348</v>
      </c>
      <c r="AX35" s="63" t="s">
        <v>506</v>
      </c>
      <c r="AY35" s="203">
        <v>0</v>
      </c>
      <c r="AZ35" s="214"/>
      <c r="BA35" s="215"/>
      <c r="BB35" s="109" t="s">
        <v>504</v>
      </c>
      <c r="BC35" s="203"/>
      <c r="BD35" s="63"/>
    </row>
    <row r="36" spans="11:56" x14ac:dyDescent="0.2">
      <c r="N36" s="152"/>
      <c r="O36" s="152"/>
      <c r="R36" s="68" t="s">
        <v>216</v>
      </c>
      <c r="S36" s="120"/>
      <c r="V36" s="47"/>
      <c r="X36" s="136"/>
      <c r="Y36" s="138"/>
      <c r="AD36" s="162" t="s">
        <v>282</v>
      </c>
      <c r="AE36" s="157">
        <v>550.00099999999998</v>
      </c>
      <c r="AJ36" s="167" t="s">
        <v>139</v>
      </c>
      <c r="AK36" s="169">
        <f>642+145</f>
        <v>787</v>
      </c>
      <c r="AX36" s="63" t="s">
        <v>501</v>
      </c>
      <c r="AZ36" s="214">
        <v>-2800000</v>
      </c>
      <c r="BA36" s="215"/>
      <c r="BB36" s="109" t="s">
        <v>505</v>
      </c>
      <c r="BC36" s="203">
        <f>12000+14000+16600</f>
        <v>42600</v>
      </c>
      <c r="BD36" s="63">
        <v>-2800000</v>
      </c>
    </row>
    <row r="37" spans="11:56" ht="14.25" x14ac:dyDescent="0.2">
      <c r="P37" s="47" t="s">
        <v>212</v>
      </c>
      <c r="R37" s="68"/>
      <c r="S37" s="120"/>
      <c r="V37" s="113">
        <v>0</v>
      </c>
      <c r="W37" s="108">
        <v>42248</v>
      </c>
      <c r="X37" s="139" t="s">
        <v>277</v>
      </c>
      <c r="Y37" s="140">
        <v>400</v>
      </c>
      <c r="AD37" s="162" t="s">
        <v>378</v>
      </c>
      <c r="AE37" s="157">
        <f>300.001</f>
        <v>300.00099999999998</v>
      </c>
      <c r="AJ37" s="167" t="s">
        <v>415</v>
      </c>
      <c r="AK37" s="169">
        <v>0</v>
      </c>
      <c r="AP37" s="196" t="s">
        <v>366</v>
      </c>
      <c r="AQ37" s="197">
        <v>800.00099999999998</v>
      </c>
      <c r="AX37" s="63" t="s">
        <v>509</v>
      </c>
      <c r="AY37" s="203"/>
      <c r="AZ37" s="214">
        <v>352000</v>
      </c>
      <c r="BA37" s="215"/>
      <c r="BB37" s="109" t="s">
        <v>506</v>
      </c>
      <c r="BC37" s="203">
        <v>0</v>
      </c>
      <c r="BD37" s="63">
        <v>705000</v>
      </c>
    </row>
    <row r="38" spans="11:56" ht="13.5" thickBot="1" x14ac:dyDescent="0.25">
      <c r="P38" s="79">
        <v>42023</v>
      </c>
      <c r="Q38" s="9">
        <v>1002.34</v>
      </c>
      <c r="R38" s="81">
        <v>42003</v>
      </c>
      <c r="S38" s="120">
        <v>500</v>
      </c>
      <c r="V38">
        <v>30</v>
      </c>
      <c r="W38" s="108">
        <v>42217</v>
      </c>
      <c r="X38" s="139" t="s">
        <v>278</v>
      </c>
      <c r="Y38" s="140">
        <v>150</v>
      </c>
      <c r="AD38" s="123" t="s">
        <v>238</v>
      </c>
      <c r="AE38" s="157">
        <v>400.00099999999998</v>
      </c>
      <c r="AJ38" s="162" t="s">
        <v>270</v>
      </c>
      <c r="AK38" s="157">
        <f>225+10+270+10</f>
        <v>515</v>
      </c>
      <c r="AP38" s="196" t="s">
        <v>282</v>
      </c>
      <c r="AQ38" s="197">
        <v>500.00099999999998</v>
      </c>
      <c r="AX38" s="63" t="s">
        <v>510</v>
      </c>
      <c r="AY38" s="203">
        <f>(AZ36+AZ37)/36</f>
        <v>-68000</v>
      </c>
      <c r="AZ38" s="214"/>
      <c r="BA38" s="215"/>
      <c r="BB38" s="109" t="s">
        <v>578</v>
      </c>
      <c r="BD38" s="63"/>
    </row>
    <row r="39" spans="11:56" x14ac:dyDescent="0.2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9" t="s">
        <v>279</v>
      </c>
      <c r="Y39" s="140">
        <v>94</v>
      </c>
      <c r="AD39" s="123" t="s">
        <v>237</v>
      </c>
      <c r="AE39" s="157">
        <v>700.00099999999998</v>
      </c>
      <c r="AJ39" s="162" t="s">
        <v>366</v>
      </c>
      <c r="AK39" s="157">
        <f>140+160</f>
        <v>300</v>
      </c>
      <c r="AP39" s="196" t="s">
        <v>378</v>
      </c>
      <c r="AQ39" s="197">
        <v>200.001</v>
      </c>
      <c r="AX39" s="63"/>
      <c r="AY39" s="203"/>
      <c r="AZ39" s="214"/>
      <c r="BA39" s="215"/>
      <c r="BB39" s="109" t="s">
        <v>579</v>
      </c>
      <c r="BC39" s="203"/>
      <c r="BD39" s="63"/>
    </row>
    <row r="40" spans="11:56" x14ac:dyDescent="0.2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9" t="s">
        <v>280</v>
      </c>
      <c r="Y40" s="140">
        <v>139.99</v>
      </c>
      <c r="AD40" s="123" t="s">
        <v>139</v>
      </c>
      <c r="AE40" s="157">
        <v>600.00099999999998</v>
      </c>
      <c r="AJ40" s="162" t="s">
        <v>169</v>
      </c>
      <c r="AK40" s="157">
        <v>150</v>
      </c>
      <c r="AP40" s="196" t="s">
        <v>475</v>
      </c>
      <c r="AQ40" s="197">
        <v>400.00099999999998</v>
      </c>
      <c r="AX40" s="63"/>
      <c r="AY40" s="203"/>
      <c r="AZ40" s="214"/>
      <c r="BA40" s="215"/>
      <c r="BB40" s="109" t="s">
        <v>510</v>
      </c>
      <c r="BC40" s="203">
        <f>(BD36+BD37)/37</f>
        <v>-56621.62162162162</v>
      </c>
      <c r="BD40" s="63"/>
    </row>
    <row r="41" spans="11:56" x14ac:dyDescent="0.2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41" t="s">
        <v>298</v>
      </c>
      <c r="Y41" s="142"/>
      <c r="AD41" s="123" t="s">
        <v>377</v>
      </c>
      <c r="AE41" s="157">
        <v>1000.001</v>
      </c>
      <c r="AJ41" s="162" t="s">
        <v>282</v>
      </c>
      <c r="AK41" s="157">
        <f>200.001</f>
        <v>200.001</v>
      </c>
      <c r="BB41" s="109"/>
      <c r="BC41" s="203"/>
    </row>
    <row r="42" spans="11:56" x14ac:dyDescent="0.2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3" t="s">
        <v>301</v>
      </c>
      <c r="Y42" s="142">
        <v>50</v>
      </c>
      <c r="AD42" s="123" t="s">
        <v>387</v>
      </c>
      <c r="AE42" s="157">
        <v>406</v>
      </c>
      <c r="AJ42" s="162" t="s">
        <v>378</v>
      </c>
      <c r="AK42" s="157">
        <v>100.001</v>
      </c>
      <c r="AP42" s="175" t="s">
        <v>453</v>
      </c>
      <c r="AQ42" s="173">
        <v>2531</v>
      </c>
      <c r="BB42" s="109"/>
      <c r="BC42" s="203"/>
    </row>
    <row r="43" spans="11:56" x14ac:dyDescent="0.2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3" t="s">
        <v>253</v>
      </c>
      <c r="Y43" s="142">
        <v>50</v>
      </c>
      <c r="AD43" s="162" t="s">
        <v>402</v>
      </c>
      <c r="AE43" s="157">
        <v>100.001</v>
      </c>
      <c r="AJ43" s="162" t="s">
        <v>402</v>
      </c>
      <c r="AK43" s="157">
        <v>200.001</v>
      </c>
      <c r="AP43" s="173" t="s">
        <v>442</v>
      </c>
      <c r="AQ43" s="173">
        <v>0</v>
      </c>
    </row>
    <row r="44" spans="11:56" ht="25.5" x14ac:dyDescent="0.2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4" t="s">
        <v>289</v>
      </c>
      <c r="Y44" s="142">
        <v>140</v>
      </c>
      <c r="AD44" s="164" t="s">
        <v>389</v>
      </c>
      <c r="AE44" s="157">
        <v>1400.001</v>
      </c>
      <c r="AJ44" s="194" t="s">
        <v>472</v>
      </c>
      <c r="AK44" s="157">
        <v>200.001</v>
      </c>
      <c r="AP44" s="175" t="s">
        <v>441</v>
      </c>
      <c r="AQ44" s="173">
        <v>1233</v>
      </c>
    </row>
    <row r="45" spans="11:56" x14ac:dyDescent="0.2">
      <c r="K45" s="95"/>
      <c r="L45" s="96"/>
      <c r="M45" s="97"/>
      <c r="N45" s="98"/>
      <c r="R45" s="62" t="s">
        <v>229</v>
      </c>
      <c r="S45" s="61">
        <v>600.00099999999998</v>
      </c>
      <c r="X45" s="144" t="s">
        <v>252</v>
      </c>
      <c r="Y45" s="142">
        <v>100</v>
      </c>
      <c r="AD45" s="123" t="s">
        <v>374</v>
      </c>
      <c r="AE45" s="157">
        <v>3200.0010000000002</v>
      </c>
      <c r="AJ45" s="123" t="s">
        <v>374</v>
      </c>
      <c r="AK45" s="157">
        <v>1000.001</v>
      </c>
      <c r="AP45" s="173" t="s">
        <v>444</v>
      </c>
      <c r="AQ45" s="173">
        <v>230</v>
      </c>
    </row>
    <row r="46" spans="11:56" x14ac:dyDescent="0.2">
      <c r="K46" s="95"/>
      <c r="L46" s="96"/>
      <c r="M46" s="97"/>
      <c r="N46" s="98"/>
      <c r="R46" s="47" t="s">
        <v>168</v>
      </c>
      <c r="S46" s="61">
        <v>500</v>
      </c>
      <c r="X46" s="144" t="s">
        <v>251</v>
      </c>
      <c r="Y46" s="142">
        <v>100</v>
      </c>
      <c r="AD46" s="162" t="s">
        <v>403</v>
      </c>
      <c r="AE46" s="157">
        <v>400.00099999999998</v>
      </c>
      <c r="AJ46" s="162" t="s">
        <v>403</v>
      </c>
      <c r="AK46" s="157">
        <v>300.00099999999998</v>
      </c>
      <c r="AP46" s="173" t="s">
        <v>443</v>
      </c>
      <c r="AQ46" s="173">
        <v>200.001</v>
      </c>
    </row>
    <row r="47" spans="11:56" ht="26.25" thickBot="1" x14ac:dyDescent="0.25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4" t="s">
        <v>250</v>
      </c>
      <c r="Y47" s="142">
        <v>140</v>
      </c>
      <c r="AD47" s="162" t="s">
        <v>407</v>
      </c>
      <c r="AE47" s="157">
        <v>0</v>
      </c>
      <c r="AJ47" s="162" t="s">
        <v>408</v>
      </c>
      <c r="AK47" s="157">
        <f>57+103+181</f>
        <v>341</v>
      </c>
      <c r="AP47" s="192" t="s">
        <v>468</v>
      </c>
      <c r="AQ47" s="173">
        <v>200.001</v>
      </c>
      <c r="AV47" s="175" t="s">
        <v>487</v>
      </c>
      <c r="AW47">
        <f>(250+180)+193</f>
        <v>623</v>
      </c>
    </row>
    <row r="48" spans="11:56" x14ac:dyDescent="0.2">
      <c r="P48" s="79">
        <v>41981</v>
      </c>
      <c r="Q48" s="61">
        <v>5005.76</v>
      </c>
      <c r="R48" s="47" t="s">
        <v>174</v>
      </c>
      <c r="S48" s="61">
        <v>200.0001</v>
      </c>
      <c r="X48" s="141" t="s">
        <v>282</v>
      </c>
      <c r="Y48" s="138">
        <f>92*4+50.001</f>
        <v>418.00099999999998</v>
      </c>
      <c r="AD48" s="123" t="s">
        <v>386</v>
      </c>
      <c r="AE48" s="157">
        <v>88</v>
      </c>
      <c r="AJ48" s="162" t="s">
        <v>412</v>
      </c>
      <c r="AK48" s="157">
        <v>159</v>
      </c>
      <c r="AP48" s="175" t="s">
        <v>417</v>
      </c>
      <c r="AQ48" s="173">
        <f>68.74+142.65+48+42.02</f>
        <v>301.40999999999997</v>
      </c>
      <c r="AV48" t="s">
        <v>483</v>
      </c>
      <c r="AW48">
        <f>65*2</f>
        <v>130</v>
      </c>
    </row>
    <row r="49" spans="16:49" x14ac:dyDescent="0.2">
      <c r="P49" s="47" t="s">
        <v>213</v>
      </c>
      <c r="R49" s="47" t="s">
        <v>226</v>
      </c>
      <c r="S49" s="61">
        <v>1030</v>
      </c>
      <c r="AD49" s="123" t="s">
        <v>388</v>
      </c>
      <c r="AE49" s="157">
        <v>120</v>
      </c>
      <c r="AJ49" s="162" t="s">
        <v>413</v>
      </c>
      <c r="AK49" s="157">
        <v>100.001</v>
      </c>
      <c r="AV49" s="60" t="s">
        <v>496</v>
      </c>
      <c r="AW49">
        <v>1480</v>
      </c>
    </row>
    <row r="50" spans="16:49" x14ac:dyDescent="0.2">
      <c r="P50" s="79">
        <v>42024</v>
      </c>
      <c r="Q50" s="61">
        <v>2000</v>
      </c>
      <c r="R50" s="47" t="s">
        <v>222</v>
      </c>
      <c r="S50" s="61">
        <v>1877</v>
      </c>
      <c r="X50" s="123" t="s">
        <v>238</v>
      </c>
      <c r="Y50" s="142">
        <v>600.00099999999998</v>
      </c>
      <c r="AD50" s="162" t="s">
        <v>394</v>
      </c>
      <c r="AE50" s="157">
        <v>1170</v>
      </c>
      <c r="AJ50" s="162" t="s">
        <v>414</v>
      </c>
      <c r="AK50" s="157">
        <v>252</v>
      </c>
      <c r="AP50" s="200" t="s">
        <v>456</v>
      </c>
      <c r="AQ50" s="145">
        <v>60</v>
      </c>
      <c r="AV50" s="60" t="s">
        <v>488</v>
      </c>
      <c r="AW50">
        <v>254</v>
      </c>
    </row>
    <row r="51" spans="16:49" x14ac:dyDescent="0.2">
      <c r="R51" s="47" t="s">
        <v>224</v>
      </c>
      <c r="S51" s="61">
        <v>500</v>
      </c>
      <c r="X51" s="123" t="s">
        <v>237</v>
      </c>
      <c r="Y51" s="125">
        <v>800.00099999999998</v>
      </c>
      <c r="AD51" s="162" t="s">
        <v>367</v>
      </c>
      <c r="AE51" s="157">
        <v>3000.0010000000002</v>
      </c>
      <c r="AJ51" s="162" t="s">
        <v>401</v>
      </c>
      <c r="AK51" s="157">
        <v>120.001</v>
      </c>
      <c r="AP51" s="200" t="s">
        <v>474</v>
      </c>
      <c r="AQ51" s="145">
        <v>600.00099999999998</v>
      </c>
      <c r="AV51" s="60" t="s">
        <v>491</v>
      </c>
      <c r="AW51">
        <v>90.000100000000003</v>
      </c>
    </row>
    <row r="52" spans="16:49" x14ac:dyDescent="0.2">
      <c r="R52" s="47" t="s">
        <v>225</v>
      </c>
      <c r="S52" s="61">
        <v>662</v>
      </c>
      <c r="X52" s="123" t="s">
        <v>287</v>
      </c>
      <c r="Y52" s="142">
        <v>400.00099999999998</v>
      </c>
      <c r="AD52" s="157"/>
      <c r="AE52" s="157"/>
      <c r="AJ52" s="162" t="s">
        <v>406</v>
      </c>
      <c r="AK52" s="157">
        <v>406</v>
      </c>
      <c r="AP52" s="201" t="s">
        <v>454</v>
      </c>
      <c r="AQ52" s="145">
        <v>3893</v>
      </c>
      <c r="AV52" s="60" t="s">
        <v>490</v>
      </c>
      <c r="AW52">
        <v>334.37</v>
      </c>
    </row>
    <row r="53" spans="16:49" x14ac:dyDescent="0.2">
      <c r="R53" s="47" t="s">
        <v>227</v>
      </c>
      <c r="S53" s="61">
        <v>1000.0001</v>
      </c>
      <c r="AD53" s="162" t="s">
        <v>234</v>
      </c>
      <c r="AE53" s="157">
        <v>8000</v>
      </c>
      <c r="AJ53" s="162" t="s">
        <v>405</v>
      </c>
      <c r="AK53" s="157">
        <v>90.001000000000005</v>
      </c>
      <c r="AP53" s="201" t="s">
        <v>270</v>
      </c>
      <c r="AQ53" s="145">
        <f>682*3+225*2</f>
        <v>2496</v>
      </c>
      <c r="AV53" s="60" t="s">
        <v>489</v>
      </c>
      <c r="AW53">
        <v>1000</v>
      </c>
    </row>
    <row r="54" spans="16:49" x14ac:dyDescent="0.2">
      <c r="R54" s="47" t="s">
        <v>288</v>
      </c>
      <c r="S54" s="61">
        <v>2000.001</v>
      </c>
      <c r="X54" s="124" t="s">
        <v>342</v>
      </c>
      <c r="Y54" s="125">
        <v>500.00099999999998</v>
      </c>
      <c r="AD54" s="157"/>
      <c r="AE54" s="157"/>
    </row>
    <row r="55" spans="16:49" x14ac:dyDescent="0.2">
      <c r="R55" s="47" t="s">
        <v>234</v>
      </c>
      <c r="S55" s="61">
        <v>3500.0000100000002</v>
      </c>
      <c r="X55" s="137" t="s">
        <v>302</v>
      </c>
      <c r="Y55" s="125">
        <v>165</v>
      </c>
      <c r="AJ55" s="162" t="s">
        <v>409</v>
      </c>
      <c r="AK55" s="157">
        <v>1700</v>
      </c>
      <c r="AP55" s="175" t="s">
        <v>402</v>
      </c>
      <c r="AQ55" s="173">
        <v>300.00099999999998</v>
      </c>
    </row>
    <row r="56" spans="16:49" x14ac:dyDescent="0.2">
      <c r="X56" s="137" t="s">
        <v>303</v>
      </c>
      <c r="Y56" s="125">
        <v>620.00099999999998</v>
      </c>
      <c r="AJ56" s="157" t="s">
        <v>410</v>
      </c>
      <c r="AP56" s="175" t="s">
        <v>455</v>
      </c>
      <c r="AQ56" s="173">
        <v>250</v>
      </c>
    </row>
    <row r="57" spans="16:49" x14ac:dyDescent="0.2">
      <c r="X57" s="137" t="s">
        <v>308</v>
      </c>
      <c r="Y57" s="125">
        <f>W35/5% + 320.001</f>
        <v>3200.0010000000002</v>
      </c>
      <c r="AP57" s="175" t="s">
        <v>416</v>
      </c>
      <c r="AQ57" s="173">
        <f>78+38</f>
        <v>116</v>
      </c>
    </row>
    <row r="58" spans="16:49" x14ac:dyDescent="0.2">
      <c r="X58" s="141" t="s">
        <v>299</v>
      </c>
      <c r="Y58" s="142">
        <v>1700.001</v>
      </c>
      <c r="AP58" s="175" t="s">
        <v>470</v>
      </c>
      <c r="AQ58" s="173">
        <v>350.00099999999998</v>
      </c>
      <c r="AV58" s="60" t="s">
        <v>495</v>
      </c>
      <c r="AW58">
        <v>473</v>
      </c>
    </row>
    <row r="59" spans="16:49" x14ac:dyDescent="0.2">
      <c r="AP59" s="175" t="s">
        <v>478</v>
      </c>
      <c r="AQ59" s="173">
        <v>45.2</v>
      </c>
      <c r="AV59" s="60" t="s">
        <v>497</v>
      </c>
      <c r="AW59">
        <v>693</v>
      </c>
    </row>
    <row r="60" spans="16:49" x14ac:dyDescent="0.2">
      <c r="AV60" s="60" t="s">
        <v>494</v>
      </c>
      <c r="AW60">
        <v>450.00099999999998</v>
      </c>
    </row>
    <row r="61" spans="16:49" x14ac:dyDescent="0.2">
      <c r="AP61" s="190" t="s">
        <v>374</v>
      </c>
      <c r="AQ61" s="173">
        <v>2000</v>
      </c>
      <c r="AV61" s="60" t="s">
        <v>493</v>
      </c>
      <c r="AW61">
        <v>811</v>
      </c>
    </row>
    <row r="62" spans="16:49" x14ac:dyDescent="0.2">
      <c r="AP62" s="175" t="s">
        <v>409</v>
      </c>
      <c r="AQ62" s="173">
        <v>2600</v>
      </c>
      <c r="AV62" s="60" t="s">
        <v>492</v>
      </c>
      <c r="AW62">
        <v>1305</v>
      </c>
    </row>
    <row r="64" spans="16:49" x14ac:dyDescent="0.2">
      <c r="AP64" s="191" t="s">
        <v>445</v>
      </c>
      <c r="AQ64" s="173" t="s">
        <v>451</v>
      </c>
    </row>
    <row r="65" spans="43:49" x14ac:dyDescent="0.2">
      <c r="AQ65" s="173">
        <v>170</v>
      </c>
    </row>
    <row r="66" spans="43:49" x14ac:dyDescent="0.2">
      <c r="AQ66" s="173">
        <v>160</v>
      </c>
      <c r="AV66" s="60" t="s">
        <v>486</v>
      </c>
      <c r="AW66">
        <v>498</v>
      </c>
    </row>
    <row r="67" spans="43:49" x14ac:dyDescent="0.2">
      <c r="AQ67" s="173">
        <v>45</v>
      </c>
      <c r="AV67" s="175" t="s">
        <v>480</v>
      </c>
      <c r="AW67">
        <v>488</v>
      </c>
    </row>
    <row r="68" spans="43:49" x14ac:dyDescent="0.2">
      <c r="AQ68" s="173">
        <v>65</v>
      </c>
    </row>
    <row r="69" spans="43:49" x14ac:dyDescent="0.2">
      <c r="AQ69" s="173">
        <v>342.38</v>
      </c>
      <c r="AV69" s="175" t="s">
        <v>481</v>
      </c>
      <c r="AW69">
        <f>60.7-29</f>
        <v>31.700000000000003</v>
      </c>
    </row>
    <row r="70" spans="43:49" x14ac:dyDescent="0.2">
      <c r="AQ70" s="173">
        <v>103</v>
      </c>
    </row>
    <row r="71" spans="43:49" x14ac:dyDescent="0.2">
      <c r="AQ71" s="173">
        <v>18.100000000000001</v>
      </c>
    </row>
    <row r="72" spans="43:49" x14ac:dyDescent="0.2">
      <c r="AQ72" s="173">
        <v>34.200000000000003</v>
      </c>
    </row>
    <row r="73" spans="43:49" x14ac:dyDescent="0.2">
      <c r="AQ73" s="173">
        <v>46</v>
      </c>
    </row>
    <row r="74" spans="43:49" x14ac:dyDescent="0.2">
      <c r="AQ74" s="173">
        <v>74.8</v>
      </c>
    </row>
    <row r="75" spans="43:49" x14ac:dyDescent="0.2">
      <c r="AQ75" s="173">
        <v>16</v>
      </c>
    </row>
    <row r="76" spans="43:49" x14ac:dyDescent="0.2">
      <c r="AQ76" s="173">
        <v>37</v>
      </c>
    </row>
    <row r="77" spans="43:49" x14ac:dyDescent="0.2">
      <c r="AQ77" s="173">
        <v>82.2</v>
      </c>
    </row>
    <row r="78" spans="43:49" x14ac:dyDescent="0.2">
      <c r="AQ78" s="173">
        <v>114.5</v>
      </c>
    </row>
    <row r="79" spans="43:49" x14ac:dyDescent="0.2">
      <c r="AQ79" s="173">
        <v>28</v>
      </c>
    </row>
    <row r="80" spans="43:49" x14ac:dyDescent="0.2">
      <c r="AQ80" s="173">
        <v>58</v>
      </c>
    </row>
  </sheetData>
  <mergeCells count="34"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Z4:AA5"/>
    <mergeCell ref="T4:U5"/>
    <mergeCell ref="T1:U1"/>
    <mergeCell ref="V23:W24"/>
    <mergeCell ref="X1:Y1"/>
    <mergeCell ref="V1:W1"/>
  </mergeCell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52"/>
  <sheetViews>
    <sheetView zoomScaleNormal="100" workbookViewId="0">
      <selection activeCell="H53" sqref="H53"/>
    </sheetView>
  </sheetViews>
  <sheetFormatPr defaultRowHeight="12.75" x14ac:dyDescent="0.2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5" bestFit="1" customWidth="1"/>
    <col min="16" max="16" width="6.85546875" bestFit="1" customWidth="1"/>
    <col min="17" max="17" width="5" bestFit="1" customWidth="1"/>
  </cols>
  <sheetData>
    <row r="1" spans="2:14" ht="6" customHeight="1" x14ac:dyDescent="0.2"/>
    <row r="2" spans="2:14" x14ac:dyDescent="0.2">
      <c r="B2" s="260" t="s">
        <v>336</v>
      </c>
      <c r="C2" s="260" t="s">
        <v>335</v>
      </c>
      <c r="D2" s="260" t="s">
        <v>1050</v>
      </c>
      <c r="E2" s="260"/>
      <c r="F2" s="260" t="s">
        <v>326</v>
      </c>
      <c r="G2" s="261" t="s">
        <v>319</v>
      </c>
      <c r="H2" s="262" t="s">
        <v>318</v>
      </c>
      <c r="I2" s="262"/>
      <c r="J2" s="261" t="s">
        <v>319</v>
      </c>
      <c r="K2" s="262" t="s">
        <v>318</v>
      </c>
      <c r="L2" s="262"/>
      <c r="M2" s="261" t="s">
        <v>319</v>
      </c>
      <c r="N2" s="262" t="s">
        <v>318</v>
      </c>
    </row>
    <row r="3" spans="2:14" x14ac:dyDescent="0.2">
      <c r="B3" s="260"/>
      <c r="C3" s="260"/>
      <c r="D3" s="260" t="s">
        <v>2619</v>
      </c>
      <c r="E3" s="260"/>
      <c r="F3" s="260"/>
      <c r="G3" s="739" t="s">
        <v>2738</v>
      </c>
      <c r="H3" s="740"/>
      <c r="I3" s="645"/>
      <c r="J3" s="739" t="s">
        <v>2739</v>
      </c>
      <c r="K3" s="740"/>
      <c r="L3" s="303"/>
      <c r="M3" s="739">
        <v>43739</v>
      </c>
      <c r="N3" s="740"/>
    </row>
    <row r="4" spans="2:14" x14ac:dyDescent="0.2">
      <c r="B4" s="63" t="s">
        <v>324</v>
      </c>
      <c r="C4" s="71" t="s">
        <v>2625</v>
      </c>
      <c r="D4" s="63" t="s">
        <v>1044</v>
      </c>
      <c r="E4" s="63" t="s">
        <v>309</v>
      </c>
      <c r="F4" s="63" t="s">
        <v>1190</v>
      </c>
      <c r="G4" s="649"/>
      <c r="H4" s="712">
        <f>K4</f>
        <v>20000</v>
      </c>
      <c r="I4" s="231"/>
      <c r="J4" s="649"/>
      <c r="K4" s="653">
        <f>N4</f>
        <v>20000</v>
      </c>
      <c r="L4" s="231"/>
      <c r="M4" s="649"/>
      <c r="N4" s="231">
        <v>20000</v>
      </c>
    </row>
    <row r="5" spans="2:14" x14ac:dyDescent="0.2">
      <c r="B5" s="63" t="s">
        <v>324</v>
      </c>
      <c r="C5" s="71" t="s">
        <v>2625</v>
      </c>
      <c r="D5" s="71" t="s">
        <v>1044</v>
      </c>
      <c r="E5" s="63" t="s">
        <v>2626</v>
      </c>
      <c r="F5" s="63" t="s">
        <v>1190</v>
      </c>
      <c r="G5" s="649"/>
      <c r="H5" s="231">
        <f>300*6</f>
        <v>1800</v>
      </c>
      <c r="I5" s="231"/>
      <c r="J5" s="649"/>
      <c r="K5" s="653">
        <f>N5</f>
        <v>1200</v>
      </c>
      <c r="L5" s="231"/>
      <c r="M5" s="649"/>
      <c r="N5" s="231">
        <f>200*6</f>
        <v>1200</v>
      </c>
    </row>
    <row r="6" spans="2:14" x14ac:dyDescent="0.2">
      <c r="B6" s="63" t="s">
        <v>317</v>
      </c>
      <c r="C6" s="71" t="s">
        <v>2625</v>
      </c>
      <c r="D6" s="71" t="s">
        <v>1051</v>
      </c>
      <c r="E6" s="63" t="s">
        <v>2629</v>
      </c>
      <c r="F6" s="63" t="s">
        <v>1190</v>
      </c>
      <c r="G6" s="649"/>
      <c r="H6" s="231">
        <v>23000</v>
      </c>
      <c r="I6" s="231"/>
      <c r="J6" s="649"/>
      <c r="K6" s="231">
        <v>0</v>
      </c>
      <c r="L6" s="231"/>
      <c r="M6" s="649"/>
      <c r="N6" s="231">
        <v>0</v>
      </c>
    </row>
    <row r="7" spans="2:14" s="642" customFormat="1" x14ac:dyDescent="0.2">
      <c r="B7" s="63" t="s">
        <v>317</v>
      </c>
      <c r="C7" s="71" t="s">
        <v>317</v>
      </c>
      <c r="D7" s="71" t="s">
        <v>1051</v>
      </c>
      <c r="E7" s="63" t="s">
        <v>2628</v>
      </c>
      <c r="F7" s="63" t="s">
        <v>1190</v>
      </c>
      <c r="G7" s="649"/>
      <c r="H7" s="231">
        <v>2000</v>
      </c>
      <c r="I7" s="231"/>
      <c r="J7" s="649"/>
      <c r="K7" s="231">
        <v>564</v>
      </c>
      <c r="L7" s="231"/>
      <c r="M7" s="649"/>
      <c r="N7" s="231">
        <v>6100</v>
      </c>
    </row>
    <row r="8" spans="2:14" x14ac:dyDescent="0.2">
      <c r="B8" s="63" t="s">
        <v>317</v>
      </c>
      <c r="C8" s="71" t="s">
        <v>317</v>
      </c>
      <c r="D8" s="71" t="s">
        <v>1045</v>
      </c>
      <c r="E8" s="63" t="s">
        <v>2697</v>
      </c>
      <c r="F8" s="63" t="s">
        <v>1190</v>
      </c>
      <c r="G8" s="649"/>
      <c r="H8" s="231">
        <v>1500</v>
      </c>
      <c r="I8" s="231"/>
      <c r="J8" s="649"/>
      <c r="K8" s="231">
        <v>1642</v>
      </c>
      <c r="L8" s="231"/>
      <c r="M8" s="649"/>
      <c r="N8" s="231">
        <v>1300</v>
      </c>
    </row>
    <row r="9" spans="2:14" x14ac:dyDescent="0.2">
      <c r="B9" s="63" t="s">
        <v>317</v>
      </c>
      <c r="C9" s="71" t="s">
        <v>317</v>
      </c>
      <c r="D9" s="71" t="s">
        <v>1045</v>
      </c>
      <c r="E9" s="63" t="s">
        <v>2630</v>
      </c>
      <c r="F9" s="63" t="s">
        <v>329</v>
      </c>
      <c r="G9" s="649"/>
      <c r="H9" s="231">
        <v>1500</v>
      </c>
      <c r="I9" s="231"/>
      <c r="J9" s="649"/>
      <c r="K9" s="231">
        <v>2031</v>
      </c>
      <c r="L9" s="231"/>
      <c r="M9" s="649"/>
      <c r="N9" s="231">
        <v>107000</v>
      </c>
    </row>
    <row r="10" spans="2:14" x14ac:dyDescent="0.2">
      <c r="B10" s="63" t="s">
        <v>317</v>
      </c>
      <c r="C10" s="71" t="s">
        <v>317</v>
      </c>
      <c r="D10" s="71" t="s">
        <v>1051</v>
      </c>
      <c r="E10" s="63" t="s">
        <v>2631</v>
      </c>
      <c r="F10" s="63" t="s">
        <v>1190</v>
      </c>
      <c r="G10" s="649"/>
      <c r="H10" s="231">
        <f>14300+2000</f>
        <v>16300</v>
      </c>
      <c r="I10" s="231"/>
      <c r="J10" s="649"/>
      <c r="K10" s="231">
        <v>57781</v>
      </c>
      <c r="L10" s="231"/>
      <c r="M10" s="649"/>
      <c r="N10" s="231">
        <v>0</v>
      </c>
    </row>
    <row r="11" spans="2:14" x14ac:dyDescent="0.2">
      <c r="B11" s="63" t="s">
        <v>317</v>
      </c>
      <c r="C11" s="71"/>
      <c r="D11" s="71" t="s">
        <v>1051</v>
      </c>
      <c r="E11" s="63" t="s">
        <v>2610</v>
      </c>
      <c r="F11" s="63" t="s">
        <v>2614</v>
      </c>
      <c r="G11" s="649"/>
      <c r="H11" s="231" t="s">
        <v>2740</v>
      </c>
      <c r="I11" s="231"/>
      <c r="J11" s="649"/>
      <c r="K11" s="231">
        <v>-46000</v>
      </c>
      <c r="L11" s="231"/>
      <c r="M11" s="649"/>
      <c r="N11" s="231">
        <v>-36000</v>
      </c>
    </row>
    <row r="12" spans="2:14" ht="5.25" customHeight="1" x14ac:dyDescent="0.2">
      <c r="B12" s="63"/>
      <c r="C12" s="71"/>
      <c r="D12" s="71"/>
      <c r="E12" s="63" t="s">
        <v>1046</v>
      </c>
      <c r="F12" s="63" t="s">
        <v>1190</v>
      </c>
      <c r="G12" s="649"/>
      <c r="H12" s="231">
        <v>0</v>
      </c>
      <c r="I12" s="231"/>
      <c r="J12" s="649"/>
      <c r="K12" s="651">
        <f>N12</f>
        <v>20000</v>
      </c>
      <c r="L12" s="231"/>
      <c r="M12" s="649"/>
      <c r="N12" s="231">
        <v>20000</v>
      </c>
    </row>
    <row r="13" spans="2:14" s="691" customFormat="1" x14ac:dyDescent="0.2">
      <c r="B13" s="63" t="s">
        <v>317</v>
      </c>
      <c r="C13" s="71" t="s">
        <v>317</v>
      </c>
      <c r="D13" s="71" t="s">
        <v>1051</v>
      </c>
      <c r="E13" s="63" t="s">
        <v>2696</v>
      </c>
      <c r="F13" s="63" t="s">
        <v>1190</v>
      </c>
      <c r="G13" s="649"/>
      <c r="H13" s="231">
        <v>0</v>
      </c>
      <c r="I13" s="231"/>
      <c r="J13" s="649"/>
      <c r="K13" s="651"/>
      <c r="L13" s="231"/>
      <c r="M13" s="649"/>
      <c r="N13" s="231"/>
    </row>
    <row r="14" spans="2:14" x14ac:dyDescent="0.2">
      <c r="B14" s="63" t="s">
        <v>324</v>
      </c>
      <c r="C14" s="71" t="s">
        <v>317</v>
      </c>
      <c r="D14" s="71" t="s">
        <v>2734</v>
      </c>
      <c r="E14" s="63" t="s">
        <v>849</v>
      </c>
      <c r="F14" s="63" t="s">
        <v>1190</v>
      </c>
      <c r="G14" s="649"/>
      <c r="H14" s="712">
        <v>2500</v>
      </c>
      <c r="I14" s="231"/>
      <c r="J14" s="649"/>
      <c r="K14" s="653">
        <f>N14</f>
        <v>2500</v>
      </c>
      <c r="L14" s="231"/>
      <c r="M14" s="649"/>
      <c r="N14" s="231">
        <v>2500</v>
      </c>
    </row>
    <row r="15" spans="2:14" x14ac:dyDescent="0.2">
      <c r="B15" s="63"/>
      <c r="C15" s="71" t="s">
        <v>316</v>
      </c>
      <c r="D15" s="71" t="s">
        <v>2734</v>
      </c>
      <c r="E15" s="63" t="s">
        <v>869</v>
      </c>
      <c r="F15" s="63" t="s">
        <v>1190</v>
      </c>
      <c r="G15" s="649"/>
      <c r="H15" s="712">
        <v>5000</v>
      </c>
      <c r="I15" s="231"/>
      <c r="J15" s="649"/>
      <c r="K15" s="653">
        <f>N15</f>
        <v>5000</v>
      </c>
      <c r="L15" s="231"/>
      <c r="M15" s="649"/>
      <c r="N15" s="231">
        <v>5000</v>
      </c>
    </row>
    <row r="16" spans="2:14" x14ac:dyDescent="0.2">
      <c r="B16" s="63" t="s">
        <v>324</v>
      </c>
      <c r="C16" s="71" t="s">
        <v>317</v>
      </c>
      <c r="D16" s="71" t="s">
        <v>2734</v>
      </c>
      <c r="E16" s="63" t="s">
        <v>877</v>
      </c>
      <c r="F16" s="71" t="s">
        <v>1190</v>
      </c>
      <c r="G16" s="649"/>
      <c r="H16" s="231">
        <v>13400</v>
      </c>
      <c r="I16" s="231"/>
      <c r="J16" s="649"/>
      <c r="K16" s="231">
        <v>1300</v>
      </c>
      <c r="L16" s="231"/>
      <c r="M16" s="649"/>
      <c r="N16" s="231">
        <v>900</v>
      </c>
    </row>
    <row r="17" spans="2:14" s="643" customFormat="1" x14ac:dyDescent="0.2">
      <c r="B17" s="63" t="s">
        <v>324</v>
      </c>
      <c r="C17" s="71" t="s">
        <v>317</v>
      </c>
      <c r="D17" s="71" t="s">
        <v>2734</v>
      </c>
      <c r="E17" s="63" t="s">
        <v>2600</v>
      </c>
      <c r="F17" s="71" t="s">
        <v>1190</v>
      </c>
      <c r="G17" s="649"/>
      <c r="H17" s="712">
        <v>5000</v>
      </c>
      <c r="I17" s="231"/>
      <c r="J17" s="649"/>
      <c r="K17" s="653">
        <f>N17</f>
        <v>5000</v>
      </c>
      <c r="L17" s="231"/>
      <c r="M17" s="649"/>
      <c r="N17" s="231">
        <v>5000</v>
      </c>
    </row>
    <row r="18" spans="2:14" ht="13.15" customHeight="1" x14ac:dyDescent="0.2">
      <c r="B18" s="63"/>
      <c r="C18" s="743" t="s">
        <v>2637</v>
      </c>
      <c r="D18" s="71" t="s">
        <v>2734</v>
      </c>
      <c r="E18" s="63" t="s">
        <v>2621</v>
      </c>
      <c r="F18" s="63" t="s">
        <v>1190</v>
      </c>
      <c r="G18" s="649"/>
      <c r="H18" s="712">
        <f>N18</f>
        <v>90000</v>
      </c>
      <c r="I18" s="231"/>
      <c r="J18" s="649"/>
      <c r="K18" s="653">
        <f>N18</f>
        <v>90000</v>
      </c>
      <c r="L18" s="231"/>
      <c r="M18" s="649"/>
      <c r="N18" s="231">
        <v>90000</v>
      </c>
    </row>
    <row r="19" spans="2:14" x14ac:dyDescent="0.2">
      <c r="B19" s="63"/>
      <c r="C19" s="744"/>
      <c r="D19" s="71" t="s">
        <v>2734</v>
      </c>
      <c r="E19" s="63" t="s">
        <v>2623</v>
      </c>
      <c r="F19" s="63" t="s">
        <v>1190</v>
      </c>
      <c r="G19" s="649"/>
      <c r="H19" s="231">
        <f>N19+169000</f>
        <v>439000</v>
      </c>
      <c r="I19" s="231"/>
      <c r="J19" s="649"/>
      <c r="K19" s="231">
        <f>N19+169000*40%</f>
        <v>337600</v>
      </c>
      <c r="L19" s="231"/>
      <c r="M19" s="649"/>
      <c r="N19" s="231">
        <v>270000</v>
      </c>
    </row>
    <row r="20" spans="2:14" x14ac:dyDescent="0.2">
      <c r="B20" s="63" t="s">
        <v>317</v>
      </c>
      <c r="C20" s="744"/>
      <c r="D20" s="71" t="s">
        <v>2734</v>
      </c>
      <c r="E20" s="63" t="s">
        <v>2622</v>
      </c>
      <c r="F20" s="63" t="s">
        <v>329</v>
      </c>
      <c r="G20" s="649">
        <f>750000-415000</f>
        <v>335000</v>
      </c>
      <c r="H20" s="231"/>
      <c r="I20" s="231"/>
      <c r="J20" s="654">
        <f>M20</f>
        <v>600000</v>
      </c>
      <c r="K20" s="231"/>
      <c r="L20" s="231"/>
      <c r="M20" s="650">
        <v>600000</v>
      </c>
      <c r="N20" s="231"/>
    </row>
    <row r="21" spans="2:14" x14ac:dyDescent="0.2">
      <c r="B21" s="63" t="s">
        <v>317</v>
      </c>
      <c r="C21" s="744"/>
      <c r="D21" s="71" t="s">
        <v>2734</v>
      </c>
      <c r="E21" s="63" t="s">
        <v>2620</v>
      </c>
      <c r="F21" s="63" t="s">
        <v>1190</v>
      </c>
      <c r="G21" s="711">
        <f>200000</f>
        <v>200000</v>
      </c>
      <c r="H21" s="231"/>
      <c r="I21" s="231"/>
      <c r="J21" s="654">
        <f>M21</f>
        <v>200000</v>
      </c>
      <c r="K21" s="231"/>
      <c r="L21" s="231"/>
      <c r="M21" s="650">
        <v>200000</v>
      </c>
      <c r="N21" s="231"/>
    </row>
    <row r="22" spans="2:14" x14ac:dyDescent="0.2">
      <c r="B22" s="63" t="s">
        <v>317</v>
      </c>
      <c r="C22" s="744"/>
      <c r="D22" s="71" t="s">
        <v>1045</v>
      </c>
      <c r="E22" s="63" t="s">
        <v>1192</v>
      </c>
      <c r="F22" s="63" t="s">
        <v>1191</v>
      </c>
      <c r="G22" s="650">
        <f>1000+15000+18000</f>
        <v>34000</v>
      </c>
      <c r="H22" s="231"/>
      <c r="I22" s="231"/>
      <c r="J22" s="650">
        <f>37303+14272+15932</f>
        <v>67507</v>
      </c>
      <c r="K22" s="231"/>
      <c r="L22" s="231"/>
      <c r="M22" s="650">
        <f>(35+13+14)*1000</f>
        <v>62000</v>
      </c>
      <c r="N22" s="231"/>
    </row>
    <row r="23" spans="2:14" x14ac:dyDescent="0.2">
      <c r="B23" s="63" t="s">
        <v>317</v>
      </c>
      <c r="C23" s="744"/>
      <c r="D23" s="71" t="s">
        <v>1051</v>
      </c>
      <c r="E23" s="63" t="s">
        <v>1043</v>
      </c>
      <c r="F23" s="63" t="s">
        <v>1190</v>
      </c>
      <c r="G23" s="710">
        <f>205000+68000</f>
        <v>273000</v>
      </c>
      <c r="H23" s="231"/>
      <c r="I23" s="231"/>
      <c r="J23" s="649">
        <f>57247+54415</f>
        <v>111662</v>
      </c>
      <c r="K23" s="231"/>
      <c r="L23" s="231"/>
      <c r="M23" s="649">
        <f>51797+50452</f>
        <v>102249</v>
      </c>
      <c r="N23" s="231"/>
    </row>
    <row r="24" spans="2:14" x14ac:dyDescent="0.2">
      <c r="B24" s="63" t="s">
        <v>317</v>
      </c>
      <c r="C24" s="744"/>
      <c r="D24" s="71" t="s">
        <v>1051</v>
      </c>
      <c r="E24" s="63" t="s">
        <v>2603</v>
      </c>
      <c r="F24" s="63" t="s">
        <v>1190</v>
      </c>
      <c r="G24" s="652">
        <f>(113000+20000)+8000</f>
        <v>141000</v>
      </c>
      <c r="H24" s="231"/>
      <c r="I24" s="231"/>
      <c r="J24" s="650">
        <v>24201</v>
      </c>
      <c r="K24" s="231"/>
      <c r="L24" s="231"/>
      <c r="M24" s="650">
        <v>17000</v>
      </c>
      <c r="N24" s="231"/>
    </row>
    <row r="25" spans="2:14" x14ac:dyDescent="0.2">
      <c r="B25" s="63" t="s">
        <v>324</v>
      </c>
      <c r="C25" s="744"/>
      <c r="D25" s="63" t="s">
        <v>1189</v>
      </c>
      <c r="E25" s="63" t="s">
        <v>1188</v>
      </c>
      <c r="F25" s="63" t="s">
        <v>1191</v>
      </c>
      <c r="G25" s="711">
        <v>5000</v>
      </c>
      <c r="H25" s="231"/>
      <c r="I25" s="231"/>
      <c r="J25" s="713">
        <v>5000</v>
      </c>
      <c r="K25" s="231"/>
      <c r="L25" s="231"/>
      <c r="M25" s="649">
        <v>5000</v>
      </c>
      <c r="N25" s="231"/>
    </row>
    <row r="26" spans="2:14" s="647" customFormat="1" x14ac:dyDescent="0.2">
      <c r="B26" s="63" t="s">
        <v>2601</v>
      </c>
      <c r="C26" s="745"/>
      <c r="D26" s="71" t="s">
        <v>2734</v>
      </c>
      <c r="E26" s="63" t="s">
        <v>2635</v>
      </c>
      <c r="F26" s="63" t="s">
        <v>329</v>
      </c>
      <c r="G26" s="650">
        <f>15000*3</f>
        <v>45000</v>
      </c>
      <c r="H26" s="231"/>
      <c r="I26" s="231"/>
      <c r="J26" s="654">
        <v>0</v>
      </c>
      <c r="K26" s="231"/>
      <c r="L26" s="231"/>
      <c r="M26" s="650">
        <v>0</v>
      </c>
      <c r="N26" s="231"/>
    </row>
    <row r="27" spans="2:14" x14ac:dyDescent="0.2">
      <c r="B27" s="63" t="s">
        <v>2601</v>
      </c>
      <c r="C27" s="71" t="s">
        <v>316</v>
      </c>
      <c r="D27" s="71" t="s">
        <v>2734</v>
      </c>
      <c r="E27" s="63" t="s">
        <v>2624</v>
      </c>
      <c r="F27" s="63" t="s">
        <v>1190</v>
      </c>
      <c r="G27" s="650" t="s">
        <v>2602</v>
      </c>
      <c r="H27" s="231"/>
      <c r="I27" s="231"/>
      <c r="J27" s="654">
        <f>M27</f>
        <v>20000</v>
      </c>
      <c r="K27" s="231"/>
      <c r="L27" s="231"/>
      <c r="M27" s="650">
        <v>20000</v>
      </c>
      <c r="N27" s="231"/>
    </row>
    <row r="28" spans="2:14" x14ac:dyDescent="0.2">
      <c r="B28" s="63" t="s">
        <v>317</v>
      </c>
      <c r="C28" s="71" t="s">
        <v>317</v>
      </c>
      <c r="D28" s="71" t="s">
        <v>1189</v>
      </c>
      <c r="E28" s="63" t="s">
        <v>2616</v>
      </c>
      <c r="F28" s="63" t="s">
        <v>1191</v>
      </c>
      <c r="G28" s="650">
        <v>1000</v>
      </c>
      <c r="H28" s="231" t="s">
        <v>2605</v>
      </c>
      <c r="I28" s="231"/>
      <c r="J28" s="650">
        <v>92574</v>
      </c>
      <c r="K28" s="231"/>
      <c r="L28" s="231"/>
      <c r="M28" s="650">
        <v>102000</v>
      </c>
      <c r="N28" s="231"/>
    </row>
    <row r="29" spans="2:14" x14ac:dyDescent="0.2">
      <c r="B29" s="63" t="s">
        <v>324</v>
      </c>
      <c r="C29" s="71" t="s">
        <v>337</v>
      </c>
      <c r="D29" s="71" t="s">
        <v>2734</v>
      </c>
      <c r="E29" s="63" t="s">
        <v>2612</v>
      </c>
      <c r="F29" s="63" t="s">
        <v>1190</v>
      </c>
      <c r="G29" s="650">
        <v>40000</v>
      </c>
      <c r="H29" s="231"/>
      <c r="I29" s="231"/>
      <c r="J29" s="650">
        <v>27907</v>
      </c>
      <c r="K29" s="231"/>
      <c r="L29" s="231"/>
      <c r="M29" s="650">
        <v>6000</v>
      </c>
      <c r="N29" s="231"/>
    </row>
    <row r="30" spans="2:14" x14ac:dyDescent="0.2">
      <c r="B30" s="63" t="s">
        <v>317</v>
      </c>
      <c r="C30" s="71" t="s">
        <v>317</v>
      </c>
      <c r="D30" s="71" t="s">
        <v>1051</v>
      </c>
      <c r="E30" s="63" t="s">
        <v>2618</v>
      </c>
      <c r="F30" s="63" t="s">
        <v>1190</v>
      </c>
      <c r="G30" s="650">
        <v>2000</v>
      </c>
      <c r="H30" s="231"/>
      <c r="I30" s="231"/>
      <c r="J30" s="650">
        <v>28176</v>
      </c>
      <c r="K30" s="231"/>
      <c r="L30" s="231"/>
      <c r="M30" s="650">
        <v>20000</v>
      </c>
      <c r="N30" s="231"/>
    </row>
    <row r="31" spans="2:14" s="643" customFormat="1" x14ac:dyDescent="0.2">
      <c r="B31" s="63" t="s">
        <v>317</v>
      </c>
      <c r="C31" s="71" t="s">
        <v>317</v>
      </c>
      <c r="D31" s="71" t="s">
        <v>1051</v>
      </c>
      <c r="E31" s="63" t="s">
        <v>2617</v>
      </c>
      <c r="F31" s="63" t="s">
        <v>1190</v>
      </c>
      <c r="G31" s="650">
        <f>176000</f>
        <v>176000</v>
      </c>
      <c r="H31" s="231"/>
      <c r="I31" s="231"/>
      <c r="J31" s="654">
        <v>0</v>
      </c>
      <c r="K31" s="231"/>
      <c r="L31" s="231"/>
      <c r="M31" s="650">
        <v>0</v>
      </c>
      <c r="N31" s="231"/>
    </row>
    <row r="32" spans="2:14" x14ac:dyDescent="0.2">
      <c r="B32" s="63" t="s">
        <v>317</v>
      </c>
      <c r="C32" s="71" t="s">
        <v>317</v>
      </c>
      <c r="D32" s="71" t="s">
        <v>1187</v>
      </c>
      <c r="E32" s="673" t="s">
        <v>1889</v>
      </c>
      <c r="F32" s="63" t="s">
        <v>1191</v>
      </c>
      <c r="G32" s="652">
        <v>9000</v>
      </c>
      <c r="H32" s="231"/>
      <c r="I32" s="231"/>
      <c r="J32" s="650">
        <v>20000</v>
      </c>
      <c r="K32" s="231"/>
      <c r="L32" s="231"/>
      <c r="M32" s="650">
        <v>0</v>
      </c>
      <c r="N32" s="231"/>
    </row>
    <row r="33" spans="2:19" ht="25.5" x14ac:dyDescent="0.2">
      <c r="B33" s="63" t="s">
        <v>317</v>
      </c>
      <c r="C33" s="71" t="s">
        <v>317</v>
      </c>
      <c r="D33" s="746" t="s">
        <v>1189</v>
      </c>
      <c r="E33" s="673" t="s">
        <v>2698</v>
      </c>
      <c r="F33" s="186" t="s">
        <v>2665</v>
      </c>
      <c r="G33" s="652">
        <v>598000</v>
      </c>
      <c r="H33" s="231"/>
      <c r="I33" s="231"/>
      <c r="J33" s="650">
        <f>27564</f>
        <v>27564</v>
      </c>
      <c r="K33" s="231"/>
      <c r="L33" s="231"/>
      <c r="M33" s="650">
        <v>20000</v>
      </c>
      <c r="N33" s="231"/>
    </row>
    <row r="34" spans="2:19" s="691" customFormat="1" x14ac:dyDescent="0.2">
      <c r="B34" s="63"/>
      <c r="C34" s="71"/>
      <c r="D34" s="747"/>
      <c r="E34" s="673" t="s">
        <v>2699</v>
      </c>
      <c r="F34" s="186" t="s">
        <v>1190</v>
      </c>
      <c r="G34" s="650">
        <f>-140000</f>
        <v>-140000</v>
      </c>
      <c r="H34" s="231"/>
      <c r="I34" s="231"/>
      <c r="J34" s="650"/>
      <c r="K34" s="231"/>
      <c r="L34" s="231"/>
      <c r="M34" s="650"/>
      <c r="N34" s="231"/>
    </row>
    <row r="35" spans="2:19" x14ac:dyDescent="0.2">
      <c r="B35" s="63" t="s">
        <v>317</v>
      </c>
      <c r="C35" s="71"/>
      <c r="D35" s="71"/>
      <c r="E35" s="63" t="s">
        <v>2610</v>
      </c>
      <c r="F35" s="71" t="s">
        <v>2614</v>
      </c>
      <c r="G35" s="650" t="s">
        <v>2611</v>
      </c>
      <c r="H35" s="231"/>
      <c r="I35" s="231"/>
      <c r="J35" s="650">
        <v>-30000</v>
      </c>
      <c r="K35" s="231"/>
      <c r="L35" s="231"/>
      <c r="M35" s="650">
        <v>-40000</v>
      </c>
      <c r="N35" s="231"/>
      <c r="S35" t="s">
        <v>2700</v>
      </c>
    </row>
    <row r="36" spans="2:19" s="672" customFormat="1" x14ac:dyDescent="0.2">
      <c r="B36" s="63"/>
      <c r="C36" s="71"/>
      <c r="D36" s="71" t="s">
        <v>1044</v>
      </c>
      <c r="E36" s="673" t="s">
        <v>2668</v>
      </c>
      <c r="F36" s="186" t="s">
        <v>1190</v>
      </c>
      <c r="G36" s="652" t="s">
        <v>2731</v>
      </c>
      <c r="H36" s="231"/>
      <c r="I36" s="231"/>
      <c r="J36" s="654">
        <v>0</v>
      </c>
      <c r="K36" s="231"/>
      <c r="L36" s="231"/>
      <c r="M36" s="650">
        <v>0</v>
      </c>
      <c r="N36" s="231"/>
    </row>
    <row r="37" spans="2:19" s="688" customFormat="1" x14ac:dyDescent="0.2">
      <c r="B37" s="63" t="s">
        <v>317</v>
      </c>
      <c r="C37" s="71" t="s">
        <v>317</v>
      </c>
      <c r="D37" s="71" t="s">
        <v>1189</v>
      </c>
      <c r="E37" s="673" t="s">
        <v>2695</v>
      </c>
      <c r="F37" s="63" t="s">
        <v>1190</v>
      </c>
      <c r="G37" s="650">
        <v>16000</v>
      </c>
      <c r="H37" s="231"/>
      <c r="I37" s="231"/>
      <c r="J37" s="650"/>
      <c r="K37" s="231"/>
      <c r="L37" s="231"/>
      <c r="M37" s="650"/>
      <c r="N37" s="231"/>
    </row>
    <row r="38" spans="2:19" s="672" customFormat="1" x14ac:dyDescent="0.2">
      <c r="B38" s="63"/>
      <c r="C38" s="71"/>
      <c r="D38" s="71"/>
      <c r="E38" s="63" t="s">
        <v>2666</v>
      </c>
      <c r="F38" s="71" t="s">
        <v>2614</v>
      </c>
      <c r="G38" s="650" t="s">
        <v>2667</v>
      </c>
      <c r="H38" s="231"/>
      <c r="I38" s="231"/>
      <c r="J38" s="650" t="s">
        <v>433</v>
      </c>
      <c r="K38" s="231"/>
      <c r="L38" s="231"/>
      <c r="M38" s="650" t="s">
        <v>433</v>
      </c>
      <c r="N38" s="231"/>
    </row>
    <row r="39" spans="2:19" x14ac:dyDescent="0.2">
      <c r="B39" s="63" t="s">
        <v>317</v>
      </c>
      <c r="C39" s="71" t="s">
        <v>317</v>
      </c>
      <c r="D39" s="71"/>
      <c r="E39" s="63" t="s">
        <v>2613</v>
      </c>
      <c r="F39" s="63" t="s">
        <v>1191</v>
      </c>
      <c r="G39" s="650" t="s">
        <v>332</v>
      </c>
      <c r="H39" s="231"/>
      <c r="I39" s="231"/>
      <c r="J39" s="650" t="s">
        <v>332</v>
      </c>
      <c r="K39" s="231"/>
      <c r="L39" s="231"/>
      <c r="M39" s="650" t="s">
        <v>332</v>
      </c>
      <c r="N39" s="231"/>
    </row>
    <row r="40" spans="2:19" x14ac:dyDescent="0.2">
      <c r="E40" s="210"/>
      <c r="F40" s="210" t="s">
        <v>2609</v>
      </c>
      <c r="G40" s="114">
        <f>SUM(G4:G39)</f>
        <v>1735000</v>
      </c>
      <c r="H40" s="646">
        <f>SUM(H4:H39)</f>
        <v>621000</v>
      </c>
      <c r="J40" s="114">
        <f>SUM(J4:J39)</f>
        <v>1194591</v>
      </c>
      <c r="K40" s="646">
        <f>SUM(K4:K39)</f>
        <v>498618</v>
      </c>
      <c r="M40" s="114">
        <f>SUM(M4:M39)</f>
        <v>1114249</v>
      </c>
      <c r="N40" s="646">
        <f>SUM(N4:N39)</f>
        <v>493000</v>
      </c>
    </row>
    <row r="41" spans="2:19" s="643" customFormat="1" x14ac:dyDescent="0.2">
      <c r="E41" s="210"/>
      <c r="F41" s="210" t="s">
        <v>2669</v>
      </c>
      <c r="G41" s="114">
        <v>1735000</v>
      </c>
      <c r="H41" s="646">
        <v>621000</v>
      </c>
      <c r="I41" s="2"/>
      <c r="J41" s="114">
        <v>1194591</v>
      </c>
      <c r="K41" s="646">
        <v>498618</v>
      </c>
      <c r="L41" s="2"/>
      <c r="M41" s="114">
        <v>1114249</v>
      </c>
      <c r="N41" s="646">
        <v>493000</v>
      </c>
    </row>
    <row r="42" spans="2:19" s="644" customFormat="1" x14ac:dyDescent="0.2">
      <c r="E42" s="648" t="s">
        <v>2632</v>
      </c>
      <c r="F42" s="205">
        <v>1.33</v>
      </c>
      <c r="G42" s="114"/>
      <c r="H42" s="114" t="s">
        <v>2604</v>
      </c>
      <c r="I42" s="2"/>
      <c r="J42" s="114"/>
      <c r="K42" s="646"/>
      <c r="L42" s="2"/>
    </row>
    <row r="43" spans="2:19" s="644" customFormat="1" x14ac:dyDescent="0.2">
      <c r="E43" s="210"/>
      <c r="F43" s="210" t="s">
        <v>2732</v>
      </c>
      <c r="G43" s="742">
        <f>G40/F42+H40</f>
        <v>1925511.2781954887</v>
      </c>
      <c r="H43" s="742"/>
      <c r="I43" s="2"/>
      <c r="J43" s="114"/>
      <c r="K43" s="2"/>
      <c r="L43" s="2"/>
      <c r="M43" s="114"/>
      <c r="N43" s="2"/>
    </row>
    <row r="44" spans="2:19" s="644" customFormat="1" x14ac:dyDescent="0.2">
      <c r="E44" s="210"/>
      <c r="F44" s="210" t="s">
        <v>2733</v>
      </c>
      <c r="G44" s="741">
        <f>H40*F42+G40</f>
        <v>2560930</v>
      </c>
      <c r="H44" s="741"/>
      <c r="I44" s="2"/>
      <c r="J44" s="741">
        <f>K40*1.37+J40</f>
        <v>1877697.6600000001</v>
      </c>
      <c r="K44" s="741"/>
      <c r="L44" s="2"/>
      <c r="M44" s="741">
        <f>N40*1.37+M40</f>
        <v>1789659</v>
      </c>
      <c r="N44" s="741"/>
    </row>
    <row r="45" spans="2:19" x14ac:dyDescent="0.2">
      <c r="I45" s="114"/>
      <c r="L45" s="114"/>
      <c r="N45" s="114"/>
    </row>
    <row r="46" spans="2:19" x14ac:dyDescent="0.2">
      <c r="H46" s="114"/>
      <c r="I46" s="114"/>
      <c r="K46" s="114"/>
      <c r="L46" s="114"/>
      <c r="N46" s="114"/>
    </row>
    <row r="47" spans="2:19" x14ac:dyDescent="0.2">
      <c r="B47" s="738" t="s">
        <v>1193</v>
      </c>
      <c r="C47" s="738"/>
      <c r="D47" s="738"/>
      <c r="E47" s="738"/>
      <c r="F47" s="738"/>
      <c r="G47" s="738"/>
      <c r="H47" s="738"/>
      <c r="I47" s="738"/>
      <c r="J47" s="738"/>
      <c r="K47" s="738"/>
      <c r="L47" s="738"/>
      <c r="M47" s="738"/>
      <c r="N47" s="738"/>
    </row>
    <row r="48" spans="2:19" x14ac:dyDescent="0.2">
      <c r="B48" s="738" t="s">
        <v>2608</v>
      </c>
      <c r="C48" s="738"/>
      <c r="D48" s="738"/>
      <c r="E48" s="738"/>
      <c r="F48" s="738"/>
      <c r="G48" s="738"/>
      <c r="H48" s="738"/>
      <c r="I48" s="738"/>
      <c r="J48" s="738"/>
      <c r="K48" s="738"/>
      <c r="L48" s="738"/>
      <c r="M48" s="738"/>
      <c r="N48" s="738"/>
    </row>
    <row r="49" spans="2:14" x14ac:dyDescent="0.2">
      <c r="B49" s="738" t="s">
        <v>2607</v>
      </c>
      <c r="C49" s="738"/>
      <c r="D49" s="738"/>
      <c r="E49" s="738"/>
      <c r="F49" s="738"/>
      <c r="G49" s="738"/>
      <c r="H49" s="738"/>
      <c r="I49" s="738"/>
      <c r="J49" s="738"/>
      <c r="K49" s="738"/>
      <c r="L49" s="738"/>
      <c r="M49" s="738"/>
      <c r="N49" s="738"/>
    </row>
    <row r="50" spans="2:14" x14ac:dyDescent="0.2">
      <c r="B50" s="737" t="s">
        <v>2606</v>
      </c>
      <c r="C50" s="737"/>
      <c r="D50" s="737"/>
      <c r="E50" s="737"/>
      <c r="F50" s="737"/>
      <c r="G50" s="737"/>
      <c r="H50" s="737"/>
      <c r="I50" s="737"/>
      <c r="J50" s="737"/>
      <c r="K50" s="737"/>
      <c r="L50" s="737"/>
      <c r="M50" s="737"/>
      <c r="N50" s="737"/>
    </row>
    <row r="51" spans="2:14" x14ac:dyDescent="0.2">
      <c r="B51" s="737"/>
      <c r="C51" s="737"/>
      <c r="D51" s="737"/>
      <c r="E51" s="737"/>
      <c r="F51" s="737"/>
      <c r="G51" s="737"/>
      <c r="H51" s="737"/>
      <c r="I51" s="737"/>
      <c r="J51" s="737"/>
      <c r="K51" s="737"/>
      <c r="L51" s="737"/>
      <c r="M51" s="737"/>
      <c r="N51" s="737"/>
    </row>
    <row r="52" spans="2:14" x14ac:dyDescent="0.2">
      <c r="B52" s="737"/>
      <c r="C52" s="737"/>
      <c r="D52" s="737"/>
      <c r="E52" s="737"/>
      <c r="F52" s="737"/>
      <c r="G52" s="737"/>
      <c r="H52" s="737"/>
      <c r="I52" s="737"/>
      <c r="J52" s="737"/>
      <c r="K52" s="737"/>
      <c r="L52" s="737"/>
      <c r="M52" s="737"/>
      <c r="N52" s="737"/>
    </row>
  </sheetData>
  <mergeCells count="13"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</mergeCells>
  <pageMargins left="0.25" right="0.25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1"/>
  <sheetViews>
    <sheetView zoomScaleNormal="100" workbookViewId="0">
      <selection activeCell="H9" sqref="H9"/>
    </sheetView>
  </sheetViews>
  <sheetFormatPr defaultRowHeight="12.75" x14ac:dyDescent="0.2"/>
  <cols>
    <col min="1" max="1" width="1" customWidth="1"/>
    <col min="2" max="2" width="24.28515625" style="689" bestFit="1" customWidth="1"/>
    <col min="3" max="3" width="11.5703125" style="702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 x14ac:dyDescent="0.3">
      <c r="C1" s="699"/>
    </row>
    <row r="2" spans="2:10" x14ac:dyDescent="0.2">
      <c r="B2" s="696" t="s">
        <v>467</v>
      </c>
      <c r="C2" s="700" t="s">
        <v>466</v>
      </c>
      <c r="D2" s="695" t="s">
        <v>462</v>
      </c>
      <c r="E2" s="696" t="s">
        <v>461</v>
      </c>
      <c r="F2" s="694" t="s">
        <v>463</v>
      </c>
      <c r="G2" s="697" t="s">
        <v>2702</v>
      </c>
      <c r="H2" s="697" t="s">
        <v>464</v>
      </c>
    </row>
    <row r="3" spans="2:10" x14ac:dyDescent="0.2">
      <c r="B3" s="63"/>
      <c r="C3" s="701"/>
      <c r="D3" s="63"/>
      <c r="E3" s="90"/>
      <c r="F3" s="90"/>
      <c r="G3" s="90"/>
      <c r="H3" s="90"/>
    </row>
    <row r="4" spans="2:10" x14ac:dyDescent="0.2">
      <c r="B4" s="63" t="s">
        <v>2711</v>
      </c>
      <c r="C4" s="701">
        <v>44926</v>
      </c>
      <c r="D4" s="63"/>
      <c r="E4" s="90">
        <v>645812.68000000005</v>
      </c>
      <c r="F4" s="90"/>
      <c r="G4" s="90"/>
      <c r="H4" s="90"/>
    </row>
    <row r="5" spans="2:10" x14ac:dyDescent="0.2">
      <c r="B5" s="63" t="s">
        <v>2709</v>
      </c>
      <c r="C5" s="701">
        <v>44561</v>
      </c>
      <c r="D5" s="63" t="s">
        <v>2717</v>
      </c>
      <c r="E5" s="90">
        <v>505987.67999999993</v>
      </c>
      <c r="F5" s="63" t="s">
        <v>2717</v>
      </c>
      <c r="G5" s="90"/>
      <c r="H5" s="90"/>
      <c r="J5" s="52"/>
    </row>
    <row r="6" spans="2:10" s="693" customFormat="1" x14ac:dyDescent="0.2">
      <c r="B6" s="63" t="s">
        <v>922</v>
      </c>
      <c r="C6" s="701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93" customFormat="1" x14ac:dyDescent="0.2">
      <c r="B7" s="63" t="s">
        <v>922</v>
      </c>
      <c r="C7" s="701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93" customFormat="1" x14ac:dyDescent="0.2">
      <c r="B8" s="63" t="s">
        <v>2705</v>
      </c>
      <c r="C8" s="701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93" customFormat="1" x14ac:dyDescent="0.2">
      <c r="B9" s="63" t="s">
        <v>2705</v>
      </c>
      <c r="C9" s="701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93" customFormat="1" x14ac:dyDescent="0.2">
      <c r="B10" s="63" t="s">
        <v>2705</v>
      </c>
      <c r="C10" s="701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93" customFormat="1" x14ac:dyDescent="0.2">
      <c r="B11" s="63" t="s">
        <v>2705</v>
      </c>
      <c r="C11" s="701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93" customFormat="1" x14ac:dyDescent="0.2">
      <c r="B12" s="63" t="s">
        <v>2705</v>
      </c>
      <c r="C12" s="701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92" customFormat="1" x14ac:dyDescent="0.2">
      <c r="B13" s="63" t="s">
        <v>2705</v>
      </c>
      <c r="C13" s="701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92" customFormat="1" x14ac:dyDescent="0.2">
      <c r="B14" s="63" t="s">
        <v>2705</v>
      </c>
      <c r="C14" s="701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92" customFormat="1" x14ac:dyDescent="0.2">
      <c r="B15" s="63" t="s">
        <v>2705</v>
      </c>
      <c r="C15" s="701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92" customFormat="1" x14ac:dyDescent="0.2">
      <c r="B16" s="63" t="s">
        <v>2705</v>
      </c>
      <c r="C16" s="701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87" customFormat="1" x14ac:dyDescent="0.2">
      <c r="B17" s="63" t="s">
        <v>2705</v>
      </c>
      <c r="C17" s="701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87" customFormat="1" x14ac:dyDescent="0.2">
      <c r="B18" s="63" t="s">
        <v>2704</v>
      </c>
      <c r="C18" s="701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87" customFormat="1" x14ac:dyDescent="0.2">
      <c r="B19" s="63" t="s">
        <v>2701</v>
      </c>
      <c r="C19" s="701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87" customFormat="1" x14ac:dyDescent="0.2">
      <c r="B20" s="63" t="s">
        <v>2706</v>
      </c>
      <c r="C20" s="701">
        <v>43711</v>
      </c>
      <c r="D20" s="231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 x14ac:dyDescent="0.2">
      <c r="B21" s="186" t="s">
        <v>2703</v>
      </c>
      <c r="C21" s="701">
        <v>43710</v>
      </c>
      <c r="D21" s="704">
        <v>1740000</v>
      </c>
      <c r="E21" s="90">
        <f t="shared" si="0"/>
        <v>1090821.68</v>
      </c>
      <c r="F21" s="690">
        <v>1740000</v>
      </c>
      <c r="G21" s="90">
        <v>46524</v>
      </c>
      <c r="H21" s="90">
        <f>F21/G21</f>
        <v>37.400051586278053</v>
      </c>
    </row>
    <row r="22" spans="2:11" s="687" customFormat="1" x14ac:dyDescent="0.2">
      <c r="B22" s="186"/>
      <c r="C22" s="701">
        <v>43553</v>
      </c>
      <c r="D22" s="705"/>
      <c r="E22" s="90">
        <f t="shared" si="0"/>
        <v>1090821.68</v>
      </c>
      <c r="F22" s="690">
        <v>100</v>
      </c>
      <c r="G22" s="90"/>
      <c r="H22" s="90"/>
    </row>
    <row r="23" spans="2:11" x14ac:dyDescent="0.2">
      <c r="B23" s="63" t="s">
        <v>1038</v>
      </c>
      <c r="C23" s="701">
        <v>43228</v>
      </c>
      <c r="D23" s="231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87" customFormat="1" x14ac:dyDescent="0.2">
      <c r="B24" s="63" t="s">
        <v>2716</v>
      </c>
      <c r="C24" s="701">
        <v>43100</v>
      </c>
      <c r="D24" s="63" t="s">
        <v>2717</v>
      </c>
      <c r="E24" s="90">
        <v>705314.48</v>
      </c>
      <c r="F24" s="63" t="s">
        <v>2717</v>
      </c>
      <c r="G24" s="90"/>
      <c r="H24" s="90"/>
      <c r="K24" s="52"/>
    </row>
    <row r="25" spans="2:11" x14ac:dyDescent="0.2">
      <c r="B25" s="63" t="s">
        <v>2714</v>
      </c>
      <c r="C25" s="701" t="s">
        <v>2694</v>
      </c>
      <c r="D25" s="231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98" customFormat="1" x14ac:dyDescent="0.2">
      <c r="B26" s="63" t="s">
        <v>2710</v>
      </c>
      <c r="C26" s="701" t="s">
        <v>2715</v>
      </c>
      <c r="D26" s="231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 x14ac:dyDescent="0.2">
      <c r="B27" s="63" t="s">
        <v>457</v>
      </c>
      <c r="C27" s="701">
        <v>42627</v>
      </c>
      <c r="D27" s="231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 x14ac:dyDescent="0.2">
      <c r="B28" s="63" t="s">
        <v>458</v>
      </c>
      <c r="C28" s="701">
        <v>42626</v>
      </c>
      <c r="D28" s="231">
        <v>20000</v>
      </c>
      <c r="E28" s="90">
        <f t="shared" si="1"/>
        <v>85314.48000000001</v>
      </c>
      <c r="F28" s="63">
        <v>0</v>
      </c>
      <c r="G28" s="63"/>
      <c r="H28" s="63"/>
    </row>
    <row r="29" spans="2:11" x14ac:dyDescent="0.2">
      <c r="B29" s="63" t="s">
        <v>458</v>
      </c>
      <c r="C29" s="701">
        <v>42594</v>
      </c>
      <c r="D29" s="231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 x14ac:dyDescent="0.2">
      <c r="B30" s="63" t="s">
        <v>458</v>
      </c>
      <c r="C30" s="701">
        <v>42563</v>
      </c>
      <c r="D30" s="231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 x14ac:dyDescent="0.2">
      <c r="B31" s="63" t="s">
        <v>458</v>
      </c>
      <c r="C31" s="701">
        <v>42534</v>
      </c>
      <c r="D31" s="231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 x14ac:dyDescent="0.2">
      <c r="B32" s="63" t="s">
        <v>458</v>
      </c>
      <c r="C32" s="701">
        <v>42502</v>
      </c>
      <c r="D32" s="231">
        <v>20000</v>
      </c>
      <c r="E32" s="90">
        <f t="shared" si="1"/>
        <v>165314.48000000001</v>
      </c>
      <c r="F32" s="63">
        <v>0</v>
      </c>
      <c r="G32" s="63"/>
      <c r="H32" s="63"/>
    </row>
    <row r="33" spans="2:8" x14ac:dyDescent="0.2">
      <c r="B33" s="63" t="s">
        <v>458</v>
      </c>
      <c r="C33" s="701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 x14ac:dyDescent="0.2">
      <c r="B34" s="63" t="s">
        <v>459</v>
      </c>
      <c r="C34" s="701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 x14ac:dyDescent="0.2">
      <c r="B35" s="63" t="s">
        <v>2712</v>
      </c>
      <c r="C35" s="701">
        <v>42487</v>
      </c>
      <c r="D35" s="231">
        <v>20000</v>
      </c>
      <c r="E35" s="90">
        <f t="shared" si="1"/>
        <v>207062</v>
      </c>
      <c r="F35" s="63">
        <v>0</v>
      </c>
      <c r="G35" s="63"/>
      <c r="H35" s="63"/>
    </row>
    <row r="36" spans="2:8" x14ac:dyDescent="0.2">
      <c r="B36" s="63" t="s">
        <v>2713</v>
      </c>
      <c r="C36" s="701">
        <v>42487</v>
      </c>
      <c r="D36" s="231">
        <v>20000</v>
      </c>
      <c r="E36" s="90">
        <f t="shared" si="1"/>
        <v>227062</v>
      </c>
      <c r="F36" s="63">
        <v>0</v>
      </c>
      <c r="G36" s="63"/>
      <c r="H36" s="63"/>
    </row>
    <row r="37" spans="2:8" x14ac:dyDescent="0.2">
      <c r="B37" s="63" t="s">
        <v>460</v>
      </c>
      <c r="C37" s="701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98" customFormat="1" x14ac:dyDescent="0.2">
      <c r="B38" s="63"/>
      <c r="C38" s="701"/>
      <c r="D38" s="63"/>
      <c r="E38" s="749" t="s">
        <v>2720</v>
      </c>
      <c r="F38" s="750"/>
      <c r="G38" s="90"/>
      <c r="H38" s="90"/>
    </row>
    <row r="39" spans="2:8" x14ac:dyDescent="0.2">
      <c r="B39" s="63" t="s">
        <v>2718</v>
      </c>
      <c r="C39" s="701" t="s">
        <v>332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 x14ac:dyDescent="0.2">
      <c r="F40" s="210" t="s">
        <v>2719</v>
      </c>
    </row>
    <row r="41" spans="2:8" ht="18" x14ac:dyDescent="0.25">
      <c r="B41" s="748" t="s">
        <v>996</v>
      </c>
      <c r="C41" s="748"/>
      <c r="D41" s="748"/>
      <c r="E41" s="748"/>
      <c r="F41" s="748"/>
      <c r="G41" s="748"/>
      <c r="H41" s="748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4"/>
  <sheetViews>
    <sheetView workbookViewId="0">
      <selection activeCell="E40" sqref="E40"/>
    </sheetView>
  </sheetViews>
  <sheetFormatPr defaultRowHeight="12.75" x14ac:dyDescent="0.2"/>
  <cols>
    <col min="1" max="1" width="1.140625" customWidth="1"/>
    <col min="3" max="3" width="10.7109375" style="288" bestFit="1" customWidth="1"/>
    <col min="4" max="4" width="12.85546875" bestFit="1" customWidth="1"/>
    <col min="5" max="5" width="9.140625" style="288"/>
  </cols>
  <sheetData>
    <row r="2" spans="2:5" x14ac:dyDescent="0.2">
      <c r="B2" s="63" t="s">
        <v>466</v>
      </c>
      <c r="C2" s="228" t="s">
        <v>919</v>
      </c>
      <c r="D2" s="63" t="s">
        <v>467</v>
      </c>
      <c r="E2" s="228" t="s">
        <v>920</v>
      </c>
    </row>
    <row r="3" spans="2:5" x14ac:dyDescent="0.2">
      <c r="B3" s="229">
        <v>42430</v>
      </c>
      <c r="C3" s="228">
        <v>400</v>
      </c>
      <c r="D3" s="63" t="s">
        <v>925</v>
      </c>
      <c r="E3" s="228">
        <v>892</v>
      </c>
    </row>
    <row r="4" spans="2:5" x14ac:dyDescent="0.2">
      <c r="B4" s="229">
        <v>42705</v>
      </c>
      <c r="C4" s="228">
        <v>-8</v>
      </c>
      <c r="D4" s="63" t="s">
        <v>924</v>
      </c>
      <c r="E4" s="228">
        <v>492</v>
      </c>
    </row>
    <row r="5" spans="2:5" x14ac:dyDescent="0.2">
      <c r="B5" s="229">
        <v>42705</v>
      </c>
      <c r="C5" s="228">
        <v>500</v>
      </c>
      <c r="D5" s="63" t="s">
        <v>465</v>
      </c>
      <c r="E5" s="228">
        <v>500</v>
      </c>
    </row>
    <row r="6" spans="2:5" x14ac:dyDescent="0.2">
      <c r="B6" s="81">
        <v>42918</v>
      </c>
      <c r="C6" s="228">
        <v>-7.37</v>
      </c>
      <c r="D6" s="63" t="s">
        <v>923</v>
      </c>
      <c r="E6" s="228">
        <v>880.85</v>
      </c>
    </row>
    <row r="7" spans="2:5" x14ac:dyDescent="0.2">
      <c r="B7" s="81">
        <v>43010</v>
      </c>
      <c r="C7" s="228">
        <v>-7.47</v>
      </c>
      <c r="D7" s="63" t="s">
        <v>923</v>
      </c>
      <c r="E7" s="228">
        <v>873.38</v>
      </c>
    </row>
    <row r="8" spans="2:5" x14ac:dyDescent="0.2">
      <c r="B8" s="81">
        <v>43095</v>
      </c>
      <c r="C8" s="228">
        <v>-8</v>
      </c>
      <c r="D8" s="63" t="s">
        <v>924</v>
      </c>
      <c r="E8" s="228">
        <v>865.38</v>
      </c>
    </row>
    <row r="9" spans="2:5" x14ac:dyDescent="0.2">
      <c r="B9" s="81">
        <v>43095</v>
      </c>
      <c r="C9" s="228">
        <v>-7.5</v>
      </c>
      <c r="D9" s="63" t="s">
        <v>923</v>
      </c>
      <c r="E9" s="228">
        <v>857.88</v>
      </c>
    </row>
    <row r="10" spans="2:5" x14ac:dyDescent="0.2">
      <c r="B10" s="81">
        <v>43136</v>
      </c>
      <c r="C10" s="228">
        <v>2905</v>
      </c>
      <c r="D10" s="63" t="s">
        <v>922</v>
      </c>
      <c r="E10" s="228">
        <v>3762.88</v>
      </c>
    </row>
    <row r="11" spans="2:5" x14ac:dyDescent="0.2">
      <c r="B11" s="81">
        <v>43227</v>
      </c>
      <c r="C11" s="228">
        <v>2905</v>
      </c>
      <c r="D11" s="63" t="s">
        <v>922</v>
      </c>
      <c r="E11" s="228">
        <v>6667.88</v>
      </c>
    </row>
    <row r="12" spans="2:5" x14ac:dyDescent="0.2">
      <c r="B12" s="63" t="s">
        <v>1294</v>
      </c>
      <c r="C12" s="228"/>
      <c r="D12" s="63" t="s">
        <v>921</v>
      </c>
      <c r="E12" s="228"/>
    </row>
    <row r="13" spans="2:5" x14ac:dyDescent="0.2">
      <c r="B13" s="63"/>
      <c r="C13" s="228"/>
      <c r="D13" s="63"/>
      <c r="E13" s="228"/>
    </row>
    <row r="14" spans="2:5" x14ac:dyDescent="0.2">
      <c r="B14" s="81">
        <v>43862</v>
      </c>
      <c r="C14" s="228">
        <v>2905</v>
      </c>
      <c r="D14" s="63"/>
      <c r="E14" s="228"/>
    </row>
    <row r="15" spans="2:5" x14ac:dyDescent="0.2">
      <c r="B15" s="81">
        <v>43880</v>
      </c>
      <c r="C15" s="228">
        <v>-20600</v>
      </c>
      <c r="D15" s="63" t="s">
        <v>1295</v>
      </c>
      <c r="E15" s="228">
        <v>564</v>
      </c>
    </row>
    <row r="16" spans="2:5" x14ac:dyDescent="0.2">
      <c r="B16" s="81">
        <v>43952</v>
      </c>
      <c r="C16" s="228">
        <v>2905</v>
      </c>
      <c r="D16" s="63"/>
      <c r="E16" s="228">
        <f>E15+C16</f>
        <v>3469</v>
      </c>
    </row>
    <row r="17" spans="2:5" x14ac:dyDescent="0.2">
      <c r="B17" s="81">
        <v>44012</v>
      </c>
      <c r="C17" s="228">
        <v>12.51</v>
      </c>
      <c r="D17" s="63" t="s">
        <v>1296</v>
      </c>
      <c r="E17" s="228">
        <f>E16+C17</f>
        <v>3481.51</v>
      </c>
    </row>
    <row r="18" spans="2:5" x14ac:dyDescent="0.2">
      <c r="B18" s="81">
        <v>44044</v>
      </c>
      <c r="C18" s="228">
        <v>2905</v>
      </c>
      <c r="D18" s="63"/>
      <c r="E18" s="228">
        <f>E17+C18</f>
        <v>6386.51</v>
      </c>
    </row>
    <row r="19" spans="2:5" x14ac:dyDescent="0.2">
      <c r="B19" s="81">
        <v>44139</v>
      </c>
      <c r="C19" s="228">
        <f>1319+1586</f>
        <v>2905</v>
      </c>
      <c r="D19" s="63"/>
      <c r="E19" s="228">
        <f>E18+C19</f>
        <v>9291.51</v>
      </c>
    </row>
    <row r="20" spans="2:5" x14ac:dyDescent="0.2">
      <c r="B20" s="63"/>
      <c r="C20" s="228"/>
      <c r="D20" s="63"/>
      <c r="E20" s="228"/>
    </row>
    <row r="21" spans="2:5" x14ac:dyDescent="0.2">
      <c r="B21" s="63"/>
      <c r="C21" s="228"/>
      <c r="D21" s="63"/>
      <c r="E21" s="228"/>
    </row>
    <row r="22" spans="2:5" x14ac:dyDescent="0.2">
      <c r="B22" s="63"/>
      <c r="C22" s="228"/>
      <c r="D22" s="63"/>
      <c r="E22" s="228"/>
    </row>
    <row r="23" spans="2:5" x14ac:dyDescent="0.2">
      <c r="B23" s="81"/>
      <c r="C23" s="228"/>
      <c r="D23" s="63"/>
      <c r="E23" s="228"/>
    </row>
    <row r="24" spans="2:5" x14ac:dyDescent="0.2">
      <c r="B24" s="63"/>
      <c r="C24" s="228"/>
      <c r="D24" s="63"/>
      <c r="E24" s="228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G44"/>
  <sheetViews>
    <sheetView topLeftCell="EI1" zoomScaleNormal="100" workbookViewId="0">
      <selection activeCell="FE10" sqref="FE10"/>
    </sheetView>
  </sheetViews>
  <sheetFormatPr defaultRowHeight="12.75" x14ac:dyDescent="0.2"/>
  <cols>
    <col min="1" max="1" width="1.7109375" customWidth="1"/>
    <col min="2" max="2" width="9.7109375" bestFit="1" customWidth="1"/>
    <col min="3" max="3" width="9" bestFit="1" customWidth="1"/>
    <col min="4" max="4" width="10.28515625" style="145" customWidth="1"/>
    <col min="5" max="5" width="9" style="206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5" customWidth="1"/>
    <col min="102" max="105" width="10.28515625" customWidth="1"/>
    <col min="106" max="107" width="10.28515625" style="145" customWidth="1"/>
    <col min="108" max="111" width="10.28515625" customWidth="1"/>
    <col min="112" max="113" width="10.28515625" style="145" customWidth="1"/>
    <col min="114" max="117" width="10.28515625" customWidth="1"/>
    <col min="118" max="119" width="10.28515625" style="145" customWidth="1"/>
    <col min="120" max="123" width="10.28515625" customWidth="1"/>
    <col min="124" max="125" width="10.28515625" style="145" customWidth="1"/>
    <col min="126" max="129" width="10.28515625" customWidth="1"/>
    <col min="130" max="130" width="21.85546875" style="145" bestFit="1" customWidth="1"/>
    <col min="131" max="131" width="10.28515625" style="145" customWidth="1"/>
    <col min="132" max="135" width="10.28515625" customWidth="1"/>
    <col min="136" max="136" width="20.42578125" style="145" bestFit="1" customWidth="1"/>
    <col min="137" max="137" width="10.28515625" style="145" customWidth="1"/>
    <col min="138" max="141" width="10.28515625" customWidth="1"/>
    <col min="142" max="143" width="10.28515625" style="145" customWidth="1"/>
    <col min="144" max="147" width="10.28515625" customWidth="1"/>
    <col min="148" max="149" width="10.28515625" style="145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5" customWidth="1"/>
    <col min="155" max="155" width="9" style="145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 x14ac:dyDescent="0.25">
      <c r="B1" s="727" t="s">
        <v>915</v>
      </c>
      <c r="C1" s="727"/>
      <c r="D1" s="726" t="s">
        <v>521</v>
      </c>
      <c r="E1" s="726"/>
      <c r="F1" s="727" t="s">
        <v>519</v>
      </c>
      <c r="G1" s="727"/>
      <c r="H1" s="754" t="s">
        <v>555</v>
      </c>
      <c r="I1" s="754"/>
      <c r="J1" s="726" t="s">
        <v>521</v>
      </c>
      <c r="K1" s="726"/>
      <c r="L1" s="727" t="s">
        <v>914</v>
      </c>
      <c r="M1" s="727"/>
      <c r="N1" s="754" t="s">
        <v>555</v>
      </c>
      <c r="O1" s="754"/>
      <c r="P1" s="726" t="s">
        <v>521</v>
      </c>
      <c r="Q1" s="726"/>
      <c r="R1" s="727" t="s">
        <v>558</v>
      </c>
      <c r="S1" s="727"/>
      <c r="T1" s="754" t="s">
        <v>555</v>
      </c>
      <c r="U1" s="754"/>
      <c r="V1" s="726" t="s">
        <v>521</v>
      </c>
      <c r="W1" s="726"/>
      <c r="X1" s="727" t="s">
        <v>913</v>
      </c>
      <c r="Y1" s="727"/>
      <c r="Z1" s="754" t="s">
        <v>555</v>
      </c>
      <c r="AA1" s="754"/>
      <c r="AB1" s="726" t="s">
        <v>521</v>
      </c>
      <c r="AC1" s="726"/>
      <c r="AD1" s="727" t="s">
        <v>597</v>
      </c>
      <c r="AE1" s="727"/>
      <c r="AF1" s="754" t="s">
        <v>555</v>
      </c>
      <c r="AG1" s="754"/>
      <c r="AH1" s="726" t="s">
        <v>521</v>
      </c>
      <c r="AI1" s="726"/>
      <c r="AJ1" s="727" t="s">
        <v>912</v>
      </c>
      <c r="AK1" s="727"/>
      <c r="AL1" s="754" t="s">
        <v>632</v>
      </c>
      <c r="AM1" s="754"/>
      <c r="AN1" s="726" t="s">
        <v>633</v>
      </c>
      <c r="AO1" s="726"/>
      <c r="AP1" s="727" t="s">
        <v>627</v>
      </c>
      <c r="AQ1" s="727"/>
      <c r="AR1" s="754" t="s">
        <v>555</v>
      </c>
      <c r="AS1" s="754"/>
      <c r="AT1" s="726" t="s">
        <v>521</v>
      </c>
      <c r="AU1" s="726"/>
      <c r="AV1" s="727" t="s">
        <v>911</v>
      </c>
      <c r="AW1" s="727"/>
      <c r="AX1" s="754" t="s">
        <v>555</v>
      </c>
      <c r="AY1" s="754"/>
      <c r="AZ1" s="726" t="s">
        <v>521</v>
      </c>
      <c r="BA1" s="726"/>
      <c r="BB1" s="727" t="s">
        <v>659</v>
      </c>
      <c r="BC1" s="727"/>
      <c r="BD1" s="754" t="s">
        <v>555</v>
      </c>
      <c r="BE1" s="754"/>
      <c r="BF1" s="726" t="s">
        <v>521</v>
      </c>
      <c r="BG1" s="726"/>
      <c r="BH1" s="727" t="s">
        <v>910</v>
      </c>
      <c r="BI1" s="727"/>
      <c r="BJ1" s="754" t="s">
        <v>555</v>
      </c>
      <c r="BK1" s="754"/>
      <c r="BL1" s="726" t="s">
        <v>521</v>
      </c>
      <c r="BM1" s="726"/>
      <c r="BN1" s="727" t="s">
        <v>928</v>
      </c>
      <c r="BO1" s="727"/>
      <c r="BP1" s="754" t="s">
        <v>555</v>
      </c>
      <c r="BQ1" s="754"/>
      <c r="BR1" s="726" t="s">
        <v>521</v>
      </c>
      <c r="BS1" s="726"/>
      <c r="BT1" s="727" t="s">
        <v>909</v>
      </c>
      <c r="BU1" s="727"/>
      <c r="BV1" s="754" t="s">
        <v>710</v>
      </c>
      <c r="BW1" s="754"/>
      <c r="BX1" s="726" t="s">
        <v>711</v>
      </c>
      <c r="BY1" s="726"/>
      <c r="BZ1" s="727" t="s">
        <v>709</v>
      </c>
      <c r="CA1" s="727"/>
      <c r="CB1" s="754" t="s">
        <v>736</v>
      </c>
      <c r="CC1" s="754"/>
      <c r="CD1" s="726" t="s">
        <v>737</v>
      </c>
      <c r="CE1" s="726"/>
      <c r="CF1" s="727" t="s">
        <v>908</v>
      </c>
      <c r="CG1" s="727"/>
      <c r="CH1" s="754" t="s">
        <v>736</v>
      </c>
      <c r="CI1" s="754"/>
      <c r="CJ1" s="726" t="s">
        <v>737</v>
      </c>
      <c r="CK1" s="726"/>
      <c r="CL1" s="727" t="s">
        <v>754</v>
      </c>
      <c r="CM1" s="727"/>
      <c r="CN1" s="754" t="s">
        <v>736</v>
      </c>
      <c r="CO1" s="754"/>
      <c r="CP1" s="726" t="s">
        <v>737</v>
      </c>
      <c r="CQ1" s="726"/>
      <c r="CR1" s="727" t="s">
        <v>907</v>
      </c>
      <c r="CS1" s="727"/>
      <c r="CT1" s="754" t="s">
        <v>736</v>
      </c>
      <c r="CU1" s="754"/>
      <c r="CV1" s="752" t="s">
        <v>737</v>
      </c>
      <c r="CW1" s="752"/>
      <c r="CX1" s="727" t="s">
        <v>775</v>
      </c>
      <c r="CY1" s="727"/>
      <c r="CZ1" s="754" t="s">
        <v>736</v>
      </c>
      <c r="DA1" s="754"/>
      <c r="DB1" s="752" t="s">
        <v>737</v>
      </c>
      <c r="DC1" s="752"/>
      <c r="DD1" s="727" t="s">
        <v>906</v>
      </c>
      <c r="DE1" s="727"/>
      <c r="DF1" s="754" t="s">
        <v>822</v>
      </c>
      <c r="DG1" s="754"/>
      <c r="DH1" s="752" t="s">
        <v>823</v>
      </c>
      <c r="DI1" s="752"/>
      <c r="DJ1" s="727" t="s">
        <v>815</v>
      </c>
      <c r="DK1" s="727"/>
      <c r="DL1" s="754" t="s">
        <v>822</v>
      </c>
      <c r="DM1" s="754"/>
      <c r="DN1" s="752" t="s">
        <v>737</v>
      </c>
      <c r="DO1" s="752"/>
      <c r="DP1" s="727" t="s">
        <v>905</v>
      </c>
      <c r="DQ1" s="727"/>
      <c r="DR1" s="754" t="s">
        <v>822</v>
      </c>
      <c r="DS1" s="754"/>
      <c r="DT1" s="752" t="s">
        <v>737</v>
      </c>
      <c r="DU1" s="752"/>
      <c r="DV1" s="727" t="s">
        <v>904</v>
      </c>
      <c r="DW1" s="727"/>
      <c r="DX1" s="754" t="s">
        <v>822</v>
      </c>
      <c r="DY1" s="754"/>
      <c r="DZ1" s="752" t="s">
        <v>737</v>
      </c>
      <c r="EA1" s="752"/>
      <c r="EB1" s="727" t="s">
        <v>903</v>
      </c>
      <c r="EC1" s="727"/>
      <c r="ED1" s="754" t="s">
        <v>822</v>
      </c>
      <c r="EE1" s="754"/>
      <c r="EF1" s="752" t="s">
        <v>737</v>
      </c>
      <c r="EG1" s="752"/>
      <c r="EH1" s="727" t="s">
        <v>889</v>
      </c>
      <c r="EI1" s="727"/>
      <c r="EJ1" s="754" t="s">
        <v>822</v>
      </c>
      <c r="EK1" s="754"/>
      <c r="EL1" s="752" t="s">
        <v>943</v>
      </c>
      <c r="EM1" s="752"/>
      <c r="EN1" s="727" t="s">
        <v>929</v>
      </c>
      <c r="EO1" s="727"/>
      <c r="EP1" s="754" t="s">
        <v>822</v>
      </c>
      <c r="EQ1" s="754"/>
      <c r="ER1" s="752" t="s">
        <v>957</v>
      </c>
      <c r="ES1" s="752"/>
      <c r="ET1" s="727" t="s">
        <v>944</v>
      </c>
      <c r="EU1" s="727"/>
      <c r="EV1" s="754" t="s">
        <v>822</v>
      </c>
      <c r="EW1" s="754"/>
      <c r="EX1" s="752" t="s">
        <v>536</v>
      </c>
      <c r="EY1" s="752"/>
      <c r="EZ1" s="727" t="s">
        <v>959</v>
      </c>
      <c r="FA1" s="727"/>
      <c r="FC1" s="1" t="s">
        <v>974</v>
      </c>
      <c r="FD1" s="1" t="s">
        <v>975</v>
      </c>
      <c r="FE1" s="1"/>
      <c r="FF1" s="1"/>
    </row>
    <row r="2" spans="2:162" x14ac:dyDescent="0.2">
      <c r="B2" s="205" t="s">
        <v>161</v>
      </c>
      <c r="C2" s="204">
        <f>SUM(C4:C10)</f>
        <v>9649.8310000000001</v>
      </c>
      <c r="D2" s="207" t="s">
        <v>296</v>
      </c>
      <c r="E2" s="232">
        <f>C2-G2</f>
        <v>4102.8269999999993</v>
      </c>
      <c r="F2" s="205" t="s">
        <v>161</v>
      </c>
      <c r="G2" s="204">
        <f>SUM(G4:G12)</f>
        <v>5547.0040000000008</v>
      </c>
      <c r="H2" s="204" t="s">
        <v>546</v>
      </c>
      <c r="I2" s="238">
        <f>SUM(I4:I12)</f>
        <v>5949</v>
      </c>
      <c r="J2" s="207" t="s">
        <v>296</v>
      </c>
      <c r="K2" s="232">
        <f>I2+G2-M2</f>
        <v>1177.4230000000007</v>
      </c>
      <c r="L2" s="205" t="s">
        <v>161</v>
      </c>
      <c r="M2" s="204">
        <f>SUM(M4:M12)</f>
        <v>10318.581</v>
      </c>
      <c r="N2" s="205" t="s">
        <v>546</v>
      </c>
      <c r="O2" s="237">
        <f>SUM(O4:O12)</f>
        <v>7954.5</v>
      </c>
      <c r="P2" s="207" t="s">
        <v>296</v>
      </c>
      <c r="Q2" s="232">
        <f>O2+M2-S2</f>
        <v>1007.0799999999981</v>
      </c>
      <c r="R2" s="205" t="s">
        <v>161</v>
      </c>
      <c r="S2" s="210">
        <f>SUM(S4:S12)</f>
        <v>17266.001</v>
      </c>
      <c r="T2" s="205" t="s">
        <v>546</v>
      </c>
      <c r="U2" s="237">
        <f>SUM(U4:U12)</f>
        <v>5945</v>
      </c>
      <c r="V2" s="207" t="s">
        <v>296</v>
      </c>
      <c r="W2" s="232">
        <f>U2+S2-Y2</f>
        <v>3135</v>
      </c>
      <c r="X2" s="205" t="s">
        <v>161</v>
      </c>
      <c r="Y2" s="210">
        <f>SUM(Y4:Y23)</f>
        <v>20076.001</v>
      </c>
      <c r="Z2" s="205" t="s">
        <v>546</v>
      </c>
      <c r="AA2" s="237">
        <f>SUM(AA4:AA12)</f>
        <v>30884</v>
      </c>
      <c r="AB2" s="207" t="s">
        <v>296</v>
      </c>
      <c r="AC2" s="232">
        <f>AA2+Y2-AE2</f>
        <v>45403</v>
      </c>
      <c r="AD2" s="205" t="s">
        <v>161</v>
      </c>
      <c r="AE2" s="210">
        <f>SUM(AE4:AE23)</f>
        <v>5557.0010000000002</v>
      </c>
      <c r="AF2" s="205" t="s">
        <v>546</v>
      </c>
      <c r="AG2" s="237">
        <f>SUM(AG4:AG12)</f>
        <v>10065</v>
      </c>
      <c r="AH2" s="207" t="s">
        <v>296</v>
      </c>
      <c r="AI2" s="232">
        <f>AG2+AE2-AK2</f>
        <v>1002.0010000000002</v>
      </c>
      <c r="AJ2" s="205" t="s">
        <v>161</v>
      </c>
      <c r="AK2" s="210">
        <f>SUM(AK4:AK23)</f>
        <v>14620</v>
      </c>
      <c r="AL2" s="205" t="s">
        <v>546</v>
      </c>
      <c r="AM2" s="237">
        <f>SUM(AM4:AM11)</f>
        <v>67462</v>
      </c>
      <c r="AN2" s="207" t="s">
        <v>296</v>
      </c>
      <c r="AO2" s="232">
        <f>AM2+AK2-AQ2</f>
        <v>77328.990000000005</v>
      </c>
      <c r="AP2" s="205" t="s">
        <v>161</v>
      </c>
      <c r="AQ2" s="210">
        <f>SUM(AQ4:AQ24)</f>
        <v>4753.01</v>
      </c>
      <c r="AR2" s="205" t="s">
        <v>546</v>
      </c>
      <c r="AS2" s="237">
        <f>SUM(AS4:AS10)</f>
        <v>11820</v>
      </c>
      <c r="AT2" s="207" t="s">
        <v>296</v>
      </c>
      <c r="AU2" s="232">
        <f>AS2+AQ2-AW2</f>
        <v>1197.0000000000018</v>
      </c>
      <c r="AV2" s="205" t="s">
        <v>161</v>
      </c>
      <c r="AW2" s="210">
        <f>SUM(AW4:AW24)</f>
        <v>15376.01</v>
      </c>
      <c r="AX2" s="205" t="s">
        <v>546</v>
      </c>
      <c r="AY2" s="237">
        <f>SUM(AY4:AY15)</f>
        <v>8243.06</v>
      </c>
      <c r="AZ2" s="207" t="s">
        <v>296</v>
      </c>
      <c r="BA2" s="232">
        <f>AY2+AW2-BC2</f>
        <v>2157.0600000000013</v>
      </c>
      <c r="BB2" s="205" t="s">
        <v>161</v>
      </c>
      <c r="BC2" s="210">
        <f>SUM(BC4:BC24)</f>
        <v>21462.01</v>
      </c>
      <c r="BD2" s="205" t="s">
        <v>546</v>
      </c>
      <c r="BE2" s="237">
        <f>SUM(BE4:BE15)</f>
        <v>6478.170000000001</v>
      </c>
      <c r="BF2" s="207" t="s">
        <v>296</v>
      </c>
      <c r="BG2" s="232">
        <f>BE2+BC2-BI2</f>
        <v>1105.1790000000001</v>
      </c>
      <c r="BH2" s="205" t="s">
        <v>161</v>
      </c>
      <c r="BI2" s="210">
        <f>SUM(BI4:BI13)</f>
        <v>26835.001</v>
      </c>
      <c r="BJ2" s="205" t="s">
        <v>546</v>
      </c>
      <c r="BK2" s="237">
        <f>SUM(BK4:BK15)</f>
        <v>7174</v>
      </c>
      <c r="BL2" s="207" t="s">
        <v>296</v>
      </c>
      <c r="BM2" s="232">
        <f>BK2+BI2-BO2</f>
        <v>1723</v>
      </c>
      <c r="BN2" s="205" t="s">
        <v>161</v>
      </c>
      <c r="BO2" s="210">
        <f>SUM(BO4:BO13)</f>
        <v>32286.001000000004</v>
      </c>
      <c r="BP2" s="205" t="s">
        <v>546</v>
      </c>
      <c r="BQ2" s="237">
        <f>SUM(BQ4:BQ15)</f>
        <v>7385</v>
      </c>
      <c r="BR2" s="207" t="s">
        <v>296</v>
      </c>
      <c r="BS2" s="232">
        <f>BQ2+BO2-BU2</f>
        <v>1721.0000000000073</v>
      </c>
      <c r="BT2" s="205" t="s">
        <v>161</v>
      </c>
      <c r="BU2" s="210">
        <f>SUM(BU4:BU13)</f>
        <v>37950.000999999997</v>
      </c>
      <c r="BV2" s="205" t="s">
        <v>546</v>
      </c>
      <c r="BW2" s="237">
        <f>SUM(BW4:BW19)</f>
        <v>16350</v>
      </c>
      <c r="BX2" s="207" t="s">
        <v>296</v>
      </c>
      <c r="BY2" s="232">
        <f>BW2+BU2-CA2</f>
        <v>3874.9999999999927</v>
      </c>
      <c r="BZ2" s="205" t="s">
        <v>161</v>
      </c>
      <c r="CA2" s="210">
        <f>SUM(CA4:CA14)</f>
        <v>50425.001000000004</v>
      </c>
      <c r="CB2" s="205" t="s">
        <v>546</v>
      </c>
      <c r="CC2" s="237">
        <f>SUM(CC4:CC18)</f>
        <v>6446.8</v>
      </c>
      <c r="CD2" s="207" t="s">
        <v>296</v>
      </c>
      <c r="CE2" s="232">
        <f>CC2+CA2-CG2</f>
        <v>1185.8000000000029</v>
      </c>
      <c r="CF2" s="205" t="s">
        <v>161</v>
      </c>
      <c r="CG2" s="210">
        <f>SUM(CG4:CG14)</f>
        <v>55686.001000000004</v>
      </c>
      <c r="CH2" s="205" t="s">
        <v>546</v>
      </c>
      <c r="CI2" s="237">
        <f>SUM(CI4:CI18)</f>
        <v>6951</v>
      </c>
      <c r="CJ2" s="207" t="s">
        <v>296</v>
      </c>
      <c r="CK2" s="232">
        <f>CI2+CG2-CM2</f>
        <v>2422</v>
      </c>
      <c r="CL2" s="205" t="s">
        <v>161</v>
      </c>
      <c r="CM2" s="210">
        <f>SUM(CM4:CM15)</f>
        <v>60215.001000000004</v>
      </c>
      <c r="CN2" s="205" t="s">
        <v>546</v>
      </c>
      <c r="CO2" s="237">
        <f>SUM(CO4:CO18)</f>
        <v>7632.57</v>
      </c>
      <c r="CP2" s="207" t="s">
        <v>296</v>
      </c>
      <c r="CQ2" s="232">
        <f>CO2+CM2-CS2</f>
        <v>2797.5699999999924</v>
      </c>
      <c r="CR2" s="205" t="s">
        <v>161</v>
      </c>
      <c r="CS2" s="210">
        <f>SUM(CS4:CS15)</f>
        <v>65050.001000000004</v>
      </c>
      <c r="CT2" s="205" t="s">
        <v>546</v>
      </c>
      <c r="CU2" s="237">
        <f>SUM(CU4:CU21)</f>
        <v>29786.789999999997</v>
      </c>
      <c r="CV2" s="207" t="s">
        <v>296</v>
      </c>
      <c r="CW2" s="232">
        <f>CU2+CS2-CY2</f>
        <v>1060.1199999999953</v>
      </c>
      <c r="CX2" s="205" t="s">
        <v>161</v>
      </c>
      <c r="CY2" s="210">
        <f>SUM(CY4:CY23)</f>
        <v>93776.671000000002</v>
      </c>
      <c r="CZ2" s="205" t="s">
        <v>546</v>
      </c>
      <c r="DA2" s="237">
        <f>SUM(DA4:DA17)</f>
        <v>172.85</v>
      </c>
      <c r="DB2" s="207" t="s">
        <v>296</v>
      </c>
      <c r="DC2" s="232">
        <f>DA2+CY2-DE2</f>
        <v>1832.5200000000041</v>
      </c>
      <c r="DD2" s="205" t="s">
        <v>161</v>
      </c>
      <c r="DE2" s="210">
        <f>SUM(DE4:DE23)</f>
        <v>92117.001000000004</v>
      </c>
      <c r="DF2" s="205" t="s">
        <v>546</v>
      </c>
      <c r="DG2" s="237">
        <f>SUM(DG4:DG17)</f>
        <v>7750.46</v>
      </c>
      <c r="DH2" s="207" t="s">
        <v>296</v>
      </c>
      <c r="DI2" s="232">
        <f>DG2+DE2-DK2</f>
        <v>1285.9610000000102</v>
      </c>
      <c r="DJ2" s="205" t="s">
        <v>161</v>
      </c>
      <c r="DK2" s="210">
        <f>SUM(DK4:DK23)</f>
        <v>98581.5</v>
      </c>
      <c r="DL2" s="205" t="s">
        <v>546</v>
      </c>
      <c r="DM2" s="237">
        <f>SUM(DM4:DM16)</f>
        <v>7975.76</v>
      </c>
      <c r="DN2" s="207" t="s">
        <v>296</v>
      </c>
      <c r="DO2" s="232">
        <f>DM2+DK2-DQ2</f>
        <v>1211.2699999999895</v>
      </c>
      <c r="DP2" s="205" t="s">
        <v>161</v>
      </c>
      <c r="DQ2" s="210">
        <f>SUM(DQ4:DQ23)</f>
        <v>105345.99</v>
      </c>
      <c r="DR2" s="205" t="s">
        <v>546</v>
      </c>
      <c r="DS2" s="237">
        <f>SUM(DS4:DS19)</f>
        <v>7716.6510000000007</v>
      </c>
      <c r="DT2" s="207" t="s">
        <v>296</v>
      </c>
      <c r="DU2" s="232">
        <f>DS2+DQ2-DW2</f>
        <v>2021.1609999999928</v>
      </c>
      <c r="DV2" s="205" t="s">
        <v>161</v>
      </c>
      <c r="DW2" s="210">
        <f>SUM(DW4:DW26)</f>
        <v>111041.48000000001</v>
      </c>
      <c r="DX2" s="205" t="s">
        <v>546</v>
      </c>
      <c r="DY2" s="237">
        <f>SUM(DY4:DY22)</f>
        <v>26268.66</v>
      </c>
      <c r="DZ2" s="207" t="s">
        <v>296</v>
      </c>
      <c r="EA2" s="232">
        <f>DY2+DW2-EC2</f>
        <v>59646.040000000023</v>
      </c>
      <c r="EB2" s="205" t="s">
        <v>161</v>
      </c>
      <c r="EC2" s="210">
        <f>SUM(EC4:EC26)</f>
        <v>77664.099999999991</v>
      </c>
      <c r="ED2" s="205" t="s">
        <v>546</v>
      </c>
      <c r="EE2" s="237">
        <f>SUM(EE4:EE23)</f>
        <v>9792.52</v>
      </c>
      <c r="EF2" s="207" t="s">
        <v>296</v>
      </c>
      <c r="EG2" s="232">
        <f>EE2+EC2-EI2</f>
        <v>3922.1600000000035</v>
      </c>
      <c r="EH2" s="205" t="s">
        <v>161</v>
      </c>
      <c r="EI2" s="210">
        <f>SUM(EI4:EI26)</f>
        <v>83534.459999999992</v>
      </c>
      <c r="EJ2" s="205" t="s">
        <v>546</v>
      </c>
      <c r="EK2" s="237">
        <f>SUM(EK4:EK20)</f>
        <v>9808.85</v>
      </c>
      <c r="EL2" s="207" t="s">
        <v>296</v>
      </c>
      <c r="EM2" s="232">
        <f>EK2+EI2-EO2</f>
        <v>1949.9900000000052</v>
      </c>
      <c r="EN2" s="205" t="s">
        <v>161</v>
      </c>
      <c r="EO2" s="210">
        <f>SUM(EO4:EO26)</f>
        <v>91393.319999999992</v>
      </c>
      <c r="EP2" s="205" t="s">
        <v>546</v>
      </c>
      <c r="EQ2" s="237">
        <f>SUM(EQ4:EQ18)</f>
        <v>26019.359999999997</v>
      </c>
      <c r="ER2" s="207" t="s">
        <v>296</v>
      </c>
      <c r="ES2" s="232">
        <f>EQ2+EO2-EU2</f>
        <v>3019.679999999993</v>
      </c>
      <c r="ET2" s="205" t="s">
        <v>161</v>
      </c>
      <c r="EU2" s="210">
        <f>SUM(EU4:EU25)</f>
        <v>114393</v>
      </c>
      <c r="EV2" s="205" t="s">
        <v>546</v>
      </c>
      <c r="EW2" s="237">
        <f>SUM(EW4:EW22)</f>
        <v>10677.851000000001</v>
      </c>
      <c r="EX2" s="207" t="s">
        <v>296</v>
      </c>
      <c r="EY2" s="232">
        <f>EW2+EU2-FA2</f>
        <v>1963.8509999999951</v>
      </c>
      <c r="EZ2" s="205" t="s">
        <v>161</v>
      </c>
      <c r="FA2" s="210">
        <f>SUM(FA4:FA19)</f>
        <v>123107</v>
      </c>
      <c r="FB2" t="s">
        <v>990</v>
      </c>
      <c r="FC2" s="240">
        <f>FA2</f>
        <v>123107</v>
      </c>
      <c r="FD2" s="231">
        <f>C2</f>
        <v>9649.8310000000001</v>
      </c>
      <c r="FE2" s="241" t="s">
        <v>976</v>
      </c>
      <c r="FF2" s="243">
        <f>FC2-FD2</f>
        <v>113457.16899999999</v>
      </c>
    </row>
    <row r="3" spans="2:162" x14ac:dyDescent="0.2">
      <c r="B3" s="204"/>
      <c r="C3" s="204"/>
      <c r="D3" s="145" t="s">
        <v>591</v>
      </c>
      <c r="E3" s="206">
        <f>E2-E7-E8</f>
        <v>612.82599999999934</v>
      </c>
      <c r="F3" s="204"/>
      <c r="G3" s="204"/>
      <c r="H3" s="204"/>
      <c r="I3" s="204"/>
      <c r="J3" s="145" t="s">
        <v>591</v>
      </c>
      <c r="K3" s="206">
        <f>K2-K6-K7</f>
        <v>427.42300000000068</v>
      </c>
      <c r="L3" s="204"/>
      <c r="M3" s="204"/>
      <c r="P3" s="145" t="s">
        <v>591</v>
      </c>
      <c r="Q3" s="206">
        <f>Q2-Q6-Q7</f>
        <v>257.07999999999811</v>
      </c>
      <c r="R3" s="204"/>
      <c r="S3" s="204"/>
      <c r="V3" s="145" t="s">
        <v>591</v>
      </c>
      <c r="W3" s="206">
        <f>W2-W6-W7</f>
        <v>1040</v>
      </c>
      <c r="X3" s="204"/>
      <c r="Y3" s="204"/>
      <c r="AB3" s="145" t="s">
        <v>601</v>
      </c>
      <c r="AC3" s="206">
        <f>AC2-AC6-AC7-AC9</f>
        <v>668</v>
      </c>
      <c r="AD3" s="204"/>
      <c r="AE3" s="204"/>
      <c r="AH3" s="145" t="s">
        <v>601</v>
      </c>
      <c r="AI3" s="206">
        <f>AI2-AI6-AI7-AI9</f>
        <v>1002.0010000000002</v>
      </c>
      <c r="AJ3" s="204"/>
      <c r="AK3" s="204"/>
      <c r="AN3" s="145" t="s">
        <v>636</v>
      </c>
      <c r="AO3">
        <f>AO2-AO6-AO9</f>
        <v>748.99000000000524</v>
      </c>
      <c r="AP3" s="204"/>
      <c r="AQ3" s="204"/>
      <c r="AT3" s="145" t="s">
        <v>646</v>
      </c>
      <c r="AU3">
        <f>AU2-AU7</f>
        <v>637.00000000000182</v>
      </c>
      <c r="AV3" s="204"/>
      <c r="AW3" s="204"/>
      <c r="AZ3" s="218" t="s">
        <v>646</v>
      </c>
      <c r="BA3" s="218">
        <f>BA2-BA7</f>
        <v>1569.0600000000013</v>
      </c>
      <c r="BB3" s="204"/>
      <c r="BC3" s="204"/>
      <c r="BF3" s="218" t="s">
        <v>646</v>
      </c>
      <c r="BG3" s="218">
        <f>BG2-BG7</f>
        <v>517.17900000000009</v>
      </c>
      <c r="BH3" s="204"/>
      <c r="BI3" s="204"/>
      <c r="BL3" s="218" t="s">
        <v>646</v>
      </c>
      <c r="BM3" s="218">
        <f>BM2-BM7</f>
        <v>1135</v>
      </c>
      <c r="BN3" s="204"/>
      <c r="BO3" s="204"/>
      <c r="BR3" s="218" t="s">
        <v>646</v>
      </c>
      <c r="BS3" s="218">
        <f>BS2-BS7</f>
        <v>1720.9990000000073</v>
      </c>
      <c r="BT3" s="204"/>
      <c r="BU3" s="204"/>
      <c r="BX3" s="218" t="s">
        <v>646</v>
      </c>
      <c r="BY3" s="218">
        <f>BY2-BY7</f>
        <v>2750.9999999999927</v>
      </c>
      <c r="BZ3" s="204"/>
      <c r="CA3" s="204"/>
      <c r="CD3" s="218" t="s">
        <v>646</v>
      </c>
      <c r="CE3" s="218">
        <f>CE2-CE7</f>
        <v>510.80000000000291</v>
      </c>
      <c r="CF3" s="204"/>
      <c r="CG3" s="204"/>
      <c r="CJ3" s="145" t="s">
        <v>657</v>
      </c>
      <c r="CK3">
        <f>CK2-CK6-CK7</f>
        <v>627</v>
      </c>
      <c r="CL3" s="204"/>
      <c r="CM3" s="204"/>
      <c r="CP3" s="145" t="s">
        <v>657</v>
      </c>
      <c r="CQ3" s="234">
        <f>CQ2-CQ6-CQ7</f>
        <v>877.56999999999243</v>
      </c>
      <c r="CR3" s="204"/>
      <c r="CS3" s="204"/>
      <c r="CV3" s="145" t="s">
        <v>657</v>
      </c>
      <c r="CW3" s="145">
        <f>CW2-CW6-CW7</f>
        <v>510.11999999999534</v>
      </c>
      <c r="CX3" s="204"/>
      <c r="CY3" s="204"/>
      <c r="DB3" s="145" t="s">
        <v>657</v>
      </c>
      <c r="DC3" s="145">
        <f>DC2-DC6-DC7</f>
        <v>832.52000000000407</v>
      </c>
      <c r="DD3" s="204"/>
      <c r="DE3" s="204"/>
      <c r="DH3" s="145" t="s">
        <v>657</v>
      </c>
      <c r="DI3" s="145">
        <f>DI2-DI6-DI7</f>
        <v>179.66100000001029</v>
      </c>
      <c r="DJ3" s="204"/>
      <c r="DK3" s="204"/>
      <c r="DN3" s="145" t="s">
        <v>657</v>
      </c>
      <c r="DO3" s="145">
        <f>DO2-DO6-DO7</f>
        <v>661.26999999998952</v>
      </c>
      <c r="DP3" s="204"/>
      <c r="DQ3" s="204"/>
      <c r="DT3" s="145" t="s">
        <v>657</v>
      </c>
      <c r="DU3" s="233">
        <f>DU2-DU6-DU7</f>
        <v>281.93099999999276</v>
      </c>
      <c r="DV3" s="204"/>
      <c r="DW3" s="204"/>
      <c r="DZ3" s="145" t="s">
        <v>872</v>
      </c>
      <c r="EA3" s="233">
        <f>EA2-EA6-EA7-EA9</f>
        <v>53.440000000024156</v>
      </c>
      <c r="EB3" s="204"/>
      <c r="EC3" s="204"/>
      <c r="EF3" s="145" t="s">
        <v>657</v>
      </c>
      <c r="EG3" s="145">
        <f>EG2-EG6-EG7</f>
        <v>1297.1100000000035</v>
      </c>
      <c r="EH3" s="204"/>
      <c r="EI3" s="204"/>
      <c r="EL3" s="145" t="s">
        <v>657</v>
      </c>
      <c r="EM3" s="145">
        <f>EM2-EM6-EM7</f>
        <v>621.09000000000515</v>
      </c>
      <c r="EN3" s="204"/>
      <c r="EO3" s="204"/>
      <c r="ER3" s="145" t="s">
        <v>657</v>
      </c>
      <c r="ES3" s="145">
        <f>ES2-ES6-ES7</f>
        <v>1634.1199999999931</v>
      </c>
      <c r="ET3" s="204"/>
      <c r="EU3" s="204"/>
      <c r="EX3" s="145" t="s">
        <v>657</v>
      </c>
      <c r="EY3" s="145">
        <f>EY2-EY6-EY7</f>
        <v>1313.8509999999951</v>
      </c>
      <c r="EZ3" s="204"/>
      <c r="FA3" s="204"/>
      <c r="FC3" s="328" t="s">
        <v>1554</v>
      </c>
      <c r="FD3" s="328"/>
      <c r="FE3" s="328"/>
      <c r="FF3" s="328"/>
    </row>
    <row r="4" spans="2:162" x14ac:dyDescent="0.2">
      <c r="B4" s="63" t="s">
        <v>515</v>
      </c>
      <c r="C4" s="63">
        <v>600.00099999999998</v>
      </c>
      <c r="D4" s="145" t="s">
        <v>590</v>
      </c>
      <c r="E4" s="206">
        <f>E3-E11</f>
        <v>592.82499999999936</v>
      </c>
      <c r="F4" s="63" t="s">
        <v>515</v>
      </c>
      <c r="G4" s="63">
        <v>200.001</v>
      </c>
      <c r="H4" s="1" t="s">
        <v>547</v>
      </c>
      <c r="I4" s="1">
        <v>5920</v>
      </c>
      <c r="J4" s="145" t="s">
        <v>590</v>
      </c>
      <c r="K4" s="206">
        <f>K3-K10</f>
        <v>410.42200000000071</v>
      </c>
      <c r="L4" s="63" t="s">
        <v>515</v>
      </c>
      <c r="M4" s="63">
        <v>150.001</v>
      </c>
      <c r="N4" s="1" t="s">
        <v>547</v>
      </c>
      <c r="O4" s="1">
        <v>5920</v>
      </c>
      <c r="P4" t="s">
        <v>590</v>
      </c>
      <c r="Q4">
        <f>Q3-Q10</f>
        <v>137.07999999999811</v>
      </c>
      <c r="R4" s="63" t="s">
        <v>515</v>
      </c>
      <c r="S4" s="63">
        <v>20.001000000000001</v>
      </c>
      <c r="T4" s="1" t="s">
        <v>547</v>
      </c>
      <c r="U4" s="1">
        <v>5920</v>
      </c>
      <c r="V4" t="s">
        <v>590</v>
      </c>
      <c r="W4">
        <f>W3-W8</f>
        <v>333.00099999999998</v>
      </c>
      <c r="X4" s="63" t="s">
        <v>515</v>
      </c>
      <c r="Y4" s="63">
        <v>50.000999999999998</v>
      </c>
      <c r="Z4" s="1" t="s">
        <v>547</v>
      </c>
      <c r="AA4" s="1">
        <v>5920</v>
      </c>
      <c r="AB4" s="145" t="s">
        <v>602</v>
      </c>
      <c r="AC4">
        <f>AC3-AC8</f>
        <v>355.5</v>
      </c>
      <c r="AD4" s="63" t="s">
        <v>515</v>
      </c>
      <c r="AE4" s="63">
        <v>50.000999999999998</v>
      </c>
      <c r="AF4" s="1" t="s">
        <v>547</v>
      </c>
      <c r="AG4" s="1">
        <v>10065</v>
      </c>
      <c r="AH4" s="145" t="s">
        <v>610</v>
      </c>
      <c r="AI4">
        <f>AI3-AI8-AI10</f>
        <v>303.5010000000002</v>
      </c>
      <c r="AJ4" s="63" t="s">
        <v>515</v>
      </c>
      <c r="AK4" s="63">
        <v>20</v>
      </c>
      <c r="AL4" s="1" t="s">
        <v>547</v>
      </c>
      <c r="AM4">
        <v>6194</v>
      </c>
      <c r="AN4" s="145" t="s">
        <v>637</v>
      </c>
      <c r="AO4">
        <f>AO3-AO8</f>
        <v>369.99000000000524</v>
      </c>
      <c r="AP4" s="63" t="s">
        <v>515</v>
      </c>
      <c r="AQ4" s="63">
        <v>40.01</v>
      </c>
      <c r="AR4" t="s">
        <v>639</v>
      </c>
      <c r="AS4">
        <f>SUM(AS14:AS15)</f>
        <v>11680</v>
      </c>
      <c r="AT4" s="145" t="s">
        <v>657</v>
      </c>
      <c r="AU4">
        <f>AU3-AU8</f>
        <v>637.00000000000182</v>
      </c>
      <c r="AV4" s="63" t="s">
        <v>515</v>
      </c>
      <c r="AW4" s="63">
        <v>40.01</v>
      </c>
      <c r="AX4" t="s">
        <v>639</v>
      </c>
      <c r="AY4">
        <v>6194</v>
      </c>
      <c r="AZ4" s="145" t="s">
        <v>657</v>
      </c>
      <c r="BA4">
        <f>BA3-BA8</f>
        <v>756.06000000000131</v>
      </c>
      <c r="BB4" s="63" t="s">
        <v>515</v>
      </c>
      <c r="BC4" s="63">
        <v>80.010000000000005</v>
      </c>
      <c r="BF4" s="145" t="s">
        <v>657</v>
      </c>
      <c r="BG4">
        <f>BG3-BG8</f>
        <v>517.17900000000009</v>
      </c>
      <c r="BH4" s="63" t="s">
        <v>515</v>
      </c>
      <c r="BI4" s="63">
        <v>50.000999999999998</v>
      </c>
      <c r="BL4" s="145" t="s">
        <v>657</v>
      </c>
      <c r="BM4">
        <f>BM3-BM8</f>
        <v>1135</v>
      </c>
      <c r="BN4" s="63" t="s">
        <v>515</v>
      </c>
      <c r="BO4" s="63">
        <v>40.000999999999998</v>
      </c>
      <c r="BR4" s="145" t="s">
        <v>657</v>
      </c>
      <c r="BS4">
        <f>BS3-BS8</f>
        <v>370.9990000000073</v>
      </c>
      <c r="BT4" s="63" t="s">
        <v>515</v>
      </c>
      <c r="BU4" s="63">
        <v>40.000999999999998</v>
      </c>
      <c r="BX4" s="145" t="s">
        <v>657</v>
      </c>
      <c r="BY4">
        <f>BY3-BY8</f>
        <v>978.24999999999272</v>
      </c>
      <c r="BZ4" s="63" t="s">
        <v>515</v>
      </c>
      <c r="CA4" s="63">
        <v>40.000999999999998</v>
      </c>
      <c r="CD4" s="145" t="s">
        <v>657</v>
      </c>
      <c r="CE4">
        <f>CE3-CE8</f>
        <v>510.80000000000291</v>
      </c>
      <c r="CF4" s="63" t="s">
        <v>515</v>
      </c>
      <c r="CG4" s="63">
        <v>40.000999999999998</v>
      </c>
      <c r="CJ4" t="s">
        <v>655</v>
      </c>
      <c r="CK4">
        <f>CK3-CK8-CK9</f>
        <v>309</v>
      </c>
      <c r="CL4" s="63" t="s">
        <v>515</v>
      </c>
      <c r="CM4" s="63">
        <v>60.000999999999998</v>
      </c>
      <c r="CP4" t="s">
        <v>771</v>
      </c>
      <c r="CQ4">
        <f>CQ3-CQ8-CQ9-CQ29</f>
        <v>193.14999999999242</v>
      </c>
      <c r="CR4" s="63" t="s">
        <v>515</v>
      </c>
      <c r="CS4" s="63">
        <v>60.000999999999998</v>
      </c>
      <c r="CV4" s="145" t="s">
        <v>665</v>
      </c>
      <c r="CW4" s="145">
        <f>CW3-CW8-CW9</f>
        <v>298.86999999999534</v>
      </c>
      <c r="CX4" s="63" t="s">
        <v>515</v>
      </c>
      <c r="CY4" s="63">
        <v>40.000999999999998</v>
      </c>
      <c r="DB4" s="145" t="s">
        <v>655</v>
      </c>
      <c r="DC4" s="145">
        <f>DC3-DC8-DC9</f>
        <v>248.65000000000407</v>
      </c>
      <c r="DD4" s="63" t="s">
        <v>515</v>
      </c>
      <c r="DE4" s="63">
        <v>40.000999999999998</v>
      </c>
      <c r="DH4" s="145" t="s">
        <v>655</v>
      </c>
      <c r="DI4" s="145">
        <f>DI3-DI8-DI9</f>
        <v>53.16100000001029</v>
      </c>
      <c r="DJ4" s="63" t="s">
        <v>515</v>
      </c>
      <c r="DK4" s="63">
        <v>40</v>
      </c>
      <c r="DN4" s="145" t="s">
        <v>655</v>
      </c>
      <c r="DO4" s="145">
        <f>DO3-DO8-DO9</f>
        <v>236.64999999998952</v>
      </c>
      <c r="DP4" s="63" t="s">
        <v>515</v>
      </c>
      <c r="DQ4" s="63">
        <v>60</v>
      </c>
      <c r="DT4" s="145" t="s">
        <v>655</v>
      </c>
      <c r="DU4" s="145">
        <f>DU3-DU8-DU9</f>
        <v>249.93099999999276</v>
      </c>
      <c r="DV4" s="63" t="s">
        <v>515</v>
      </c>
      <c r="DW4" s="63">
        <v>60</v>
      </c>
      <c r="DZ4" s="145" t="s">
        <v>655</v>
      </c>
      <c r="EA4" s="145">
        <f>EA3-EA8</f>
        <v>-56.059999999975844</v>
      </c>
      <c r="EB4" s="63" t="s">
        <v>515</v>
      </c>
      <c r="EC4" s="63">
        <v>20</v>
      </c>
      <c r="EF4" s="145" t="s">
        <v>655</v>
      </c>
      <c r="EG4" s="145">
        <f>EG3-EG8-EG9</f>
        <v>271.10000000000355</v>
      </c>
      <c r="EH4" s="63" t="s">
        <v>515</v>
      </c>
      <c r="EI4" s="63">
        <v>20</v>
      </c>
      <c r="EL4" s="145" t="s">
        <v>655</v>
      </c>
      <c r="EM4" s="145">
        <f>EM3-EM8-EM9</f>
        <v>292.41900000000516</v>
      </c>
      <c r="EN4" s="63" t="s">
        <v>515</v>
      </c>
      <c r="EO4" s="63">
        <v>20</v>
      </c>
      <c r="ER4" s="145" t="s">
        <v>655</v>
      </c>
      <c r="ES4" s="145">
        <f>ES3-ES8-ES9</f>
        <v>904.03999999999303</v>
      </c>
      <c r="ET4" s="63" t="s">
        <v>515</v>
      </c>
      <c r="EU4" s="63">
        <v>20</v>
      </c>
      <c r="EX4" s="145" t="s">
        <v>655</v>
      </c>
      <c r="EY4" s="145">
        <f>EY3-EY8-EY9</f>
        <v>732.35099999999511</v>
      </c>
      <c r="EZ4" s="63" t="s">
        <v>515</v>
      </c>
      <c r="FA4" s="63">
        <v>20</v>
      </c>
      <c r="FC4" s="2"/>
    </row>
    <row r="5" spans="2:162" x14ac:dyDescent="0.2">
      <c r="B5" s="63"/>
      <c r="C5" s="63"/>
      <c r="F5" s="63"/>
      <c r="G5" s="63"/>
      <c r="H5" s="1" t="s">
        <v>548</v>
      </c>
      <c r="I5" s="1">
        <v>29</v>
      </c>
      <c r="J5" s="145"/>
      <c r="K5" s="206"/>
      <c r="L5" s="63"/>
      <c r="M5" s="63"/>
      <c r="N5" t="s">
        <v>695</v>
      </c>
      <c r="O5">
        <v>2000</v>
      </c>
      <c r="R5" s="63"/>
      <c r="S5" s="63"/>
      <c r="T5" t="s">
        <v>556</v>
      </c>
      <c r="U5">
        <v>0</v>
      </c>
      <c r="X5" s="63"/>
      <c r="Y5" s="63"/>
      <c r="Z5" t="s">
        <v>556</v>
      </c>
      <c r="AA5">
        <v>24880</v>
      </c>
      <c r="AD5" s="63"/>
      <c r="AE5" s="63"/>
      <c r="AF5" t="s">
        <v>556</v>
      </c>
      <c r="AG5">
        <v>0</v>
      </c>
      <c r="AJ5" s="63"/>
      <c r="AK5" s="63"/>
      <c r="AL5" t="s">
        <v>556</v>
      </c>
      <c r="AM5">
        <f>SUM(AM12:AM13)</f>
        <v>61268</v>
      </c>
      <c r="AP5" s="63"/>
      <c r="AQ5" s="63"/>
      <c r="AT5" s="145" t="s">
        <v>656</v>
      </c>
      <c r="AU5">
        <f>AU4-AU9-AU10</f>
        <v>325.00000000000182</v>
      </c>
      <c r="AV5" s="63"/>
      <c r="AW5" s="63"/>
      <c r="AZ5" t="s">
        <v>655</v>
      </c>
      <c r="BA5">
        <f>BA4-BA9-BA10</f>
        <v>182.02000000000135</v>
      </c>
      <c r="BB5" s="63"/>
      <c r="BC5" s="63"/>
      <c r="BF5" t="s">
        <v>665</v>
      </c>
      <c r="BG5">
        <f>BG4-BG9</f>
        <v>217.72900000000016</v>
      </c>
      <c r="BH5" s="63"/>
      <c r="BI5" s="63"/>
      <c r="BL5" t="s">
        <v>655</v>
      </c>
      <c r="BM5">
        <f>BM4-BM9-BM10</f>
        <v>194.75</v>
      </c>
      <c r="BN5" s="63"/>
      <c r="BO5" s="63"/>
      <c r="BR5" t="s">
        <v>655</v>
      </c>
      <c r="BS5">
        <f>BS4-BS9-BS10</f>
        <v>222.24800000000729</v>
      </c>
      <c r="BT5" s="63"/>
      <c r="BU5" s="63"/>
      <c r="BV5" t="s">
        <v>634</v>
      </c>
      <c r="BW5">
        <v>0</v>
      </c>
      <c r="BX5" t="s">
        <v>665</v>
      </c>
      <c r="BY5">
        <f>BY4-BY9</f>
        <v>337.24899999999275</v>
      </c>
      <c r="BZ5" s="63" t="s">
        <v>721</v>
      </c>
      <c r="CA5" s="63">
        <v>5000</v>
      </c>
      <c r="CD5" t="s">
        <v>665</v>
      </c>
      <c r="CE5">
        <f>CE4-CE9</f>
        <v>320.30000000000291</v>
      </c>
      <c r="CF5" s="63" t="s">
        <v>721</v>
      </c>
      <c r="CG5" s="63">
        <v>5000</v>
      </c>
      <c r="CL5" s="63" t="s">
        <v>721</v>
      </c>
      <c r="CM5" s="63">
        <v>5000</v>
      </c>
      <c r="CR5" s="63" t="s">
        <v>721</v>
      </c>
      <c r="CS5" s="63">
        <v>5000</v>
      </c>
      <c r="CT5" t="s">
        <v>916</v>
      </c>
      <c r="CU5">
        <v>2000</v>
      </c>
      <c r="CX5" s="63" t="s">
        <v>721</v>
      </c>
      <c r="CY5" s="63">
        <v>5000</v>
      </c>
      <c r="DD5" s="63" t="s">
        <v>721</v>
      </c>
      <c r="DE5" s="63">
        <v>5000</v>
      </c>
      <c r="DJ5" s="63" t="s">
        <v>721</v>
      </c>
      <c r="DK5" s="63">
        <v>5000</v>
      </c>
      <c r="DP5" s="63" t="s">
        <v>721</v>
      </c>
      <c r="DQ5" s="63">
        <v>5000</v>
      </c>
      <c r="DV5" s="63" t="s">
        <v>721</v>
      </c>
      <c r="DW5" s="63">
        <v>5000</v>
      </c>
      <c r="EB5" s="63" t="s">
        <v>869</v>
      </c>
      <c r="EC5" s="63">
        <v>5000</v>
      </c>
      <c r="EH5" s="63" t="s">
        <v>901</v>
      </c>
      <c r="EI5" s="63">
        <v>5000</v>
      </c>
      <c r="EN5" s="63" t="s">
        <v>901</v>
      </c>
      <c r="EO5" s="63">
        <v>5000</v>
      </c>
      <c r="ET5" s="63" t="s">
        <v>901</v>
      </c>
      <c r="EU5" s="63">
        <v>5000</v>
      </c>
      <c r="EZ5" s="63" t="s">
        <v>901</v>
      </c>
      <c r="FA5" s="63">
        <v>5000</v>
      </c>
      <c r="FC5" s="2">
        <f>FC20-FC16-FC28</f>
        <v>185906.77899999998</v>
      </c>
      <c r="FD5" t="s">
        <v>1559</v>
      </c>
    </row>
    <row r="6" spans="2:162" x14ac:dyDescent="0.2">
      <c r="B6" s="63" t="s">
        <v>516</v>
      </c>
      <c r="C6" s="63">
        <v>5919.62</v>
      </c>
      <c r="F6" s="63" t="s">
        <v>516</v>
      </c>
      <c r="G6" s="63">
        <v>3400.0010000000002</v>
      </c>
      <c r="H6" s="1"/>
      <c r="I6" s="1"/>
      <c r="J6" s="208" t="s">
        <v>552</v>
      </c>
      <c r="K6" s="206">
        <v>750</v>
      </c>
      <c r="L6" s="63" t="s">
        <v>516</v>
      </c>
      <c r="M6" s="63">
        <v>8327.69</v>
      </c>
      <c r="N6" s="1" t="s">
        <v>548</v>
      </c>
      <c r="O6">
        <v>4.5</v>
      </c>
      <c r="P6" s="208" t="s">
        <v>554</v>
      </c>
      <c r="Q6" s="206">
        <v>750</v>
      </c>
      <c r="R6" s="63" t="s">
        <v>516</v>
      </c>
      <c r="S6" s="63">
        <v>14407</v>
      </c>
      <c r="T6" s="1" t="s">
        <v>548</v>
      </c>
      <c r="U6">
        <v>0</v>
      </c>
      <c r="V6" s="208" t="s">
        <v>585</v>
      </c>
      <c r="W6" s="206">
        <v>750</v>
      </c>
      <c r="X6" s="63" t="s">
        <v>516</v>
      </c>
      <c r="Y6" s="63">
        <v>17906</v>
      </c>
      <c r="Z6" s="1" t="s">
        <v>548</v>
      </c>
      <c r="AA6">
        <v>0</v>
      </c>
      <c r="AB6" s="208" t="s">
        <v>599</v>
      </c>
      <c r="AC6" s="206">
        <v>750</v>
      </c>
      <c r="AD6" s="63" t="s">
        <v>516</v>
      </c>
      <c r="AE6" s="63">
        <v>4121</v>
      </c>
      <c r="AF6" s="1" t="s">
        <v>548</v>
      </c>
      <c r="AG6">
        <v>0</v>
      </c>
      <c r="AH6" s="208" t="s">
        <v>606</v>
      </c>
      <c r="AI6" s="206">
        <v>0</v>
      </c>
      <c r="AJ6" s="63" t="s">
        <v>516</v>
      </c>
      <c r="AK6" s="63">
        <v>13676</v>
      </c>
      <c r="AN6" s="208" t="s">
        <v>629</v>
      </c>
      <c r="AO6">
        <f>SUM(AO12:AO15)</f>
        <v>2410</v>
      </c>
      <c r="AP6" s="63" t="s">
        <v>622</v>
      </c>
      <c r="AQ6" s="63">
        <v>3867</v>
      </c>
      <c r="AR6" t="s">
        <v>634</v>
      </c>
      <c r="AS6">
        <v>13</v>
      </c>
      <c r="AV6" s="63" t="s">
        <v>516</v>
      </c>
      <c r="AW6" s="63">
        <v>14388</v>
      </c>
      <c r="AX6" t="s">
        <v>634</v>
      </c>
      <c r="AY6">
        <v>0</v>
      </c>
      <c r="BB6" s="63" t="s">
        <v>516</v>
      </c>
      <c r="BC6" s="63">
        <v>20160</v>
      </c>
      <c r="BD6" t="s">
        <v>634</v>
      </c>
      <c r="BE6">
        <v>0</v>
      </c>
      <c r="BH6" s="63" t="s">
        <v>516</v>
      </c>
      <c r="BI6" s="63">
        <v>24987</v>
      </c>
      <c r="BJ6" t="s">
        <v>634</v>
      </c>
      <c r="BK6" t="s">
        <v>692</v>
      </c>
      <c r="BN6" s="63" t="s">
        <v>516</v>
      </c>
      <c r="BO6" s="63">
        <v>30630</v>
      </c>
      <c r="BP6" t="s">
        <v>634</v>
      </c>
      <c r="BQ6">
        <v>22</v>
      </c>
      <c r="BT6" s="63" t="s">
        <v>516</v>
      </c>
      <c r="BU6" s="63">
        <v>35972</v>
      </c>
      <c r="BV6" t="s">
        <v>917</v>
      </c>
      <c r="BW6">
        <v>1000</v>
      </c>
      <c r="BZ6" s="63"/>
      <c r="CA6" s="63"/>
      <c r="CB6" t="s">
        <v>634</v>
      </c>
      <c r="CC6">
        <v>13</v>
      </c>
      <c r="CF6" s="63"/>
      <c r="CG6" s="63"/>
      <c r="CH6" t="s">
        <v>634</v>
      </c>
      <c r="CI6">
        <v>0</v>
      </c>
      <c r="CJ6" s="208" t="s">
        <v>629</v>
      </c>
      <c r="CK6" s="208">
        <f>SUM(CK11:CK11)</f>
        <v>1200</v>
      </c>
      <c r="CL6" s="63"/>
      <c r="CM6" s="63"/>
      <c r="CN6" t="s">
        <v>634</v>
      </c>
      <c r="CO6">
        <v>0</v>
      </c>
      <c r="CP6" s="208" t="s">
        <v>629</v>
      </c>
      <c r="CQ6" s="208">
        <f>SUM(CQ11:CQ11)</f>
        <v>550</v>
      </c>
      <c r="CR6" s="63"/>
      <c r="CS6" s="63"/>
      <c r="CT6" t="s">
        <v>634</v>
      </c>
      <c r="CU6">
        <v>0</v>
      </c>
      <c r="CV6" s="208" t="s">
        <v>629</v>
      </c>
      <c r="CW6" s="208">
        <f>SUM(CW11:CW11)</f>
        <v>550</v>
      </c>
      <c r="CX6" s="63"/>
      <c r="CY6" s="63"/>
      <c r="CZ6" t="s">
        <v>634</v>
      </c>
      <c r="DA6">
        <v>0</v>
      </c>
      <c r="DB6" s="208" t="s">
        <v>629</v>
      </c>
      <c r="DC6" s="208">
        <f>SUM(DC11:DC11)</f>
        <v>550</v>
      </c>
      <c r="DD6" s="63"/>
      <c r="DE6" s="63"/>
      <c r="DF6" t="s">
        <v>634</v>
      </c>
      <c r="DG6">
        <v>0</v>
      </c>
      <c r="DH6" s="208" t="s">
        <v>629</v>
      </c>
      <c r="DI6" s="208">
        <f>SUM(DI11:DI11)</f>
        <v>550</v>
      </c>
      <c r="DJ6" s="63"/>
      <c r="DK6" s="63"/>
      <c r="DL6" t="s">
        <v>634</v>
      </c>
      <c r="DM6">
        <v>0</v>
      </c>
      <c r="DN6" s="208" t="s">
        <v>629</v>
      </c>
      <c r="DO6" s="208">
        <f>SUM(DO11:DO11)</f>
        <v>550</v>
      </c>
      <c r="DP6" s="63"/>
      <c r="DQ6" s="63"/>
      <c r="DR6" t="s">
        <v>634</v>
      </c>
      <c r="DS6">
        <v>0</v>
      </c>
      <c r="DT6" s="208" t="s">
        <v>629</v>
      </c>
      <c r="DU6" s="208">
        <f>SUM(DU11:DU11)</f>
        <v>550</v>
      </c>
      <c r="DV6" s="63" t="s">
        <v>849</v>
      </c>
      <c r="DW6" s="63">
        <v>2500</v>
      </c>
      <c r="DX6" t="s">
        <v>634</v>
      </c>
      <c r="DY6">
        <v>0</v>
      </c>
      <c r="DZ6" s="208" t="s">
        <v>629</v>
      </c>
      <c r="EA6" s="208">
        <f>SUM(EA11:EA11)</f>
        <v>0</v>
      </c>
      <c r="EB6" s="63" t="s">
        <v>849</v>
      </c>
      <c r="EC6" s="63">
        <v>2500</v>
      </c>
      <c r="ED6" t="s">
        <v>634</v>
      </c>
      <c r="EE6">
        <v>0</v>
      </c>
      <c r="EF6" s="208" t="s">
        <v>881</v>
      </c>
      <c r="EG6" s="208">
        <f>SUM(EG11:EG12)</f>
        <v>1850</v>
      </c>
      <c r="EH6" s="63" t="s">
        <v>849</v>
      </c>
      <c r="EI6" s="63">
        <v>2500</v>
      </c>
      <c r="EJ6" t="s">
        <v>634</v>
      </c>
      <c r="EK6">
        <v>0</v>
      </c>
      <c r="EL6" s="208" t="s">
        <v>881</v>
      </c>
      <c r="EM6" s="208">
        <f>EM11</f>
        <v>0</v>
      </c>
      <c r="EN6" s="63" t="s">
        <v>849</v>
      </c>
      <c r="EO6" s="63">
        <v>2500</v>
      </c>
      <c r="EP6" t="s">
        <v>634</v>
      </c>
      <c r="ER6" s="208" t="s">
        <v>950</v>
      </c>
      <c r="ES6" s="208">
        <v>1300</v>
      </c>
      <c r="ET6" s="63" t="s">
        <v>849</v>
      </c>
      <c r="EU6" s="63">
        <v>2500</v>
      </c>
      <c r="EV6" t="s">
        <v>634</v>
      </c>
      <c r="EW6">
        <v>0</v>
      </c>
      <c r="EX6" s="208" t="s">
        <v>964</v>
      </c>
      <c r="EY6" s="208">
        <v>650</v>
      </c>
      <c r="EZ6" s="63" t="s">
        <v>849</v>
      </c>
      <c r="FA6" s="63">
        <v>2500</v>
      </c>
      <c r="FC6" s="2">
        <f>FC5/28</f>
        <v>6639.5278214285709</v>
      </c>
      <c r="FD6" t="s">
        <v>1560</v>
      </c>
    </row>
    <row r="7" spans="2:162" ht="14.25" x14ac:dyDescent="0.2">
      <c r="B7" s="63" t="s">
        <v>517</v>
      </c>
      <c r="C7" s="63">
        <v>3130.21</v>
      </c>
      <c r="D7" s="208" t="s">
        <v>553</v>
      </c>
      <c r="E7" s="206">
        <f>750*3</f>
        <v>2250</v>
      </c>
      <c r="F7" s="63" t="s">
        <v>517</v>
      </c>
      <c r="G7" s="63">
        <v>1936.001</v>
      </c>
      <c r="H7" s="1"/>
      <c r="I7" s="1"/>
      <c r="J7" s="208" t="s">
        <v>520</v>
      </c>
      <c r="K7" s="206">
        <v>0</v>
      </c>
      <c r="L7" s="63" t="s">
        <v>517</v>
      </c>
      <c r="M7" s="63">
        <v>1486.89</v>
      </c>
      <c r="N7" t="s">
        <v>563</v>
      </c>
      <c r="O7">
        <v>30</v>
      </c>
      <c r="P7" s="208"/>
      <c r="Q7" s="206"/>
      <c r="R7" s="63" t="s">
        <v>517</v>
      </c>
      <c r="S7" s="63">
        <v>2477</v>
      </c>
      <c r="T7" t="s">
        <v>584</v>
      </c>
      <c r="U7">
        <v>0</v>
      </c>
      <c r="V7" s="208" t="s">
        <v>586</v>
      </c>
      <c r="W7">
        <f>1271+74</f>
        <v>1345</v>
      </c>
      <c r="X7" s="63" t="s">
        <v>517</v>
      </c>
      <c r="Y7" s="63">
        <v>1566</v>
      </c>
      <c r="Z7" t="s">
        <v>584</v>
      </c>
      <c r="AA7">
        <f>35+24</f>
        <v>59</v>
      </c>
      <c r="AB7" s="208" t="s">
        <v>586</v>
      </c>
      <c r="AC7">
        <v>0</v>
      </c>
      <c r="AD7" s="63" t="s">
        <v>517</v>
      </c>
      <c r="AE7" s="63">
        <v>1793</v>
      </c>
      <c r="AF7" t="s">
        <v>584</v>
      </c>
      <c r="AG7">
        <v>0</v>
      </c>
      <c r="AH7" s="208" t="s">
        <v>586</v>
      </c>
      <c r="AI7">
        <v>0</v>
      </c>
      <c r="AJ7" s="63" t="s">
        <v>517</v>
      </c>
      <c r="AK7" s="63">
        <v>906</v>
      </c>
      <c r="AL7" t="s">
        <v>616</v>
      </c>
      <c r="AM7">
        <v>0</v>
      </c>
      <c r="AN7" s="208"/>
      <c r="AP7" s="63" t="s">
        <v>621</v>
      </c>
      <c r="AQ7" s="63">
        <v>671</v>
      </c>
      <c r="AR7" t="s">
        <v>616</v>
      </c>
      <c r="AS7">
        <v>0</v>
      </c>
      <c r="AT7" s="208" t="s">
        <v>640</v>
      </c>
      <c r="AU7" s="208">
        <v>560</v>
      </c>
      <c r="AV7" s="63" t="s">
        <v>517</v>
      </c>
      <c r="AW7" s="63">
        <v>630</v>
      </c>
      <c r="AX7" t="s">
        <v>616</v>
      </c>
      <c r="AY7">
        <v>0</v>
      </c>
      <c r="AZ7" s="208" t="s">
        <v>649</v>
      </c>
      <c r="BA7" s="208">
        <f>560+28</f>
        <v>588</v>
      </c>
      <c r="BB7" s="63" t="s">
        <v>517</v>
      </c>
      <c r="BC7" s="63">
        <v>635</v>
      </c>
      <c r="BD7" t="s">
        <v>616</v>
      </c>
      <c r="BE7" t="s">
        <v>663</v>
      </c>
      <c r="BF7" s="208" t="s">
        <v>660</v>
      </c>
      <c r="BG7" s="208">
        <f>560+28</f>
        <v>588</v>
      </c>
      <c r="BH7" s="63" t="s">
        <v>662</v>
      </c>
      <c r="BI7" s="63">
        <v>635</v>
      </c>
      <c r="BJ7" t="s">
        <v>616</v>
      </c>
      <c r="BK7">
        <v>822</v>
      </c>
      <c r="BL7" s="208" t="s">
        <v>691</v>
      </c>
      <c r="BM7" s="208">
        <f>560+28</f>
        <v>588</v>
      </c>
      <c r="BN7" s="63" t="s">
        <v>681</v>
      </c>
      <c r="BO7" s="63">
        <v>1244</v>
      </c>
      <c r="BP7" t="s">
        <v>917</v>
      </c>
      <c r="BQ7">
        <v>1000</v>
      </c>
      <c r="BR7" s="208" t="s">
        <v>701</v>
      </c>
      <c r="BS7" s="208">
        <v>1E-3</v>
      </c>
      <c r="BT7" s="63" t="s">
        <v>517</v>
      </c>
      <c r="BU7" s="63">
        <v>2290</v>
      </c>
      <c r="BV7" t="s">
        <v>725</v>
      </c>
      <c r="BW7">
        <v>3980</v>
      </c>
      <c r="BX7" s="208" t="s">
        <v>629</v>
      </c>
      <c r="BY7" s="208">
        <f>SUM(BY18:BY21)</f>
        <v>1124</v>
      </c>
      <c r="BZ7" s="63" t="s">
        <v>516</v>
      </c>
      <c r="CA7" s="63">
        <v>37869</v>
      </c>
      <c r="CB7" t="s">
        <v>639</v>
      </c>
      <c r="CC7">
        <v>6349</v>
      </c>
      <c r="CD7" s="208" t="s">
        <v>629</v>
      </c>
      <c r="CE7" s="208">
        <f>SUM(CE12:CE13)</f>
        <v>675</v>
      </c>
      <c r="CF7" s="63" t="s">
        <v>516</v>
      </c>
      <c r="CG7" s="63">
        <v>44218</v>
      </c>
      <c r="CH7" t="s">
        <v>639</v>
      </c>
      <c r="CI7">
        <v>6349</v>
      </c>
      <c r="CJ7" s="208" t="s">
        <v>651</v>
      </c>
      <c r="CK7" s="9">
        <v>595</v>
      </c>
      <c r="CL7" s="63" t="s">
        <v>516</v>
      </c>
      <c r="CM7" s="71">
        <v>49649</v>
      </c>
      <c r="CN7" t="s">
        <v>783</v>
      </c>
      <c r="CO7" s="113">
        <f>6849+500+250</f>
        <v>7599</v>
      </c>
      <c r="CP7" s="208" t="s">
        <v>651</v>
      </c>
      <c r="CQ7" s="9">
        <f>CQ23</f>
        <v>1370</v>
      </c>
      <c r="CR7" s="63" t="s">
        <v>516</v>
      </c>
      <c r="CS7" s="220">
        <v>58074</v>
      </c>
      <c r="CT7" s="753" t="s">
        <v>785</v>
      </c>
      <c r="CU7" s="727"/>
      <c r="CV7" s="208" t="s">
        <v>651</v>
      </c>
      <c r="CW7" s="221">
        <f>CW22</f>
        <v>0</v>
      </c>
      <c r="CX7" s="63" t="s">
        <v>777</v>
      </c>
      <c r="CY7" s="220">
        <v>20265</v>
      </c>
      <c r="CZ7" t="s">
        <v>794</v>
      </c>
      <c r="DA7">
        <v>0</v>
      </c>
      <c r="DB7" s="208" t="s">
        <v>651</v>
      </c>
      <c r="DC7" s="221">
        <v>450</v>
      </c>
      <c r="DD7" s="63" t="s">
        <v>777</v>
      </c>
      <c r="DE7" s="220">
        <v>12707</v>
      </c>
      <c r="DF7" t="s">
        <v>547</v>
      </c>
      <c r="DG7">
        <f>5861+1000+500+250</f>
        <v>7611</v>
      </c>
      <c r="DH7" s="208" t="s">
        <v>651</v>
      </c>
      <c r="DI7" s="221">
        <f>SUM(DI20:DI25)</f>
        <v>556.29999999999995</v>
      </c>
      <c r="DJ7" s="63" t="s">
        <v>817</v>
      </c>
      <c r="DK7" s="226">
        <f>8732-32.5</f>
        <v>8699.5</v>
      </c>
      <c r="DL7" t="s">
        <v>547</v>
      </c>
      <c r="DM7">
        <f>5861+1000+500+250</f>
        <v>7611</v>
      </c>
      <c r="DN7" s="208" t="s">
        <v>651</v>
      </c>
      <c r="DO7" s="221">
        <v>0</v>
      </c>
      <c r="DP7" s="63" t="s">
        <v>777</v>
      </c>
      <c r="DQ7" s="220">
        <f>6974</f>
        <v>6974</v>
      </c>
      <c r="DR7" t="s">
        <v>843</v>
      </c>
      <c r="DS7">
        <f>5861+1000+500+250</f>
        <v>7611</v>
      </c>
      <c r="DT7" s="208" t="s">
        <v>651</v>
      </c>
      <c r="DU7" s="221">
        <f>SUM(DU21:DU25)</f>
        <v>1189.23</v>
      </c>
      <c r="DV7" s="63" t="s">
        <v>853</v>
      </c>
      <c r="DW7" s="63">
        <v>13000</v>
      </c>
      <c r="DX7" t="s">
        <v>547</v>
      </c>
      <c r="DY7">
        <f>18498+1000+500+250</f>
        <v>20248</v>
      </c>
      <c r="DZ7" s="208" t="s">
        <v>651</v>
      </c>
      <c r="EA7" s="221">
        <f>SUM(EA23:EA25)</f>
        <v>70</v>
      </c>
      <c r="EB7" s="63" t="s">
        <v>988</v>
      </c>
      <c r="EC7" s="63">
        <v>5000</v>
      </c>
      <c r="ED7" t="s">
        <v>900</v>
      </c>
      <c r="EE7">
        <v>1987</v>
      </c>
      <c r="EF7" s="208" t="s">
        <v>651</v>
      </c>
      <c r="EG7" s="221">
        <f>SUM(EG25:EG29)</f>
        <v>775.05</v>
      </c>
      <c r="EH7" s="63" t="s">
        <v>856</v>
      </c>
      <c r="EI7" s="63">
        <v>5000</v>
      </c>
      <c r="EJ7" t="s">
        <v>934</v>
      </c>
      <c r="EK7">
        <f>5877+250+500+1000</f>
        <v>7627</v>
      </c>
      <c r="EL7" s="208" t="s">
        <v>651</v>
      </c>
      <c r="EM7" s="221">
        <f>SUM(EM23:EM24)</f>
        <v>1328.9</v>
      </c>
      <c r="EN7" s="63" t="s">
        <v>856</v>
      </c>
      <c r="EO7" s="63">
        <v>5000</v>
      </c>
      <c r="EP7" t="s">
        <v>947</v>
      </c>
      <c r="EQ7">
        <f>7627*3+14</f>
        <v>22895</v>
      </c>
      <c r="ER7" s="208" t="s">
        <v>651</v>
      </c>
      <c r="ES7" s="221">
        <f>SUM(ES23:ES24)</f>
        <v>85.559999999999988</v>
      </c>
      <c r="ET7" s="63" t="s">
        <v>989</v>
      </c>
      <c r="EU7" s="63">
        <v>15000</v>
      </c>
      <c r="EV7" t="s">
        <v>960</v>
      </c>
      <c r="EW7">
        <v>7642</v>
      </c>
      <c r="EX7" s="208" t="s">
        <v>651</v>
      </c>
      <c r="EY7" s="221">
        <f>SUM(EY23:EY24)</f>
        <v>0</v>
      </c>
      <c r="EZ7" s="63" t="s">
        <v>987</v>
      </c>
      <c r="FA7" s="63">
        <v>15000</v>
      </c>
      <c r="FC7" s="2">
        <f>FD30+FD32</f>
        <v>19789.832000000039</v>
      </c>
      <c r="FD7" t="s">
        <v>1561</v>
      </c>
    </row>
    <row r="8" spans="2:162" x14ac:dyDescent="0.2">
      <c r="B8" s="63"/>
      <c r="C8" s="63"/>
      <c r="D8" s="208" t="s">
        <v>520</v>
      </c>
      <c r="E8" s="206">
        <v>1240.001</v>
      </c>
      <c r="F8" s="63"/>
      <c r="G8" s="63"/>
      <c r="H8" s="1"/>
      <c r="I8" s="1"/>
      <c r="J8" s="145"/>
      <c r="K8" s="206"/>
      <c r="L8" s="63" t="s">
        <v>550</v>
      </c>
      <c r="M8" s="63">
        <v>400</v>
      </c>
      <c r="P8" s="145"/>
      <c r="Q8" s="206"/>
      <c r="R8" s="63" t="s">
        <v>550</v>
      </c>
      <c r="S8" s="63">
        <v>380</v>
      </c>
      <c r="T8" t="s">
        <v>603</v>
      </c>
      <c r="U8">
        <v>25</v>
      </c>
      <c r="V8" s="145" t="s">
        <v>581</v>
      </c>
      <c r="W8" s="216">
        <f>SUM(W11:W19)</f>
        <v>706.99900000000002</v>
      </c>
      <c r="X8" s="63" t="s">
        <v>550</v>
      </c>
      <c r="Y8" s="63">
        <v>894</v>
      </c>
      <c r="Z8" t="s">
        <v>603</v>
      </c>
      <c r="AA8">
        <v>25</v>
      </c>
      <c r="AB8" s="145" t="s">
        <v>581</v>
      </c>
      <c r="AC8" s="216">
        <f>SUM(AC11:AC19)</f>
        <v>312.5</v>
      </c>
      <c r="AD8" s="63" t="s">
        <v>550</v>
      </c>
      <c r="AE8" s="63">
        <v>851</v>
      </c>
      <c r="AH8" s="145" t="s">
        <v>581</v>
      </c>
      <c r="AI8" s="216">
        <f>SUM(AI11:AI19)</f>
        <v>559.5</v>
      </c>
      <c r="AJ8" s="63" t="s">
        <v>550</v>
      </c>
      <c r="AK8" s="63">
        <v>294</v>
      </c>
      <c r="AN8" s="145" t="s">
        <v>581</v>
      </c>
      <c r="AO8" s="217">
        <f>SUM(AO21:AO26)</f>
        <v>379</v>
      </c>
      <c r="AP8" s="63" t="s">
        <v>623</v>
      </c>
      <c r="AQ8" s="63">
        <v>465</v>
      </c>
      <c r="AR8" t="s">
        <v>631</v>
      </c>
      <c r="AS8">
        <v>27</v>
      </c>
      <c r="AT8" s="208" t="s">
        <v>586</v>
      </c>
      <c r="AU8">
        <v>0</v>
      </c>
      <c r="AV8" s="63" t="s">
        <v>550</v>
      </c>
      <c r="AW8" s="63">
        <v>355</v>
      </c>
      <c r="AX8" t="s">
        <v>696</v>
      </c>
      <c r="AY8">
        <v>2000</v>
      </c>
      <c r="AZ8" s="208" t="s">
        <v>651</v>
      </c>
      <c r="BA8">
        <f>100+713</f>
        <v>813</v>
      </c>
      <c r="BB8" s="63" t="s">
        <v>653</v>
      </c>
      <c r="BC8" s="63" t="s">
        <v>648</v>
      </c>
      <c r="BD8" t="s">
        <v>664</v>
      </c>
      <c r="BE8">
        <v>6349</v>
      </c>
      <c r="BF8" s="208" t="s">
        <v>651</v>
      </c>
      <c r="BG8">
        <v>0</v>
      </c>
      <c r="BH8" s="63" t="s">
        <v>620</v>
      </c>
      <c r="BI8" s="63">
        <v>1379</v>
      </c>
      <c r="BJ8" t="s">
        <v>639</v>
      </c>
      <c r="BK8">
        <v>6352</v>
      </c>
      <c r="BL8" s="208" t="s">
        <v>651</v>
      </c>
      <c r="BM8">
        <v>0</v>
      </c>
      <c r="BN8" s="63" t="s">
        <v>620</v>
      </c>
      <c r="BO8" s="63">
        <v>1206</v>
      </c>
      <c r="BP8" t="s">
        <v>639</v>
      </c>
      <c r="BQ8">
        <v>6349</v>
      </c>
      <c r="BR8" s="208" t="s">
        <v>651</v>
      </c>
      <c r="BS8">
        <f>SUM(BS25:BS26)</f>
        <v>1350</v>
      </c>
      <c r="BT8" s="63" t="s">
        <v>620</v>
      </c>
      <c r="BU8" s="63">
        <v>1207</v>
      </c>
      <c r="BV8" t="s">
        <v>639</v>
      </c>
      <c r="BW8">
        <v>6349</v>
      </c>
      <c r="BX8" s="208" t="s">
        <v>651</v>
      </c>
      <c r="BY8">
        <f>SUM(BY35:BY44)</f>
        <v>1772.75</v>
      </c>
      <c r="BZ8" s="63" t="s">
        <v>517</v>
      </c>
      <c r="CA8" s="63">
        <v>6155</v>
      </c>
      <c r="CB8" t="s">
        <v>699</v>
      </c>
      <c r="CC8">
        <v>4.8</v>
      </c>
      <c r="CD8" s="208" t="s">
        <v>651</v>
      </c>
      <c r="CE8">
        <f>SUM(CE26:CE35)</f>
        <v>0</v>
      </c>
      <c r="CF8" s="63" t="s">
        <v>517</v>
      </c>
      <c r="CG8" s="63">
        <v>4984</v>
      </c>
      <c r="CH8" t="s">
        <v>548</v>
      </c>
      <c r="CI8">
        <v>0</v>
      </c>
      <c r="CJ8" s="145" t="s">
        <v>763</v>
      </c>
      <c r="CK8" s="145">
        <f>SUM(CK13:CK19)</f>
        <v>262</v>
      </c>
      <c r="CL8" s="63" t="s">
        <v>517</v>
      </c>
      <c r="CM8" s="71">
        <v>4361</v>
      </c>
      <c r="CN8" t="s">
        <v>548</v>
      </c>
      <c r="CO8">
        <v>0</v>
      </c>
      <c r="CP8" s="145" t="s">
        <v>763</v>
      </c>
      <c r="CQ8" s="145">
        <f>SUM(CQ13:CQ17)</f>
        <v>289</v>
      </c>
      <c r="CR8" s="63" t="s">
        <v>517</v>
      </c>
      <c r="CS8" s="71">
        <v>611</v>
      </c>
      <c r="CT8" s="145" t="s">
        <v>782</v>
      </c>
      <c r="CU8">
        <f>6849+500+250</f>
        <v>7599</v>
      </c>
      <c r="CV8" s="145" t="s">
        <v>789</v>
      </c>
      <c r="CW8" s="145">
        <f>SUM(CW13:CW16)</f>
        <v>211.25</v>
      </c>
      <c r="CX8" s="63" t="s">
        <v>778</v>
      </c>
      <c r="CY8" s="220">
        <v>25024</v>
      </c>
      <c r="CZ8" s="753" t="s">
        <v>784</v>
      </c>
      <c r="DA8" s="727"/>
      <c r="DB8" s="145" t="s">
        <v>789</v>
      </c>
      <c r="DC8" s="145">
        <f>SUM(DC13:DC18)</f>
        <v>243.87</v>
      </c>
      <c r="DD8" s="63" t="s">
        <v>778</v>
      </c>
      <c r="DE8" s="220">
        <v>25024</v>
      </c>
      <c r="DF8" s="753" t="s">
        <v>784</v>
      </c>
      <c r="DG8" s="727"/>
      <c r="DH8" s="145" t="s">
        <v>789</v>
      </c>
      <c r="DI8" s="145">
        <f>SUM(DI13:DI17)</f>
        <v>126.5</v>
      </c>
      <c r="DJ8" s="63" t="s">
        <v>778</v>
      </c>
      <c r="DK8" s="220">
        <v>25060</v>
      </c>
      <c r="DL8" s="753" t="s">
        <v>784</v>
      </c>
      <c r="DM8" s="727"/>
      <c r="DN8" s="145" t="s">
        <v>789</v>
      </c>
      <c r="DO8" s="145">
        <f>SUM(DO13:DO19)</f>
        <v>424.62</v>
      </c>
      <c r="DP8" s="63" t="s">
        <v>778</v>
      </c>
      <c r="DQ8" s="220">
        <v>25096</v>
      </c>
      <c r="DR8" s="753" t="s">
        <v>784</v>
      </c>
      <c r="DS8" s="727"/>
      <c r="DT8" s="145" t="s">
        <v>789</v>
      </c>
      <c r="DU8" s="145">
        <f>SUM(DU13:DU17)</f>
        <v>32</v>
      </c>
      <c r="DV8" s="63"/>
      <c r="DW8" s="63"/>
      <c r="DX8" s="753" t="s">
        <v>784</v>
      </c>
      <c r="DY8" s="727"/>
      <c r="DZ8" s="145" t="s">
        <v>789</v>
      </c>
      <c r="EA8" s="145">
        <f>SUM(EA13:EA17)</f>
        <v>109.5</v>
      </c>
      <c r="EB8" s="63" t="s">
        <v>853</v>
      </c>
      <c r="EC8" s="63">
        <v>5690</v>
      </c>
      <c r="ED8" t="s">
        <v>547</v>
      </c>
      <c r="EE8">
        <f>5877+1000+500+250</f>
        <v>7627</v>
      </c>
      <c r="EF8" s="145" t="s">
        <v>789</v>
      </c>
      <c r="EG8" s="145">
        <f>SUM(EG13:EG17)</f>
        <v>137.25</v>
      </c>
      <c r="EH8" s="63" t="s">
        <v>853</v>
      </c>
      <c r="EI8" s="63">
        <v>5690</v>
      </c>
      <c r="EJ8" s="753" t="s">
        <v>935</v>
      </c>
      <c r="EK8" s="727"/>
      <c r="EL8" s="145" t="s">
        <v>789</v>
      </c>
      <c r="EM8" s="145">
        <f>SUM(EM13:EM17)</f>
        <v>225.501</v>
      </c>
      <c r="EN8" s="63" t="s">
        <v>853</v>
      </c>
      <c r="EO8" s="63">
        <v>12690</v>
      </c>
      <c r="EP8" t="s">
        <v>900</v>
      </c>
      <c r="EQ8">
        <v>2109</v>
      </c>
      <c r="ER8" s="145" t="s">
        <v>789</v>
      </c>
      <c r="ES8" s="145">
        <f>SUM(ES11:ES16)</f>
        <v>706.1</v>
      </c>
      <c r="ET8" s="63" t="s">
        <v>853</v>
      </c>
      <c r="EU8" s="63">
        <v>14500</v>
      </c>
      <c r="EV8" t="s">
        <v>900</v>
      </c>
      <c r="EW8">
        <v>2475</v>
      </c>
      <c r="EX8" s="145" t="s">
        <v>789</v>
      </c>
      <c r="EY8" s="145">
        <f>SUM(EY11:EY16)</f>
        <v>331.5</v>
      </c>
      <c r="EZ8" s="63" t="s">
        <v>853</v>
      </c>
      <c r="FA8" s="63">
        <v>24500</v>
      </c>
      <c r="FC8" s="2">
        <f>FC7/28</f>
        <v>706.77971428571561</v>
      </c>
      <c r="FD8" t="s">
        <v>1562</v>
      </c>
    </row>
    <row r="9" spans="2:162" x14ac:dyDescent="0.2">
      <c r="B9" s="63"/>
      <c r="C9" s="63"/>
      <c r="D9" s="208"/>
      <c r="F9" s="63"/>
      <c r="G9" s="63"/>
      <c r="H9" s="1"/>
      <c r="I9" s="1"/>
      <c r="J9" s="145"/>
      <c r="K9" s="206"/>
      <c r="L9" s="63"/>
      <c r="M9" s="63"/>
      <c r="P9" s="145"/>
      <c r="Q9" s="206"/>
      <c r="R9" s="63"/>
      <c r="S9" s="63"/>
      <c r="V9" s="145"/>
      <c r="W9" s="206"/>
      <c r="X9" s="63" t="s">
        <v>595</v>
      </c>
      <c r="Y9" s="63">
        <v>0</v>
      </c>
      <c r="AB9" s="145" t="s">
        <v>596</v>
      </c>
      <c r="AC9" s="206">
        <v>43985</v>
      </c>
      <c r="AD9" s="63" t="s">
        <v>595</v>
      </c>
      <c r="AE9" s="63">
        <v>5</v>
      </c>
      <c r="AH9" s="145" t="s">
        <v>596</v>
      </c>
      <c r="AI9" s="206">
        <v>0</v>
      </c>
      <c r="AJ9" s="63" t="s">
        <v>595</v>
      </c>
      <c r="AK9" s="63">
        <v>5</v>
      </c>
      <c r="AN9" s="145" t="s">
        <v>596</v>
      </c>
      <c r="AO9">
        <f>74100+35*2</f>
        <v>74170</v>
      </c>
      <c r="AP9" s="63" t="s">
        <v>620</v>
      </c>
      <c r="AQ9" s="63" t="s">
        <v>624</v>
      </c>
      <c r="AR9" s="6" t="s">
        <v>838</v>
      </c>
      <c r="AS9">
        <v>100</v>
      </c>
      <c r="AT9" s="145" t="s">
        <v>581</v>
      </c>
      <c r="AU9" s="217">
        <f>SUM(AU14:AU26)</f>
        <v>239</v>
      </c>
      <c r="AV9" s="63" t="s">
        <v>620</v>
      </c>
      <c r="AW9" s="63">
        <v>190</v>
      </c>
      <c r="AX9" s="6" t="s">
        <v>675</v>
      </c>
      <c r="AY9">
        <v>27.4</v>
      </c>
      <c r="AZ9" s="145" t="s">
        <v>581</v>
      </c>
      <c r="BA9" s="217">
        <f>SUM(BA12:BA18)</f>
        <v>99.89</v>
      </c>
      <c r="BB9" s="63" t="s">
        <v>620</v>
      </c>
      <c r="BC9" s="63">
        <v>1564</v>
      </c>
      <c r="BF9" s="145" t="s">
        <v>581</v>
      </c>
      <c r="BG9" s="217">
        <f>SUM(BG12:BG23)</f>
        <v>299.44999999999993</v>
      </c>
      <c r="BH9" s="63" t="s">
        <v>658</v>
      </c>
      <c r="BI9" s="63">
        <v>5</v>
      </c>
      <c r="BL9" s="145" t="s">
        <v>581</v>
      </c>
      <c r="BM9" s="217">
        <f>SUM(BM15:BM24)</f>
        <v>321.25</v>
      </c>
      <c r="BN9" s="63" t="s">
        <v>658</v>
      </c>
      <c r="BO9" s="63"/>
      <c r="BP9" t="s">
        <v>699</v>
      </c>
      <c r="BQ9">
        <v>4.5</v>
      </c>
      <c r="BR9" s="145" t="s">
        <v>581</v>
      </c>
      <c r="BS9" s="217">
        <f>SUM(BS15:BS24)</f>
        <v>148.75</v>
      </c>
      <c r="BT9" s="63" t="s">
        <v>658</v>
      </c>
      <c r="BU9" s="63">
        <v>5</v>
      </c>
      <c r="BX9" s="145" t="s">
        <v>581</v>
      </c>
      <c r="BY9" s="145">
        <f>SUM(BY23:BY33)</f>
        <v>641.00099999999998</v>
      </c>
      <c r="BZ9" s="63" t="s">
        <v>620</v>
      </c>
      <c r="CA9" s="63">
        <v>1207</v>
      </c>
      <c r="CD9" s="145" t="s">
        <v>581</v>
      </c>
      <c r="CE9" s="145">
        <f>SUM(CE15:CE24)</f>
        <v>190.5</v>
      </c>
      <c r="CF9" s="63" t="s">
        <v>620</v>
      </c>
      <c r="CG9" s="63">
        <v>1207</v>
      </c>
      <c r="CH9" t="s">
        <v>759</v>
      </c>
      <c r="CI9">
        <v>27</v>
      </c>
      <c r="CJ9" s="145" t="s">
        <v>654</v>
      </c>
      <c r="CK9" s="208">
        <f>SUM(CK21:CK23)</f>
        <v>56</v>
      </c>
      <c r="CL9" s="63" t="s">
        <v>620</v>
      </c>
      <c r="CM9" s="63">
        <v>1207</v>
      </c>
      <c r="CN9" t="s">
        <v>759</v>
      </c>
      <c r="CO9">
        <v>26.91</v>
      </c>
      <c r="CP9" s="145" t="s">
        <v>654</v>
      </c>
      <c r="CQ9" s="208">
        <f>SUM(CQ19:CQ21)</f>
        <v>147.42000000000002</v>
      </c>
      <c r="CR9" s="63" t="s">
        <v>620</v>
      </c>
      <c r="CS9" s="63">
        <v>1207</v>
      </c>
      <c r="CT9" t="s">
        <v>793</v>
      </c>
      <c r="CU9" s="145">
        <v>19046</v>
      </c>
      <c r="CV9" s="145" t="s">
        <v>654</v>
      </c>
      <c r="CW9" s="208">
        <f>SUM(CW18:CW20)</f>
        <v>0</v>
      </c>
      <c r="CX9" s="63" t="s">
        <v>787</v>
      </c>
      <c r="CY9" s="220">
        <v>25000</v>
      </c>
      <c r="CZ9" t="s">
        <v>548</v>
      </c>
      <c r="DA9">
        <v>0</v>
      </c>
      <c r="DB9" s="145" t="s">
        <v>654</v>
      </c>
      <c r="DC9" s="208">
        <f>SUM(DC21:DC23)</f>
        <v>340</v>
      </c>
      <c r="DD9" s="63" t="s">
        <v>787</v>
      </c>
      <c r="DE9" s="220">
        <v>25000</v>
      </c>
      <c r="DF9" t="s">
        <v>812</v>
      </c>
      <c r="DG9">
        <v>37</v>
      </c>
      <c r="DH9" s="145" t="s">
        <v>654</v>
      </c>
      <c r="DI9" s="208">
        <v>0</v>
      </c>
      <c r="DJ9" s="63" t="s">
        <v>787</v>
      </c>
      <c r="DK9" s="220">
        <v>25000</v>
      </c>
      <c r="DL9" t="s">
        <v>778</v>
      </c>
      <c r="DM9">
        <v>35.659999999999997</v>
      </c>
      <c r="DN9" s="145" t="s">
        <v>654</v>
      </c>
      <c r="DO9" s="208">
        <v>0</v>
      </c>
      <c r="DP9" s="63" t="s">
        <v>787</v>
      </c>
      <c r="DQ9" s="220">
        <v>25000</v>
      </c>
      <c r="DR9" t="s">
        <v>778</v>
      </c>
      <c r="DS9">
        <v>37</v>
      </c>
      <c r="DT9" s="145" t="s">
        <v>654</v>
      </c>
      <c r="DU9" s="208">
        <v>0</v>
      </c>
      <c r="DV9" s="63" t="s">
        <v>777</v>
      </c>
      <c r="DW9" s="220">
        <v>13611</v>
      </c>
      <c r="DX9" t="s">
        <v>859</v>
      </c>
      <c r="DY9">
        <v>37</v>
      </c>
      <c r="DZ9" s="145" t="s">
        <v>868</v>
      </c>
      <c r="EA9" s="208">
        <f>EA19+EA20</f>
        <v>59522.6</v>
      </c>
      <c r="EB9" s="63" t="s">
        <v>777</v>
      </c>
      <c r="EC9" s="220">
        <v>8191</v>
      </c>
      <c r="EF9" s="145" t="s">
        <v>880</v>
      </c>
      <c r="EG9" s="208">
        <f>SUM(EG18:EG23)</f>
        <v>888.76</v>
      </c>
      <c r="EH9" s="63" t="s">
        <v>777</v>
      </c>
      <c r="EI9" s="220">
        <f>1652-1300</f>
        <v>352</v>
      </c>
      <c r="EJ9" t="s">
        <v>936</v>
      </c>
      <c r="EK9">
        <f>33.43+37.06</f>
        <v>70.490000000000009</v>
      </c>
      <c r="EL9" s="145" t="s">
        <v>880</v>
      </c>
      <c r="EM9" s="208">
        <f>SUM(EM19:EM21)</f>
        <v>103.17</v>
      </c>
      <c r="EN9" s="63" t="s">
        <v>777</v>
      </c>
      <c r="EO9" s="220">
        <v>2720</v>
      </c>
      <c r="EP9" s="753" t="s">
        <v>935</v>
      </c>
      <c r="EQ9" s="727"/>
      <c r="ER9" s="145" t="s">
        <v>880</v>
      </c>
      <c r="ES9" s="208">
        <f>SUM(ES18:ES20)</f>
        <v>23.98</v>
      </c>
      <c r="ET9" s="63" t="s">
        <v>777</v>
      </c>
      <c r="EU9" s="220">
        <v>8950</v>
      </c>
      <c r="EV9" s="753" t="s">
        <v>935</v>
      </c>
      <c r="EW9" s="727"/>
      <c r="EX9" s="145" t="s">
        <v>880</v>
      </c>
      <c r="EY9" s="208">
        <f>SUM(EY20:EY21)</f>
        <v>250</v>
      </c>
      <c r="EZ9" s="63" t="s">
        <v>777</v>
      </c>
      <c r="FA9" s="220">
        <v>1676</v>
      </c>
    </row>
    <row r="10" spans="2:162" x14ac:dyDescent="0.2">
      <c r="B10" s="63"/>
      <c r="C10" s="63"/>
      <c r="F10" s="63"/>
      <c r="G10" s="63"/>
      <c r="H10" s="1"/>
      <c r="I10" s="1"/>
      <c r="J10" s="145" t="s">
        <v>549</v>
      </c>
      <c r="K10" s="206">
        <v>17.001000000000001</v>
      </c>
      <c r="L10" s="63"/>
      <c r="M10" s="63"/>
      <c r="P10" s="145" t="s">
        <v>549</v>
      </c>
      <c r="Q10" s="206">
        <f>SUM(Q11:Q14)</f>
        <v>120</v>
      </c>
      <c r="R10" s="63"/>
      <c r="S10" s="63"/>
      <c r="X10" s="63"/>
      <c r="Y10" s="63"/>
      <c r="AD10" s="63"/>
      <c r="AE10" s="63"/>
      <c r="AH10" s="145" t="s">
        <v>608</v>
      </c>
      <c r="AI10">
        <f>SUM(AI22:AI23)</f>
        <v>139</v>
      </c>
      <c r="AJ10" s="63"/>
      <c r="AK10" s="63"/>
      <c r="AP10" s="63" t="s">
        <v>595</v>
      </c>
      <c r="AQ10" s="63">
        <v>0</v>
      </c>
      <c r="AT10" s="145" t="s">
        <v>654</v>
      </c>
      <c r="AU10">
        <f>AU31</f>
        <v>73</v>
      </c>
      <c r="AV10" s="63" t="s">
        <v>658</v>
      </c>
      <c r="AW10" s="63">
        <v>0</v>
      </c>
      <c r="AX10" s="6" t="s">
        <v>676</v>
      </c>
      <c r="AY10">
        <v>21.66</v>
      </c>
      <c r="AZ10" s="145" t="s">
        <v>654</v>
      </c>
      <c r="BA10">
        <f>SUM(BA21:BA22)</f>
        <v>474.15</v>
      </c>
      <c r="BB10" s="63" t="s">
        <v>658</v>
      </c>
      <c r="BC10" s="63">
        <v>5</v>
      </c>
      <c r="BD10" s="6" t="s">
        <v>677</v>
      </c>
      <c r="BF10" s="145"/>
      <c r="BH10" s="63" t="s">
        <v>626</v>
      </c>
      <c r="BI10" s="63">
        <v>0</v>
      </c>
      <c r="BJ10" s="6" t="s">
        <v>677</v>
      </c>
      <c r="BK10" t="s">
        <v>692</v>
      </c>
      <c r="BL10" s="145" t="s">
        <v>654</v>
      </c>
      <c r="BM10">
        <f>SUM(BM12:BM13)</f>
        <v>619</v>
      </c>
      <c r="BN10" s="63" t="s">
        <v>683</v>
      </c>
      <c r="BO10" s="63">
        <v>-785</v>
      </c>
      <c r="BR10" s="145" t="s">
        <v>707</v>
      </c>
      <c r="BS10" s="208">
        <v>1E-3</v>
      </c>
      <c r="BT10" s="63" t="s">
        <v>683</v>
      </c>
      <c r="BU10" s="63">
        <v>-1537</v>
      </c>
      <c r="BV10" t="s">
        <v>699</v>
      </c>
      <c r="BW10">
        <v>0</v>
      </c>
      <c r="BX10" s="145" t="s">
        <v>707</v>
      </c>
      <c r="BY10" s="208">
        <v>1E-3</v>
      </c>
      <c r="BZ10" s="63" t="s">
        <v>658</v>
      </c>
      <c r="CA10" s="63">
        <v>5</v>
      </c>
      <c r="CD10" s="145" t="s">
        <v>707</v>
      </c>
      <c r="CE10" s="208">
        <v>1E-3</v>
      </c>
      <c r="CF10" s="63" t="s">
        <v>658</v>
      </c>
      <c r="CG10" s="63">
        <v>5</v>
      </c>
      <c r="CL10" s="63" t="s">
        <v>749</v>
      </c>
      <c r="CM10" s="63">
        <v>60</v>
      </c>
      <c r="CR10" s="63" t="s">
        <v>749</v>
      </c>
      <c r="CS10" s="63">
        <v>560</v>
      </c>
      <c r="CT10" t="s">
        <v>796</v>
      </c>
      <c r="CU10">
        <v>250</v>
      </c>
      <c r="CX10" s="63" t="s">
        <v>776</v>
      </c>
      <c r="CY10" s="220">
        <v>15029</v>
      </c>
      <c r="CZ10" t="s">
        <v>831</v>
      </c>
      <c r="DA10">
        <v>26.85</v>
      </c>
      <c r="DD10" s="63" t="s">
        <v>776</v>
      </c>
      <c r="DE10" s="220">
        <f>20063+2000</f>
        <v>22063</v>
      </c>
      <c r="DF10" t="s">
        <v>832</v>
      </c>
      <c r="DG10">
        <v>26.85</v>
      </c>
      <c r="DJ10" s="63" t="s">
        <v>776</v>
      </c>
      <c r="DK10" s="220">
        <v>31103</v>
      </c>
      <c r="DL10" t="s">
        <v>830</v>
      </c>
      <c r="DM10">
        <v>33.56</v>
      </c>
      <c r="DP10" s="63" t="s">
        <v>776</v>
      </c>
      <c r="DQ10" s="220">
        <f>5244+34139</f>
        <v>39383</v>
      </c>
      <c r="DR10" t="s">
        <v>842</v>
      </c>
      <c r="DS10">
        <v>26.85</v>
      </c>
      <c r="DV10" s="63" t="s">
        <v>778</v>
      </c>
      <c r="DW10" s="220">
        <v>25133</v>
      </c>
      <c r="DX10" t="s">
        <v>860</v>
      </c>
      <c r="DY10">
        <v>26.85</v>
      </c>
      <c r="EB10" s="63" t="s">
        <v>778</v>
      </c>
      <c r="EC10" s="220">
        <v>25170</v>
      </c>
      <c r="EH10" s="63" t="s">
        <v>778</v>
      </c>
      <c r="EI10" s="220">
        <v>25170</v>
      </c>
      <c r="EJ10" t="s">
        <v>937</v>
      </c>
      <c r="EK10" s="9">
        <v>33.56</v>
      </c>
      <c r="EN10" s="63" t="s">
        <v>778</v>
      </c>
      <c r="EO10" s="220">
        <v>25240</v>
      </c>
      <c r="EP10" t="s">
        <v>778</v>
      </c>
      <c r="EQ10">
        <f>25325-EO10</f>
        <v>85</v>
      </c>
      <c r="ET10" s="63" t="s">
        <v>778</v>
      </c>
      <c r="EU10" s="220">
        <v>0</v>
      </c>
      <c r="EV10" t="s">
        <v>778</v>
      </c>
      <c r="EW10">
        <v>0</v>
      </c>
      <c r="EZ10" s="63" t="s">
        <v>778</v>
      </c>
      <c r="FA10" s="220">
        <v>0</v>
      </c>
    </row>
    <row r="11" spans="2:162" x14ac:dyDescent="0.2">
      <c r="B11" s="63" t="s">
        <v>518</v>
      </c>
      <c r="C11" s="63">
        <v>0</v>
      </c>
      <c r="D11" s="145" t="s">
        <v>549</v>
      </c>
      <c r="E11" s="206">
        <v>20.001000000000001</v>
      </c>
      <c r="F11" s="63" t="s">
        <v>518</v>
      </c>
      <c r="G11" s="63">
        <v>11.000999999999999</v>
      </c>
      <c r="H11" s="1"/>
      <c r="I11" s="1"/>
      <c r="J11" t="s">
        <v>551</v>
      </c>
      <c r="K11">
        <v>89.75</v>
      </c>
      <c r="L11" s="63" t="s">
        <v>518</v>
      </c>
      <c r="M11" s="63">
        <v>-46</v>
      </c>
      <c r="P11" t="s">
        <v>560</v>
      </c>
      <c r="Q11">
        <v>30</v>
      </c>
      <c r="R11" s="63" t="s">
        <v>559</v>
      </c>
      <c r="S11" s="63">
        <v>50</v>
      </c>
      <c r="V11" t="s">
        <v>594</v>
      </c>
      <c r="W11">
        <f>50+60</f>
        <v>110</v>
      </c>
      <c r="X11" s="63" t="s">
        <v>559</v>
      </c>
      <c r="Y11" s="63">
        <v>-340</v>
      </c>
      <c r="AD11" s="63" t="s">
        <v>559</v>
      </c>
      <c r="AE11" s="63">
        <v>-1228</v>
      </c>
      <c r="AJ11" s="63" t="s">
        <v>559</v>
      </c>
      <c r="AK11" s="63">
        <v>85</v>
      </c>
      <c r="AP11" s="63"/>
      <c r="AQ11" s="63"/>
      <c r="AV11" s="63"/>
      <c r="AW11" s="63"/>
      <c r="BB11" s="63"/>
      <c r="BC11" s="63"/>
      <c r="BD11" s="6" t="s">
        <v>678</v>
      </c>
      <c r="BE11">
        <v>11</v>
      </c>
      <c r="BH11" s="63" t="s">
        <v>647</v>
      </c>
      <c r="BI11" s="63">
        <v>-221</v>
      </c>
      <c r="BJ11" s="6"/>
      <c r="BL11" s="145"/>
      <c r="BN11" s="63" t="s">
        <v>647</v>
      </c>
      <c r="BO11" s="63">
        <v>-9</v>
      </c>
      <c r="BT11" s="63" t="s">
        <v>697</v>
      </c>
      <c r="BU11" s="63">
        <v>13</v>
      </c>
      <c r="BV11" t="s">
        <v>714</v>
      </c>
      <c r="BW11">
        <v>1139</v>
      </c>
      <c r="BZ11" s="63" t="s">
        <v>712</v>
      </c>
      <c r="CA11" s="63">
        <v>136</v>
      </c>
      <c r="CF11" s="63" t="s">
        <v>712</v>
      </c>
      <c r="CG11" s="63">
        <v>232</v>
      </c>
      <c r="CJ11" t="s">
        <v>891</v>
      </c>
      <c r="CK11">
        <v>1200</v>
      </c>
      <c r="CL11" s="63" t="s">
        <v>658</v>
      </c>
      <c r="CM11" s="63">
        <v>5</v>
      </c>
      <c r="CP11" t="s">
        <v>892</v>
      </c>
      <c r="CQ11">
        <v>550</v>
      </c>
      <c r="CR11" s="63" t="s">
        <v>658</v>
      </c>
      <c r="CS11" s="63">
        <v>5</v>
      </c>
      <c r="CT11" t="s">
        <v>797</v>
      </c>
      <c r="CU11">
        <v>500</v>
      </c>
      <c r="CV11" s="145" t="s">
        <v>893</v>
      </c>
      <c r="CW11" s="145">
        <v>550</v>
      </c>
      <c r="CX11" s="63" t="s">
        <v>517</v>
      </c>
      <c r="CY11" s="71">
        <v>656</v>
      </c>
      <c r="CZ11" t="s">
        <v>791</v>
      </c>
      <c r="DA11">
        <v>25</v>
      </c>
      <c r="DB11" s="145" t="s">
        <v>894</v>
      </c>
      <c r="DC11" s="145">
        <v>550</v>
      </c>
      <c r="DD11" s="63" t="s">
        <v>517</v>
      </c>
      <c r="DE11" s="71">
        <v>2295</v>
      </c>
      <c r="DF11" t="s">
        <v>816</v>
      </c>
      <c r="DG11">
        <v>25</v>
      </c>
      <c r="DH11" s="145" t="s">
        <v>895</v>
      </c>
      <c r="DI11" s="145">
        <v>550</v>
      </c>
      <c r="DJ11" s="63" t="s">
        <v>517</v>
      </c>
      <c r="DK11" s="71">
        <v>2314</v>
      </c>
      <c r="DL11" t="s">
        <v>827</v>
      </c>
      <c r="DM11">
        <v>25</v>
      </c>
      <c r="DN11" s="145" t="s">
        <v>896</v>
      </c>
      <c r="DO11" s="145">
        <v>550</v>
      </c>
      <c r="DP11" s="63" t="s">
        <v>517</v>
      </c>
      <c r="DQ11" s="71">
        <v>1921</v>
      </c>
      <c r="DR11" t="s">
        <v>858</v>
      </c>
      <c r="DS11">
        <v>25</v>
      </c>
      <c r="DT11" s="145" t="s">
        <v>897</v>
      </c>
      <c r="DU11" s="145">
        <v>550</v>
      </c>
      <c r="DV11" s="63" t="s">
        <v>850</v>
      </c>
      <c r="DW11" s="220">
        <v>0</v>
      </c>
      <c r="DX11" t="s">
        <v>827</v>
      </c>
      <c r="DY11">
        <v>0</v>
      </c>
      <c r="DZ11" s="145" t="s">
        <v>857</v>
      </c>
      <c r="EA11" s="145">
        <v>0</v>
      </c>
      <c r="EB11" s="63" t="s">
        <v>850</v>
      </c>
      <c r="EC11" s="220">
        <v>0.99</v>
      </c>
      <c r="ED11" s="753" t="s">
        <v>935</v>
      </c>
      <c r="EE11" s="727"/>
      <c r="EF11" s="145" t="s">
        <v>898</v>
      </c>
      <c r="EG11" s="145">
        <v>550</v>
      </c>
      <c r="EH11" s="63" t="s">
        <v>850</v>
      </c>
      <c r="EI11" s="220">
        <v>0.99</v>
      </c>
      <c r="EJ11" t="s">
        <v>827</v>
      </c>
      <c r="EK11">
        <v>25</v>
      </c>
      <c r="EL11" s="145" t="s">
        <v>942</v>
      </c>
      <c r="EM11" s="145">
        <v>0</v>
      </c>
      <c r="EN11" s="63" t="s">
        <v>850</v>
      </c>
      <c r="EO11" s="220">
        <v>0.99</v>
      </c>
      <c r="EP11" t="s">
        <v>948</v>
      </c>
      <c r="EQ11">
        <v>200</v>
      </c>
      <c r="ER11" s="222" t="s">
        <v>953</v>
      </c>
      <c r="ES11" s="145">
        <f>70*2</f>
        <v>140</v>
      </c>
      <c r="ET11" s="63" t="s">
        <v>850</v>
      </c>
      <c r="EU11" s="220">
        <v>200</v>
      </c>
      <c r="EV11" t="s">
        <v>970</v>
      </c>
      <c r="EW11">
        <v>200</v>
      </c>
      <c r="EX11" s="222" t="s">
        <v>966</v>
      </c>
      <c r="EY11" s="145">
        <v>70</v>
      </c>
      <c r="EZ11" s="63" t="s">
        <v>850</v>
      </c>
      <c r="FA11" s="220">
        <v>73308</v>
      </c>
    </row>
    <row r="12" spans="2:162" x14ac:dyDescent="0.2">
      <c r="B12" s="63"/>
      <c r="C12" s="63"/>
      <c r="D12" s="145" t="s">
        <v>522</v>
      </c>
      <c r="F12" s="63"/>
      <c r="G12" s="63"/>
      <c r="H12" s="1"/>
      <c r="I12" s="1"/>
      <c r="L12" s="63"/>
      <c r="M12" s="63"/>
      <c r="P12" t="s">
        <v>561</v>
      </c>
      <c r="Q12">
        <v>60</v>
      </c>
      <c r="R12" s="63" t="s">
        <v>557</v>
      </c>
      <c r="S12" s="63">
        <v>-68</v>
      </c>
      <c r="V12" t="s">
        <v>582</v>
      </c>
      <c r="W12">
        <f>50*2</f>
        <v>100</v>
      </c>
      <c r="X12" s="63" t="s">
        <v>557</v>
      </c>
      <c r="Y12" s="63">
        <v>0</v>
      </c>
      <c r="AB12" t="s">
        <v>587</v>
      </c>
      <c r="AC12">
        <v>25</v>
      </c>
      <c r="AD12" s="63" t="s">
        <v>557</v>
      </c>
      <c r="AE12" s="63">
        <v>-35</v>
      </c>
      <c r="AH12" t="s">
        <v>605</v>
      </c>
      <c r="AI12">
        <v>64</v>
      </c>
      <c r="AJ12" s="63" t="s">
        <v>604</v>
      </c>
      <c r="AK12" s="63">
        <v>30</v>
      </c>
      <c r="AL12" t="s">
        <v>630</v>
      </c>
      <c r="AM12">
        <v>48000</v>
      </c>
      <c r="AN12" t="s">
        <v>612</v>
      </c>
      <c r="AO12">
        <v>750</v>
      </c>
      <c r="AP12" s="63" t="s">
        <v>626</v>
      </c>
      <c r="AQ12" s="63">
        <v>0</v>
      </c>
      <c r="AV12" s="63" t="s">
        <v>626</v>
      </c>
      <c r="AW12" s="63">
        <v>0</v>
      </c>
      <c r="AZ12" t="s">
        <v>641</v>
      </c>
      <c r="BA12">
        <f>9.25*2</f>
        <v>18.5</v>
      </c>
      <c r="BB12" s="63" t="s">
        <v>626</v>
      </c>
      <c r="BC12" s="63">
        <v>0</v>
      </c>
      <c r="BD12" s="6" t="s">
        <v>679</v>
      </c>
      <c r="BE12">
        <v>39.39</v>
      </c>
      <c r="BF12" t="s">
        <v>667</v>
      </c>
      <c r="BG12">
        <v>18.5</v>
      </c>
      <c r="BH12" s="71" t="s">
        <v>661</v>
      </c>
      <c r="BI12" s="71">
        <v>0</v>
      </c>
      <c r="BJ12" s="6"/>
      <c r="BL12" s="145" t="s">
        <v>687</v>
      </c>
      <c r="BM12">
        <v>585</v>
      </c>
      <c r="BN12" s="71" t="s">
        <v>661</v>
      </c>
      <c r="BO12" s="71">
        <v>-40</v>
      </c>
      <c r="BP12" s="6" t="s">
        <v>677</v>
      </c>
      <c r="BT12" s="71" t="s">
        <v>638</v>
      </c>
      <c r="BU12" s="71">
        <v>-40</v>
      </c>
      <c r="BV12" t="s">
        <v>715</v>
      </c>
      <c r="BW12">
        <v>2155</v>
      </c>
      <c r="BZ12" s="63" t="s">
        <v>697</v>
      </c>
      <c r="CA12" s="63">
        <v>13</v>
      </c>
      <c r="CD12" t="s">
        <v>747</v>
      </c>
      <c r="CE12">
        <v>100</v>
      </c>
      <c r="CF12" s="63" t="s">
        <v>697</v>
      </c>
      <c r="CG12" s="63">
        <v>0</v>
      </c>
      <c r="CJ12" t="s">
        <v>890</v>
      </c>
      <c r="CL12" s="63" t="s">
        <v>683</v>
      </c>
      <c r="CM12" s="63">
        <v>-127</v>
      </c>
      <c r="CR12" s="63" t="s">
        <v>683</v>
      </c>
      <c r="CS12" s="63">
        <v>-467</v>
      </c>
      <c r="CT12" s="753" t="s">
        <v>784</v>
      </c>
      <c r="CU12" s="727"/>
      <c r="CX12" s="63" t="s">
        <v>620</v>
      </c>
      <c r="CY12" s="63">
        <v>208</v>
      </c>
      <c r="CZ12" t="s">
        <v>795</v>
      </c>
      <c r="DA12">
        <v>24</v>
      </c>
      <c r="DD12" s="63" t="s">
        <v>620</v>
      </c>
      <c r="DE12" s="63">
        <v>208</v>
      </c>
      <c r="DF12" t="s">
        <v>795</v>
      </c>
      <c r="DG12">
        <v>29.99</v>
      </c>
      <c r="DJ12" s="63" t="s">
        <v>620</v>
      </c>
      <c r="DK12" s="63">
        <v>208</v>
      </c>
      <c r="DL12" t="s">
        <v>795</v>
      </c>
      <c r="DM12">
        <v>45.54</v>
      </c>
      <c r="DP12" s="63" t="s">
        <v>550</v>
      </c>
      <c r="DQ12" s="63">
        <v>208</v>
      </c>
      <c r="DR12" t="s">
        <v>795</v>
      </c>
      <c r="DV12" s="63" t="s">
        <v>776</v>
      </c>
      <c r="DW12" s="220">
        <v>37933</v>
      </c>
      <c r="DX12" t="s">
        <v>878</v>
      </c>
      <c r="DY12">
        <v>56.81</v>
      </c>
      <c r="EB12" s="63" t="s">
        <v>776</v>
      </c>
      <c r="EC12" s="220">
        <v>11100</v>
      </c>
      <c r="ED12" t="s">
        <v>778</v>
      </c>
      <c r="EE12">
        <v>0</v>
      </c>
      <c r="EF12" s="145" t="s">
        <v>899</v>
      </c>
      <c r="EG12" s="145">
        <v>1300</v>
      </c>
      <c r="EH12" s="63" t="s">
        <v>776</v>
      </c>
      <c r="EI12" s="220">
        <v>27124</v>
      </c>
      <c r="EJ12" t="s">
        <v>795</v>
      </c>
      <c r="EK12">
        <f>38+10</f>
        <v>48</v>
      </c>
      <c r="EN12" s="63" t="s">
        <v>776</v>
      </c>
      <c r="EO12" s="220">
        <f>1380+25030</f>
        <v>26410</v>
      </c>
      <c r="EP12" t="s">
        <v>937</v>
      </c>
      <c r="EQ12" s="9">
        <f>26.85*2+33.56</f>
        <v>87.26</v>
      </c>
      <c r="ER12" s="222" t="s">
        <v>956</v>
      </c>
      <c r="ES12" s="208">
        <f>89*3</f>
        <v>267</v>
      </c>
      <c r="ET12" s="63" t="s">
        <v>776</v>
      </c>
      <c r="EU12" s="220">
        <f>54174+1010</f>
        <v>55184</v>
      </c>
      <c r="EV12" t="s">
        <v>963</v>
      </c>
      <c r="EW12" s="9">
        <v>26.85</v>
      </c>
      <c r="EX12" s="222" t="s">
        <v>967</v>
      </c>
      <c r="EY12" s="208">
        <f>89+29*2</f>
        <v>147</v>
      </c>
      <c r="EZ12" s="63" t="s">
        <v>776</v>
      </c>
      <c r="FA12" s="220">
        <v>0</v>
      </c>
    </row>
    <row r="13" spans="2:162" x14ac:dyDescent="0.2">
      <c r="P13" t="s">
        <v>564</v>
      </c>
      <c r="Q13">
        <v>20</v>
      </c>
      <c r="V13" t="s">
        <v>588</v>
      </c>
      <c r="W13">
        <f>59+200</f>
        <v>259</v>
      </c>
      <c r="AB13" t="s">
        <v>592</v>
      </c>
      <c r="AC13">
        <v>120</v>
      </c>
      <c r="AD13" s="71" t="s">
        <v>598</v>
      </c>
      <c r="AE13" s="71">
        <v>0</v>
      </c>
      <c r="AH13" t="s">
        <v>592</v>
      </c>
      <c r="AI13">
        <f>250+70+120</f>
        <v>440</v>
      </c>
      <c r="AJ13" s="71" t="s">
        <v>598</v>
      </c>
      <c r="AK13" s="71">
        <v>-396</v>
      </c>
      <c r="AM13">
        <v>13268</v>
      </c>
      <c r="AN13" t="s">
        <v>613</v>
      </c>
      <c r="AO13">
        <v>550</v>
      </c>
      <c r="AP13" s="63" t="s">
        <v>625</v>
      </c>
      <c r="AQ13" s="63">
        <v>40</v>
      </c>
      <c r="AV13" s="63" t="s">
        <v>647</v>
      </c>
      <c r="AW13" s="63">
        <v>-213</v>
      </c>
      <c r="AZ13" t="s">
        <v>642</v>
      </c>
      <c r="BA13">
        <v>9</v>
      </c>
      <c r="BB13" s="63" t="s">
        <v>647</v>
      </c>
      <c r="BC13" s="63">
        <v>-982</v>
      </c>
      <c r="BD13" s="6" t="s">
        <v>680</v>
      </c>
      <c r="BE13">
        <v>39.39</v>
      </c>
      <c r="BF13" t="s">
        <v>670</v>
      </c>
      <c r="BG13">
        <v>75</v>
      </c>
      <c r="BJ13" s="6"/>
      <c r="BL13" s="145" t="s">
        <v>693</v>
      </c>
      <c r="BM13">
        <v>34</v>
      </c>
      <c r="BP13" s="6" t="s">
        <v>698</v>
      </c>
      <c r="BQ13">
        <v>9.5</v>
      </c>
      <c r="BZ13" s="71" t="s">
        <v>638</v>
      </c>
      <c r="CA13" s="71">
        <v>0</v>
      </c>
      <c r="CB13" s="6" t="s">
        <v>677</v>
      </c>
      <c r="CD13" t="s">
        <v>745</v>
      </c>
      <c r="CE13">
        <v>575</v>
      </c>
      <c r="CF13" s="71" t="s">
        <v>638</v>
      </c>
      <c r="CG13" s="71">
        <v>0</v>
      </c>
      <c r="CH13" s="6" t="s">
        <v>677</v>
      </c>
      <c r="CJ13" s="63" t="s">
        <v>716</v>
      </c>
      <c r="CK13">
        <v>70</v>
      </c>
      <c r="CL13" s="63" t="s">
        <v>647</v>
      </c>
      <c r="CM13" s="63">
        <v>0</v>
      </c>
      <c r="CN13" s="6" t="s">
        <v>677</v>
      </c>
      <c r="CO13">
        <v>6.66</v>
      </c>
      <c r="CP13" s="63" t="s">
        <v>766</v>
      </c>
      <c r="CQ13">
        <v>70</v>
      </c>
      <c r="CR13" s="63" t="s">
        <v>647</v>
      </c>
      <c r="CS13" s="63">
        <v>0</v>
      </c>
      <c r="CT13" t="s">
        <v>548</v>
      </c>
      <c r="CU13">
        <v>4.8</v>
      </c>
      <c r="CV13" s="222" t="s">
        <v>820</v>
      </c>
      <c r="CW13" s="145">
        <v>70</v>
      </c>
      <c r="CX13" s="63" t="s">
        <v>749</v>
      </c>
      <c r="CY13" s="63">
        <v>610</v>
      </c>
      <c r="DB13" s="222" t="s">
        <v>804</v>
      </c>
      <c r="DC13" s="145">
        <v>0</v>
      </c>
      <c r="DD13" s="63" t="s">
        <v>749</v>
      </c>
      <c r="DE13" s="63">
        <v>635</v>
      </c>
      <c r="DH13" s="222" t="s">
        <v>811</v>
      </c>
      <c r="DI13" s="145">
        <v>22.5</v>
      </c>
      <c r="DJ13" s="63" t="s">
        <v>749</v>
      </c>
      <c r="DK13" s="63">
        <v>1160</v>
      </c>
      <c r="DL13" t="s">
        <v>826</v>
      </c>
      <c r="DM13">
        <v>225</v>
      </c>
      <c r="DN13" s="222" t="s">
        <v>828</v>
      </c>
      <c r="DO13" s="145">
        <f>70+70</f>
        <v>140</v>
      </c>
      <c r="DP13" s="63" t="s">
        <v>749</v>
      </c>
      <c r="DQ13" s="63">
        <v>1685</v>
      </c>
      <c r="DR13" t="s">
        <v>548</v>
      </c>
      <c r="DS13">
        <v>4.8</v>
      </c>
      <c r="DT13" s="222" t="s">
        <v>839</v>
      </c>
      <c r="DU13" s="145">
        <v>0</v>
      </c>
      <c r="DV13" s="63" t="s">
        <v>517</v>
      </c>
      <c r="DW13" s="71">
        <v>2976.13</v>
      </c>
      <c r="DX13" t="s">
        <v>548</v>
      </c>
      <c r="DY13">
        <v>0</v>
      </c>
      <c r="DZ13" s="222" t="s">
        <v>839</v>
      </c>
      <c r="EA13" s="145">
        <v>0</v>
      </c>
      <c r="EB13" s="63" t="s">
        <v>517</v>
      </c>
      <c r="EC13" s="71">
        <v>3583.11</v>
      </c>
      <c r="ED13" t="s">
        <v>941</v>
      </c>
      <c r="EE13" s="9">
        <v>26.85</v>
      </c>
      <c r="EF13" s="222" t="s">
        <v>883</v>
      </c>
      <c r="EG13" s="145">
        <v>70</v>
      </c>
      <c r="EH13" s="63" t="s">
        <v>517</v>
      </c>
      <c r="EI13" s="71">
        <v>1439.7</v>
      </c>
      <c r="EJ13" t="s">
        <v>548</v>
      </c>
      <c r="EK13">
        <v>4.8</v>
      </c>
      <c r="EL13" s="222" t="s">
        <v>930</v>
      </c>
      <c r="EM13" s="145">
        <v>70</v>
      </c>
      <c r="EN13" s="63" t="s">
        <v>517</v>
      </c>
      <c r="EO13" s="71">
        <v>3010</v>
      </c>
      <c r="EP13" t="s">
        <v>827</v>
      </c>
      <c r="EQ13">
        <v>75</v>
      </c>
      <c r="ER13" s="222" t="s">
        <v>841</v>
      </c>
      <c r="ES13" s="208">
        <v>50</v>
      </c>
      <c r="ET13" s="63" t="s">
        <v>517</v>
      </c>
      <c r="EU13" s="71">
        <v>1244</v>
      </c>
      <c r="EV13" t="s">
        <v>827</v>
      </c>
      <c r="EW13">
        <v>0</v>
      </c>
      <c r="EX13" s="222" t="s">
        <v>841</v>
      </c>
      <c r="EY13" s="208">
        <v>50</v>
      </c>
      <c r="EZ13" s="63" t="s">
        <v>517</v>
      </c>
      <c r="FA13" s="71">
        <v>1181</v>
      </c>
      <c r="FC13" t="s">
        <v>995</v>
      </c>
    </row>
    <row r="14" spans="2:162" x14ac:dyDescent="0.2">
      <c r="P14" t="s">
        <v>562</v>
      </c>
      <c r="Q14">
        <v>10</v>
      </c>
      <c r="V14" t="s">
        <v>593</v>
      </c>
      <c r="W14">
        <v>56</v>
      </c>
      <c r="AB14" t="s">
        <v>600</v>
      </c>
      <c r="AC14">
        <f>56*2</f>
        <v>112</v>
      </c>
      <c r="AN14" t="s">
        <v>617</v>
      </c>
      <c r="AO14">
        <v>550</v>
      </c>
      <c r="AP14" s="71" t="s">
        <v>628</v>
      </c>
      <c r="AQ14" s="71">
        <v>-330</v>
      </c>
      <c r="AR14" t="s">
        <v>639</v>
      </c>
      <c r="AS14">
        <v>6194</v>
      </c>
      <c r="AT14" t="s">
        <v>641</v>
      </c>
      <c r="AU14">
        <f>10*4</f>
        <v>40</v>
      </c>
      <c r="AV14" s="71" t="s">
        <v>638</v>
      </c>
      <c r="AW14" s="71">
        <v>-14</v>
      </c>
      <c r="AZ14" t="s">
        <v>643</v>
      </c>
      <c r="BA14">
        <v>0</v>
      </c>
      <c r="BB14" s="71" t="s">
        <v>638</v>
      </c>
      <c r="BC14" s="71">
        <v>0</v>
      </c>
      <c r="BD14" s="6" t="s">
        <v>684</v>
      </c>
      <c r="BE14">
        <v>39.39</v>
      </c>
      <c r="BF14" s="9" t="s">
        <v>668</v>
      </c>
      <c r="BG14" s="9">
        <v>39.39</v>
      </c>
      <c r="BP14" s="6" t="s">
        <v>706</v>
      </c>
      <c r="BR14" t="s">
        <v>708</v>
      </c>
      <c r="BV14" s="6" t="s">
        <v>677</v>
      </c>
      <c r="CB14" s="6" t="s">
        <v>743</v>
      </c>
      <c r="CC14">
        <v>80</v>
      </c>
      <c r="CH14" s="6" t="s">
        <v>756</v>
      </c>
      <c r="CI14">
        <v>575</v>
      </c>
      <c r="CJ14" s="63" t="s">
        <v>750</v>
      </c>
      <c r="CK14">
        <v>89</v>
      </c>
      <c r="CL14" s="71" t="s">
        <v>638</v>
      </c>
      <c r="CM14" s="71">
        <v>0</v>
      </c>
      <c r="CN14" s="6"/>
      <c r="CP14" s="63" t="s">
        <v>750</v>
      </c>
      <c r="CQ14">
        <v>89</v>
      </c>
      <c r="CR14" s="71" t="s">
        <v>638</v>
      </c>
      <c r="CS14" s="71">
        <v>0</v>
      </c>
      <c r="CT14" t="s">
        <v>792</v>
      </c>
      <c r="CU14">
        <f>26.85+33.56</f>
        <v>60.410000000000004</v>
      </c>
      <c r="CV14" s="222" t="s">
        <v>821</v>
      </c>
      <c r="CW14" s="145">
        <v>89</v>
      </c>
      <c r="CX14" s="63" t="s">
        <v>658</v>
      </c>
      <c r="CY14" s="63">
        <v>5</v>
      </c>
      <c r="CZ14" s="6" t="s">
        <v>677</v>
      </c>
      <c r="DB14" s="222" t="s">
        <v>803</v>
      </c>
      <c r="DC14" s="145">
        <v>89</v>
      </c>
      <c r="DD14" s="63" t="s">
        <v>658</v>
      </c>
      <c r="DE14" s="63">
        <v>5</v>
      </c>
      <c r="DF14" s="6" t="s">
        <v>677</v>
      </c>
      <c r="DH14" s="222" t="s">
        <v>810</v>
      </c>
      <c r="DI14" s="145">
        <v>89</v>
      </c>
      <c r="DJ14" s="63" t="s">
        <v>658</v>
      </c>
      <c r="DK14" s="63">
        <v>5</v>
      </c>
      <c r="DN14" s="222" t="s">
        <v>825</v>
      </c>
      <c r="DO14" s="208">
        <v>89</v>
      </c>
      <c r="DP14" s="63" t="s">
        <v>658</v>
      </c>
      <c r="DQ14" s="63">
        <v>5</v>
      </c>
      <c r="DT14" s="222" t="s">
        <v>840</v>
      </c>
      <c r="DU14" s="208">
        <v>0</v>
      </c>
      <c r="DV14" s="63" t="s">
        <v>854</v>
      </c>
      <c r="DW14" s="63">
        <v>8</v>
      </c>
      <c r="DZ14" s="222" t="s">
        <v>865</v>
      </c>
      <c r="EA14" s="208">
        <v>89</v>
      </c>
      <c r="EB14" s="63" t="s">
        <v>854</v>
      </c>
      <c r="EC14" s="63">
        <v>8</v>
      </c>
      <c r="ED14" t="s">
        <v>827</v>
      </c>
      <c r="EE14">
        <v>25</v>
      </c>
      <c r="EF14" s="222" t="s">
        <v>867</v>
      </c>
      <c r="EG14" s="208">
        <v>0</v>
      </c>
      <c r="EH14" s="63" t="s">
        <v>854</v>
      </c>
      <c r="EI14" s="63">
        <v>8</v>
      </c>
      <c r="EL14" s="222" t="s">
        <v>931</v>
      </c>
      <c r="EM14" s="208">
        <v>89</v>
      </c>
      <c r="EN14" s="63" t="s">
        <v>854</v>
      </c>
      <c r="EO14" s="63">
        <v>8</v>
      </c>
      <c r="EP14" t="s">
        <v>795</v>
      </c>
      <c r="EQ14">
        <f>52+48+42</f>
        <v>142</v>
      </c>
      <c r="ER14" s="222" t="s">
        <v>954</v>
      </c>
      <c r="ES14" s="208">
        <f>32.25*2+5</f>
        <v>69.5</v>
      </c>
      <c r="ET14" s="63" t="s">
        <v>854</v>
      </c>
      <c r="EU14" s="63">
        <v>0</v>
      </c>
      <c r="EV14" t="s">
        <v>795</v>
      </c>
      <c r="EW14">
        <v>200.001</v>
      </c>
      <c r="EX14" s="222" t="s">
        <v>968</v>
      </c>
      <c r="EY14" s="208">
        <f>32.25*2</f>
        <v>64.5</v>
      </c>
      <c r="EZ14" s="63" t="s">
        <v>854</v>
      </c>
      <c r="FA14" s="63">
        <v>0</v>
      </c>
      <c r="FC14" s="87"/>
      <c r="FD14" s="87"/>
      <c r="FE14" s="87"/>
    </row>
    <row r="15" spans="2:162" x14ac:dyDescent="0.2">
      <c r="V15" t="s">
        <v>580</v>
      </c>
      <c r="W15">
        <v>77</v>
      </c>
      <c r="AN15" t="s">
        <v>619</v>
      </c>
      <c r="AO15">
        <f>550+10</f>
        <v>560</v>
      </c>
      <c r="AR15" t="s">
        <v>639</v>
      </c>
      <c r="AS15">
        <v>5486</v>
      </c>
      <c r="AT15" t="s">
        <v>642</v>
      </c>
      <c r="AU15">
        <v>9</v>
      </c>
      <c r="AZ15" t="s">
        <v>644</v>
      </c>
      <c r="BA15">
        <v>39.39</v>
      </c>
      <c r="BF15" s="9" t="s">
        <v>671</v>
      </c>
      <c r="BG15" s="9">
        <v>9</v>
      </c>
      <c r="BL15" t="s">
        <v>688</v>
      </c>
      <c r="BM15">
        <v>37</v>
      </c>
      <c r="BR15" t="s">
        <v>702</v>
      </c>
      <c r="BS15">
        <v>18.5</v>
      </c>
      <c r="BV15" s="6" t="s">
        <v>713</v>
      </c>
      <c r="BW15">
        <v>522</v>
      </c>
      <c r="CB15" s="6"/>
      <c r="CD15" s="63" t="s">
        <v>716</v>
      </c>
      <c r="CE15">
        <v>70</v>
      </c>
      <c r="CH15" s="6"/>
      <c r="CJ15" s="63" t="s">
        <v>755</v>
      </c>
      <c r="CK15">
        <v>20</v>
      </c>
      <c r="CN15" s="6"/>
      <c r="CP15" s="63" t="s">
        <v>755</v>
      </c>
      <c r="CQ15">
        <v>20</v>
      </c>
      <c r="CT15" t="s">
        <v>778</v>
      </c>
      <c r="CU15">
        <v>23.71</v>
      </c>
      <c r="CV15" s="222" t="s">
        <v>755</v>
      </c>
      <c r="CW15" s="145">
        <v>20</v>
      </c>
      <c r="CX15" s="63" t="s">
        <v>683</v>
      </c>
      <c r="CY15" s="63">
        <v>-59.33</v>
      </c>
      <c r="CZ15" s="6" t="s">
        <v>773</v>
      </c>
      <c r="DA15">
        <v>5</v>
      </c>
      <c r="DB15" s="222" t="s">
        <v>755</v>
      </c>
      <c r="DC15" s="145">
        <v>20</v>
      </c>
      <c r="DD15" s="63" t="s">
        <v>683</v>
      </c>
      <c r="DE15" s="63">
        <v>-860</v>
      </c>
      <c r="DF15" s="6" t="s">
        <v>790</v>
      </c>
      <c r="DG15">
        <v>20.62</v>
      </c>
      <c r="DH15" s="222" t="s">
        <v>818</v>
      </c>
      <c r="DI15" s="145">
        <v>10</v>
      </c>
      <c r="DJ15" s="63" t="s">
        <v>683</v>
      </c>
      <c r="DK15" s="63">
        <v>-8</v>
      </c>
      <c r="DN15" s="222" t="s">
        <v>824</v>
      </c>
      <c r="DO15" s="145">
        <v>15</v>
      </c>
      <c r="DP15" s="63" t="s">
        <v>712</v>
      </c>
      <c r="DQ15" s="63">
        <v>13.99</v>
      </c>
      <c r="DT15" s="222" t="s">
        <v>841</v>
      </c>
      <c r="DV15" s="63" t="s">
        <v>851</v>
      </c>
      <c r="DW15" s="63">
        <v>10000</v>
      </c>
      <c r="DZ15" s="222" t="s">
        <v>874</v>
      </c>
      <c r="EA15" s="208">
        <v>10</v>
      </c>
      <c r="EB15" s="63" t="s">
        <v>851</v>
      </c>
      <c r="EC15" s="63">
        <v>10009</v>
      </c>
      <c r="ED15" t="s">
        <v>876</v>
      </c>
      <c r="EE15">
        <v>21.67</v>
      </c>
      <c r="EF15" s="222" t="s">
        <v>841</v>
      </c>
      <c r="EG15" s="208">
        <v>27.5</v>
      </c>
      <c r="EH15" s="63" t="s">
        <v>851</v>
      </c>
      <c r="EI15" s="63">
        <v>10009</v>
      </c>
      <c r="EJ15" t="s">
        <v>938</v>
      </c>
      <c r="EK15">
        <v>2000</v>
      </c>
      <c r="EL15" s="222" t="s">
        <v>841</v>
      </c>
      <c r="EM15" s="208">
        <v>30.001000000000001</v>
      </c>
      <c r="EN15" s="63" t="s">
        <v>851</v>
      </c>
      <c r="EO15" s="63">
        <v>10009</v>
      </c>
      <c r="EP15" t="s">
        <v>946</v>
      </c>
      <c r="EQ15">
        <v>266</v>
      </c>
      <c r="ER15" s="222" t="s">
        <v>727</v>
      </c>
      <c r="ES15" s="208">
        <v>165.6</v>
      </c>
      <c r="ET15" s="63" t="s">
        <v>851</v>
      </c>
      <c r="EU15" s="63">
        <v>10283</v>
      </c>
      <c r="EV15" t="s">
        <v>946</v>
      </c>
      <c r="EW15">
        <f>17+17</f>
        <v>34</v>
      </c>
      <c r="EX15" s="222"/>
      <c r="EY15" s="208"/>
      <c r="EZ15" s="63" t="s">
        <v>851</v>
      </c>
      <c r="FA15" s="63">
        <v>0</v>
      </c>
      <c r="FC15" s="330">
        <f>I4+O4+U4+AA4+AG4+AM4+AS4+AY4+BE8+BK8+BQ8+BW8+CC7+CI7+CO7+SUM(CU8:CU11)+DA7+DG7+DM7+DS7+DY7+EE7+EE8+EK7+EQ7+EQ8+EW7+EW8</f>
        <v>226347</v>
      </c>
      <c r="FD15" s="86"/>
      <c r="FE15" s="86" t="s">
        <v>977</v>
      </c>
      <c r="FF15" t="s">
        <v>991</v>
      </c>
    </row>
    <row r="16" spans="2:162" x14ac:dyDescent="0.2">
      <c r="BF16" s="9"/>
      <c r="BG16" s="9"/>
      <c r="BV16" s="6"/>
      <c r="CB16" s="6"/>
      <c r="CD16" s="63" t="s">
        <v>746</v>
      </c>
      <c r="CE16">
        <v>89</v>
      </c>
      <c r="CH16" s="6"/>
      <c r="CJ16" s="63" t="s">
        <v>761</v>
      </c>
      <c r="CK16">
        <f>4+12</f>
        <v>16</v>
      </c>
      <c r="CN16" s="6"/>
      <c r="CP16" s="63" t="s">
        <v>770</v>
      </c>
      <c r="CQ16">
        <v>110</v>
      </c>
      <c r="CT16" t="s">
        <v>781</v>
      </c>
      <c r="CU16">
        <v>50</v>
      </c>
      <c r="CV16" s="222" t="s">
        <v>786</v>
      </c>
      <c r="CW16" s="145">
        <v>32.25</v>
      </c>
      <c r="CX16" s="63" t="s">
        <v>647</v>
      </c>
      <c r="CY16" s="63">
        <v>0</v>
      </c>
      <c r="CZ16" s="6" t="s">
        <v>805</v>
      </c>
      <c r="DA16">
        <v>92</v>
      </c>
      <c r="DB16" s="222" t="s">
        <v>798</v>
      </c>
      <c r="DC16" s="145">
        <v>32.25</v>
      </c>
      <c r="DD16" s="63" t="s">
        <v>647</v>
      </c>
      <c r="DE16" s="63">
        <v>0</v>
      </c>
      <c r="DH16" s="222" t="s">
        <v>814</v>
      </c>
      <c r="DI16" s="145">
        <v>5</v>
      </c>
      <c r="DJ16" s="63" t="s">
        <v>647</v>
      </c>
      <c r="DK16" s="63">
        <v>0</v>
      </c>
      <c r="DN16" s="222" t="s">
        <v>834</v>
      </c>
      <c r="DO16" s="145">
        <v>32</v>
      </c>
      <c r="DP16" s="63" t="s">
        <v>647</v>
      </c>
      <c r="DQ16" s="63">
        <v>0</v>
      </c>
      <c r="DT16" s="222" t="s">
        <v>855</v>
      </c>
      <c r="DU16" s="145">
        <v>32</v>
      </c>
      <c r="DV16" s="63" t="s">
        <v>749</v>
      </c>
      <c r="DW16" s="63">
        <v>2210</v>
      </c>
      <c r="DX16" t="s">
        <v>861</v>
      </c>
      <c r="DY16">
        <v>1000</v>
      </c>
      <c r="DZ16" s="222" t="s">
        <v>875</v>
      </c>
      <c r="EA16" s="208">
        <v>10.5</v>
      </c>
      <c r="EB16" s="63" t="s">
        <v>749</v>
      </c>
      <c r="EC16" s="63">
        <v>710</v>
      </c>
      <c r="ED16" t="s">
        <v>548</v>
      </c>
      <c r="EF16" s="222" t="s">
        <v>882</v>
      </c>
      <c r="EG16" s="208">
        <v>32.25</v>
      </c>
      <c r="EH16" s="63" t="s">
        <v>749</v>
      </c>
      <c r="EI16" s="63">
        <v>1235</v>
      </c>
      <c r="EL16" s="222" t="s">
        <v>932</v>
      </c>
      <c r="EM16" s="208">
        <v>32.25</v>
      </c>
      <c r="EN16" s="63" t="s">
        <v>749</v>
      </c>
      <c r="EO16" s="63">
        <v>59.96</v>
      </c>
      <c r="EP16" t="s">
        <v>949</v>
      </c>
      <c r="EQ16">
        <v>5.0999999999999996</v>
      </c>
      <c r="ER16" s="222" t="s">
        <v>951</v>
      </c>
      <c r="ES16" s="208">
        <v>14</v>
      </c>
      <c r="ET16" s="63" t="s">
        <v>749</v>
      </c>
      <c r="EU16" s="63">
        <v>1635</v>
      </c>
      <c r="EV16" t="s">
        <v>961</v>
      </c>
      <c r="EW16">
        <v>0</v>
      </c>
      <c r="EX16" s="222"/>
      <c r="EY16" s="208"/>
      <c r="EZ16" s="63" t="s">
        <v>749</v>
      </c>
      <c r="FA16" s="63">
        <v>0</v>
      </c>
      <c r="FC16" s="231">
        <f>O5+AA5+AM5+AY8+BQ7+BW6+BW7+CU5+SUM(DY16:DY18)+EK15</f>
        <v>106028</v>
      </c>
      <c r="FD16" s="63"/>
      <c r="FE16" s="63" t="s">
        <v>978</v>
      </c>
      <c r="FF16" t="s">
        <v>991</v>
      </c>
    </row>
    <row r="17" spans="12:163" x14ac:dyDescent="0.2">
      <c r="BF17" s="9"/>
      <c r="BG17" s="9"/>
      <c r="BV17" s="6"/>
      <c r="CB17" s="6"/>
      <c r="CD17" s="63" t="s">
        <v>733</v>
      </c>
      <c r="CE17">
        <v>7</v>
      </c>
      <c r="CH17" s="6"/>
      <c r="CJ17" s="63" t="s">
        <v>751</v>
      </c>
      <c r="CK17">
        <v>30</v>
      </c>
      <c r="CN17" s="6"/>
      <c r="CP17" s="63" t="s">
        <v>760</v>
      </c>
      <c r="CX17" s="71" t="s">
        <v>638</v>
      </c>
      <c r="CY17" s="71">
        <v>0</v>
      </c>
      <c r="DB17" s="222" t="s">
        <v>836</v>
      </c>
      <c r="DC17" s="145">
        <v>82</v>
      </c>
      <c r="DD17" s="71" t="s">
        <v>638</v>
      </c>
      <c r="DE17" s="71">
        <v>0</v>
      </c>
      <c r="DH17" s="222"/>
      <c r="DJ17" s="71" t="s">
        <v>638</v>
      </c>
      <c r="DK17" s="71">
        <v>0</v>
      </c>
      <c r="DL17" s="6" t="s">
        <v>677</v>
      </c>
      <c r="DN17" s="222" t="s">
        <v>833</v>
      </c>
      <c r="DO17" s="208">
        <v>52</v>
      </c>
      <c r="DP17" s="71" t="s">
        <v>638</v>
      </c>
      <c r="DQ17" s="71">
        <v>0</v>
      </c>
      <c r="DR17" s="6" t="s">
        <v>677</v>
      </c>
      <c r="DT17" s="222"/>
      <c r="DU17" s="208"/>
      <c r="DV17" s="63" t="s">
        <v>658</v>
      </c>
      <c r="DW17" s="63">
        <v>5</v>
      </c>
      <c r="DX17" t="s">
        <v>926</v>
      </c>
      <c r="DY17">
        <v>3300</v>
      </c>
      <c r="DZ17" s="222" t="s">
        <v>814</v>
      </c>
      <c r="EA17" s="208">
        <v>0</v>
      </c>
      <c r="EB17" s="63" t="s">
        <v>658</v>
      </c>
      <c r="EC17" s="63">
        <v>5</v>
      </c>
      <c r="EF17" s="222" t="s">
        <v>887</v>
      </c>
      <c r="EG17" s="208">
        <v>7.5</v>
      </c>
      <c r="EH17" s="63" t="s">
        <v>658</v>
      </c>
      <c r="EI17" s="63">
        <v>5</v>
      </c>
      <c r="EJ17" s="6" t="s">
        <v>677</v>
      </c>
      <c r="EL17" s="222" t="s">
        <v>729</v>
      </c>
      <c r="EM17" s="208">
        <v>4.25</v>
      </c>
      <c r="EN17" s="63" t="s">
        <v>958</v>
      </c>
      <c r="EO17" s="63">
        <v>0</v>
      </c>
      <c r="EP17" t="s">
        <v>945</v>
      </c>
      <c r="EQ17">
        <v>155</v>
      </c>
      <c r="ES17" s="208"/>
      <c r="ET17" s="63" t="s">
        <v>683</v>
      </c>
      <c r="EU17" s="63">
        <v>-123</v>
      </c>
      <c r="EX17" s="239"/>
      <c r="EY17" s="208"/>
      <c r="EZ17" s="63" t="s">
        <v>683</v>
      </c>
      <c r="FA17" s="63">
        <v>-78</v>
      </c>
      <c r="FC17" s="231">
        <f>BW11+BW12+BW18</f>
        <v>4419</v>
      </c>
      <c r="FD17" s="63"/>
      <c r="FE17" s="63" t="s">
        <v>979</v>
      </c>
    </row>
    <row r="18" spans="12:163" x14ac:dyDescent="0.2">
      <c r="V18" t="s">
        <v>583</v>
      </c>
      <c r="W18">
        <v>30.998999999999999</v>
      </c>
      <c r="AT18" t="s">
        <v>652</v>
      </c>
      <c r="AU18">
        <v>75</v>
      </c>
      <c r="AZ18" t="s">
        <v>644</v>
      </c>
      <c r="BA18">
        <v>33</v>
      </c>
      <c r="BF18" s="9" t="s">
        <v>673</v>
      </c>
      <c r="BG18" s="9">
        <v>39.39</v>
      </c>
      <c r="BL18" t="s">
        <v>689</v>
      </c>
      <c r="BM18">
        <v>37</v>
      </c>
      <c r="BR18" t="s">
        <v>704</v>
      </c>
      <c r="BS18">
        <v>18.5</v>
      </c>
      <c r="BV18" s="6" t="s">
        <v>698</v>
      </c>
      <c r="BW18">
        <v>1125</v>
      </c>
      <c r="BX18" t="s">
        <v>722</v>
      </c>
      <c r="BY18">
        <v>575</v>
      </c>
      <c r="CD18" s="63"/>
      <c r="CJ18" s="63" t="s">
        <v>757</v>
      </c>
      <c r="CK18">
        <v>5</v>
      </c>
      <c r="DB18" s="222" t="s">
        <v>800</v>
      </c>
      <c r="DC18" s="145">
        <v>20.62</v>
      </c>
      <c r="DL18" s="6" t="s">
        <v>769</v>
      </c>
      <c r="DM18">
        <v>12.34</v>
      </c>
      <c r="DN18" s="222" t="s">
        <v>835</v>
      </c>
      <c r="DO18" s="208">
        <v>15</v>
      </c>
      <c r="DR18" s="6" t="s">
        <v>873</v>
      </c>
      <c r="DS18">
        <v>12.000999999999999</v>
      </c>
      <c r="DU18" s="208"/>
      <c r="DV18" s="63" t="s">
        <v>683</v>
      </c>
      <c r="DW18" s="63">
        <v>-1394.65</v>
      </c>
      <c r="DX18" t="s">
        <v>862</v>
      </c>
      <c r="DY18">
        <v>1600</v>
      </c>
      <c r="EA18" s="208"/>
      <c r="EB18" s="63" t="s">
        <v>712</v>
      </c>
      <c r="EC18" s="63">
        <v>677</v>
      </c>
      <c r="ED18" s="6" t="s">
        <v>927</v>
      </c>
      <c r="EE18">
        <v>42</v>
      </c>
      <c r="EF18" s="208" t="s">
        <v>888</v>
      </c>
      <c r="EG18" s="145">
        <v>17</v>
      </c>
      <c r="EH18" s="63" t="s">
        <v>683</v>
      </c>
      <c r="EI18" s="63">
        <v>-19.23</v>
      </c>
      <c r="EJ18" s="6"/>
      <c r="EM18" s="208"/>
      <c r="EN18" s="63" t="s">
        <v>683</v>
      </c>
      <c r="EO18" s="63">
        <f>-EM23</f>
        <v>-1274.6300000000001</v>
      </c>
      <c r="ER18" s="145" t="s">
        <v>879</v>
      </c>
      <c r="ES18" s="208">
        <v>0</v>
      </c>
      <c r="ET18" s="63" t="s">
        <v>647</v>
      </c>
      <c r="EU18" s="63">
        <v>0</v>
      </c>
      <c r="EX18" s="145" t="s">
        <v>971</v>
      </c>
      <c r="EY18" s="208">
        <f>1162-827</f>
        <v>335</v>
      </c>
      <c r="EZ18" s="63" t="s">
        <v>647</v>
      </c>
      <c r="FA18" s="63">
        <v>0</v>
      </c>
      <c r="FC18" s="231">
        <f>FC20-SUM(FC15:FC17)</f>
        <v>5915.8520000000135</v>
      </c>
      <c r="FD18" s="63"/>
      <c r="FE18" s="63" t="s">
        <v>1552</v>
      </c>
    </row>
    <row r="19" spans="12:163" x14ac:dyDescent="0.2">
      <c r="V19" s="55" t="s">
        <v>645</v>
      </c>
      <c r="W19">
        <f>18.5*4</f>
        <v>74</v>
      </c>
      <c r="AB19" s="3" t="s">
        <v>589</v>
      </c>
      <c r="AC19">
        <f>9.25*6</f>
        <v>55.5</v>
      </c>
      <c r="AH19" s="3" t="s">
        <v>589</v>
      </c>
      <c r="AI19">
        <f>9.25*6</f>
        <v>55.5</v>
      </c>
      <c r="AT19" t="s">
        <v>644</v>
      </c>
      <c r="AU19">
        <v>39</v>
      </c>
      <c r="BF19" s="9" t="s">
        <v>674</v>
      </c>
      <c r="BG19" s="9">
        <v>39.39</v>
      </c>
      <c r="BL19" t="s">
        <v>686</v>
      </c>
      <c r="BM19">
        <v>9.25</v>
      </c>
      <c r="BR19" t="s">
        <v>704</v>
      </c>
      <c r="BS19">
        <v>27.75</v>
      </c>
      <c r="BV19" s="6" t="s">
        <v>743</v>
      </c>
      <c r="BW19">
        <v>80</v>
      </c>
      <c r="BX19" t="s">
        <v>723</v>
      </c>
      <c r="BY19">
        <v>501</v>
      </c>
      <c r="CD19" s="63" t="s">
        <v>643</v>
      </c>
      <c r="CE19">
        <v>6.5</v>
      </c>
      <c r="CJ19" s="63" t="s">
        <v>760</v>
      </c>
      <c r="CK19">
        <v>32</v>
      </c>
      <c r="CP19" s="63" t="s">
        <v>764</v>
      </c>
      <c r="CQ19">
        <v>23</v>
      </c>
      <c r="CT19" s="718" t="s">
        <v>788</v>
      </c>
      <c r="CU19" s="718"/>
      <c r="CX19" t="s">
        <v>780</v>
      </c>
      <c r="DL19" s="6" t="s">
        <v>829</v>
      </c>
      <c r="DM19">
        <f>DO19</f>
        <v>81.62</v>
      </c>
      <c r="DN19" s="222" t="s">
        <v>837</v>
      </c>
      <c r="DO19" s="145">
        <v>81.62</v>
      </c>
      <c r="DR19" s="6"/>
      <c r="DT19" s="145" t="s">
        <v>844</v>
      </c>
      <c r="DU19" s="145">
        <v>63.15</v>
      </c>
      <c r="DV19" s="63" t="s">
        <v>647</v>
      </c>
      <c r="DW19" s="63">
        <v>0</v>
      </c>
      <c r="DX19" s="6"/>
      <c r="DZ19" s="208" t="s">
        <v>870</v>
      </c>
      <c r="EA19" s="145">
        <f>59500+22.6</f>
        <v>59522.6</v>
      </c>
      <c r="EB19" s="63" t="s">
        <v>647</v>
      </c>
      <c r="EC19" s="63">
        <v>0</v>
      </c>
      <c r="EF19" s="145" t="s">
        <v>879</v>
      </c>
      <c r="EH19" s="63" t="s">
        <v>647</v>
      </c>
      <c r="EI19" s="63">
        <v>0</v>
      </c>
      <c r="EL19" s="145" t="s">
        <v>879</v>
      </c>
      <c r="EM19" s="208">
        <v>0</v>
      </c>
      <c r="EN19" s="63" t="s">
        <v>647</v>
      </c>
      <c r="EO19" s="63">
        <v>0</v>
      </c>
      <c r="EP19" s="6" t="s">
        <v>677</v>
      </c>
      <c r="ER19" s="145" t="s">
        <v>952</v>
      </c>
      <c r="ES19" s="208">
        <v>23.98</v>
      </c>
      <c r="ET19" s="71" t="s">
        <v>638</v>
      </c>
      <c r="EU19" s="71">
        <v>0</v>
      </c>
      <c r="EV19" s="6" t="s">
        <v>677</v>
      </c>
      <c r="EZ19" s="71" t="s">
        <v>638</v>
      </c>
      <c r="FA19" s="71">
        <v>0</v>
      </c>
      <c r="FC19" s="63" t="s">
        <v>980</v>
      </c>
      <c r="FD19" s="63"/>
      <c r="FE19" s="63"/>
    </row>
    <row r="20" spans="12:163" x14ac:dyDescent="0.2">
      <c r="V20" s="3"/>
      <c r="AB20" s="3"/>
      <c r="AH20" s="3"/>
      <c r="BF20" s="9"/>
      <c r="BG20" s="9"/>
      <c r="BV20" s="6"/>
      <c r="BX20" t="s">
        <v>748</v>
      </c>
      <c r="BY20">
        <v>20</v>
      </c>
      <c r="CD20" s="63" t="s">
        <v>735</v>
      </c>
      <c r="CE20">
        <v>0</v>
      </c>
      <c r="CP20" s="63" t="s">
        <v>765</v>
      </c>
      <c r="CQ20">
        <v>12</v>
      </c>
      <c r="CT20" s="6" t="s">
        <v>772</v>
      </c>
      <c r="CU20">
        <v>140.44999999999999</v>
      </c>
      <c r="CX20" t="s">
        <v>779</v>
      </c>
      <c r="CY20">
        <v>1999</v>
      </c>
      <c r="DH20" s="223" t="s">
        <v>819</v>
      </c>
      <c r="DI20" s="224">
        <v>468</v>
      </c>
      <c r="DV20" s="71" t="s">
        <v>638</v>
      </c>
      <c r="DW20" s="71">
        <v>0</v>
      </c>
      <c r="DZ20" s="208" t="s">
        <v>871</v>
      </c>
      <c r="EA20" s="145">
        <v>0</v>
      </c>
      <c r="EB20" s="71" t="s">
        <v>638</v>
      </c>
      <c r="EC20" s="71">
        <v>0</v>
      </c>
      <c r="ED20" s="6" t="s">
        <v>677</v>
      </c>
      <c r="EG20" s="145">
        <v>209.19</v>
      </c>
      <c r="EH20" s="71" t="s">
        <v>638</v>
      </c>
      <c r="EI20" s="71">
        <v>0</v>
      </c>
      <c r="EN20" s="71" t="s">
        <v>638</v>
      </c>
      <c r="EO20" s="71">
        <v>0</v>
      </c>
      <c r="EP20" s="6"/>
      <c r="ES20" s="208"/>
      <c r="EV20" s="6" t="s">
        <v>962</v>
      </c>
      <c r="EW20">
        <v>100</v>
      </c>
      <c r="EX20" s="145" t="s">
        <v>965</v>
      </c>
      <c r="EY20" s="208">
        <v>247</v>
      </c>
      <c r="FC20" s="235">
        <f>I2+O2+U2+AA2+AG2+AM2+AS2+AY2+BE2+BK2+BQ2+BW2+CC2+CI2+CO2+CU2+DA2+DG2+DM2+DS2+DY2+EE2+EK2+EQ2+EW2</f>
        <v>342709.85200000001</v>
      </c>
      <c r="FD20" s="236" t="s">
        <v>985</v>
      </c>
      <c r="FE20" s="65" t="s">
        <v>1555</v>
      </c>
      <c r="FF20" t="s">
        <v>992</v>
      </c>
    </row>
    <row r="21" spans="12:163" x14ac:dyDescent="0.2">
      <c r="AN21" t="s">
        <v>611</v>
      </c>
      <c r="AO21">
        <f>60+30+56+60</f>
        <v>206</v>
      </c>
      <c r="AT21" t="s">
        <v>644</v>
      </c>
      <c r="AU21">
        <v>39</v>
      </c>
      <c r="AZ21" t="s">
        <v>635</v>
      </c>
      <c r="BA21">
        <v>281.77999999999997</v>
      </c>
      <c r="BL21" t="s">
        <v>690</v>
      </c>
      <c r="BM21">
        <v>138</v>
      </c>
      <c r="BX21" t="s">
        <v>724</v>
      </c>
      <c r="BY21">
        <v>28</v>
      </c>
      <c r="CD21" s="63" t="s">
        <v>738</v>
      </c>
      <c r="CE21">
        <v>18</v>
      </c>
      <c r="CJ21" s="63" t="s">
        <v>752</v>
      </c>
      <c r="CK21">
        <v>20</v>
      </c>
      <c r="CP21" s="63" t="s">
        <v>769</v>
      </c>
      <c r="CQ21">
        <v>112.42</v>
      </c>
      <c r="CT21" s="6" t="s">
        <v>769</v>
      </c>
      <c r="CU21">
        <v>112.42</v>
      </c>
      <c r="DB21" s="223" t="s">
        <v>650</v>
      </c>
      <c r="DC21" s="224">
        <v>305</v>
      </c>
      <c r="DH21" s="223" t="s">
        <v>809</v>
      </c>
      <c r="DI21" s="224">
        <v>0</v>
      </c>
      <c r="DT21" s="145" t="s">
        <v>848</v>
      </c>
      <c r="DU21" s="145">
        <v>924.23</v>
      </c>
      <c r="DX21" s="6" t="s">
        <v>677</v>
      </c>
      <c r="ED21" s="6" t="s">
        <v>884</v>
      </c>
      <c r="EE21">
        <v>63</v>
      </c>
      <c r="EG21" s="145">
        <v>217.19</v>
      </c>
      <c r="EL21" s="145" t="s">
        <v>933</v>
      </c>
      <c r="EM21" s="208">
        <v>103.17</v>
      </c>
      <c r="ET21" t="s">
        <v>864</v>
      </c>
      <c r="EX21" s="145" t="s">
        <v>969</v>
      </c>
      <c r="EY21" s="145">
        <v>3</v>
      </c>
      <c r="EZ21" s="738" t="s">
        <v>864</v>
      </c>
      <c r="FA21" s="738"/>
      <c r="FC21" s="242">
        <f>FC20-FC22</f>
        <v>113457.16899999997</v>
      </c>
      <c r="FD21" s="234"/>
      <c r="FE21" s="751" t="s">
        <v>1553</v>
      </c>
      <c r="FF21" s="751"/>
      <c r="FG21" s="751"/>
    </row>
    <row r="22" spans="12:163" x14ac:dyDescent="0.2">
      <c r="AH22" t="s">
        <v>607</v>
      </c>
      <c r="AI22">
        <v>129</v>
      </c>
      <c r="AN22" t="s">
        <v>562</v>
      </c>
      <c r="AO22">
        <v>20</v>
      </c>
      <c r="AT22" t="s">
        <v>644</v>
      </c>
      <c r="AU22">
        <v>13</v>
      </c>
      <c r="AZ22" t="s">
        <v>650</v>
      </c>
      <c r="BA22">
        <v>192.37</v>
      </c>
      <c r="BF22" t="s">
        <v>672</v>
      </c>
      <c r="BG22">
        <v>3.78</v>
      </c>
      <c r="BL22" t="s">
        <v>682</v>
      </c>
      <c r="BM22">
        <v>75</v>
      </c>
      <c r="BR22" t="s">
        <v>700</v>
      </c>
      <c r="BS22">
        <v>75</v>
      </c>
      <c r="CJ22" s="63" t="s">
        <v>753</v>
      </c>
      <c r="CK22">
        <v>26</v>
      </c>
      <c r="DB22" s="223" t="s">
        <v>769</v>
      </c>
      <c r="DC22" s="224">
        <f>5+7</f>
        <v>12</v>
      </c>
      <c r="DH22" s="223" t="s">
        <v>808</v>
      </c>
      <c r="DI22" s="227">
        <v>65</v>
      </c>
      <c r="DT22" s="145" t="s">
        <v>846</v>
      </c>
      <c r="DU22" s="145">
        <v>83</v>
      </c>
      <c r="EB22" t="s">
        <v>864</v>
      </c>
      <c r="EG22" s="145">
        <v>220.19</v>
      </c>
      <c r="EH22" t="s">
        <v>864</v>
      </c>
      <c r="EN22" t="s">
        <v>864</v>
      </c>
      <c r="ET22" t="s">
        <v>877</v>
      </c>
      <c r="EZ22" s="738" t="s">
        <v>877</v>
      </c>
      <c r="FA22" s="738"/>
      <c r="FC22" s="235">
        <f>E2+K2+Q2+W2+AC2+AI2+AO2+AU2+BA2+BG2+BM2+BS2+BY2+CE2+CK2+CQ2+CW2+DC2+DI2+DO2+DU2+EA2+EG2+EM2+ES2+EY2</f>
        <v>229252.68300000005</v>
      </c>
      <c r="FD22" s="236" t="s">
        <v>985</v>
      </c>
      <c r="FE22" s="86" t="s">
        <v>1556</v>
      </c>
      <c r="FF22" t="s">
        <v>993</v>
      </c>
    </row>
    <row r="23" spans="12:163" x14ac:dyDescent="0.2">
      <c r="AH23" t="s">
        <v>609</v>
      </c>
      <c r="AI23">
        <v>10</v>
      </c>
      <c r="AN23" s="3" t="s">
        <v>589</v>
      </c>
      <c r="AO23">
        <f>18.5*2</f>
        <v>37</v>
      </c>
      <c r="AT23" t="s">
        <v>644</v>
      </c>
      <c r="AU23">
        <v>15</v>
      </c>
      <c r="BF23" t="s">
        <v>666</v>
      </c>
      <c r="BG23">
        <v>75</v>
      </c>
      <c r="BL23" t="s">
        <v>685</v>
      </c>
      <c r="BM23">
        <v>9</v>
      </c>
      <c r="BR23" t="s">
        <v>705</v>
      </c>
      <c r="BS23">
        <v>9</v>
      </c>
      <c r="BX23" t="s">
        <v>716</v>
      </c>
      <c r="BY23">
        <v>70</v>
      </c>
      <c r="CJ23" s="63" t="s">
        <v>762</v>
      </c>
      <c r="CK23">
        <v>10</v>
      </c>
      <c r="CP23" s="63" t="s">
        <v>767</v>
      </c>
      <c r="CQ23">
        <v>1370</v>
      </c>
      <c r="DB23" s="223" t="s">
        <v>801</v>
      </c>
      <c r="DC23" s="224">
        <v>23</v>
      </c>
      <c r="DH23" s="223" t="s">
        <v>807</v>
      </c>
      <c r="DI23" s="224">
        <f>7.5*2</f>
        <v>15</v>
      </c>
      <c r="DT23" s="145" t="s">
        <v>845</v>
      </c>
      <c r="DU23" s="145">
        <v>124</v>
      </c>
      <c r="DZ23" s="145" t="s">
        <v>866</v>
      </c>
      <c r="EA23" s="145">
        <v>70</v>
      </c>
      <c r="EB23" t="s">
        <v>863</v>
      </c>
      <c r="EF23" s="208"/>
      <c r="EG23" s="208">
        <v>225.19</v>
      </c>
      <c r="EH23" t="s">
        <v>877</v>
      </c>
      <c r="EL23" s="145" t="s">
        <v>940</v>
      </c>
      <c r="EM23" s="145">
        <v>1274.6300000000001</v>
      </c>
      <c r="EN23" t="s">
        <v>877</v>
      </c>
      <c r="ER23" s="145" t="s">
        <v>955</v>
      </c>
      <c r="ES23" s="208">
        <v>75.569999999999993</v>
      </c>
      <c r="ET23" t="s">
        <v>863</v>
      </c>
      <c r="EZ23" s="738" t="s">
        <v>1007</v>
      </c>
      <c r="FA23" s="738"/>
      <c r="FC23" s="63" t="s">
        <v>986</v>
      </c>
      <c r="FD23" s="63"/>
      <c r="FE23" s="63"/>
    </row>
    <row r="24" spans="12:163" x14ac:dyDescent="0.2">
      <c r="L24" s="234"/>
      <c r="Q24" s="234"/>
      <c r="AN24" t="s">
        <v>614</v>
      </c>
      <c r="AO24">
        <v>25</v>
      </c>
      <c r="AT24" t="s">
        <v>644</v>
      </c>
      <c r="AU24">
        <v>9</v>
      </c>
      <c r="BL24" s="9" t="s">
        <v>694</v>
      </c>
      <c r="BM24" s="9">
        <v>16</v>
      </c>
      <c r="BX24" t="s">
        <v>717</v>
      </c>
      <c r="BY24">
        <v>89</v>
      </c>
      <c r="CP24" s="63" t="s">
        <v>774</v>
      </c>
      <c r="CQ24">
        <v>0</v>
      </c>
      <c r="DH24" s="223" t="s">
        <v>806</v>
      </c>
      <c r="DI24" s="224">
        <v>8.3000000000000007</v>
      </c>
      <c r="DT24" s="145" t="s">
        <v>847</v>
      </c>
      <c r="DU24" s="145">
        <v>58</v>
      </c>
      <c r="EH24" t="s">
        <v>863</v>
      </c>
      <c r="EL24" s="145" t="s">
        <v>939</v>
      </c>
      <c r="EM24" s="208">
        <v>54.27</v>
      </c>
      <c r="EN24" t="s">
        <v>863</v>
      </c>
      <c r="ER24" s="145" t="s">
        <v>806</v>
      </c>
      <c r="ES24" s="208">
        <v>9.99</v>
      </c>
      <c r="ET24" t="s">
        <v>902</v>
      </c>
      <c r="EY24" s="208"/>
      <c r="EZ24" s="738" t="s">
        <v>1083</v>
      </c>
      <c r="FA24" s="738"/>
      <c r="FC24" s="329">
        <f>SUM(FD25:FD26)</f>
        <v>178477.61000000002</v>
      </c>
      <c r="FD24" s="63"/>
      <c r="FE24" s="63" t="s">
        <v>972</v>
      </c>
    </row>
    <row r="25" spans="12:163" x14ac:dyDescent="0.2">
      <c r="AH25" s="234"/>
      <c r="AN25" t="s">
        <v>615</v>
      </c>
      <c r="AO25">
        <f>7+9</f>
        <v>16</v>
      </c>
      <c r="AT25" t="s">
        <v>644</v>
      </c>
      <c r="BR25" t="s">
        <v>698</v>
      </c>
      <c r="BS25">
        <v>1285</v>
      </c>
      <c r="BX25" t="s">
        <v>741</v>
      </c>
      <c r="BY25">
        <v>5.5</v>
      </c>
      <c r="CJ25" t="s">
        <v>758</v>
      </c>
      <c r="CK25">
        <v>26</v>
      </c>
      <c r="DB25" s="145" t="s">
        <v>802</v>
      </c>
      <c r="DC25" s="145">
        <v>25</v>
      </c>
      <c r="DH25" s="223" t="s">
        <v>813</v>
      </c>
      <c r="DI25" s="224">
        <v>0</v>
      </c>
      <c r="EF25" s="145" t="s">
        <v>886</v>
      </c>
      <c r="EG25" s="208">
        <v>98.75</v>
      </c>
      <c r="EH25" t="s">
        <v>902</v>
      </c>
      <c r="EM25" s="208"/>
      <c r="EN25" t="s">
        <v>902</v>
      </c>
      <c r="FC25" s="90"/>
      <c r="FD25" s="63">
        <f>AC9+AO9+EA19</f>
        <v>177677.6</v>
      </c>
      <c r="FE25" s="63" t="s">
        <v>983</v>
      </c>
    </row>
    <row r="26" spans="12:163" x14ac:dyDescent="0.2">
      <c r="AN26" t="s">
        <v>618</v>
      </c>
      <c r="AO26">
        <v>75</v>
      </c>
      <c r="AT26" t="s">
        <v>644</v>
      </c>
      <c r="AY26" s="234"/>
      <c r="BR26" t="s">
        <v>703</v>
      </c>
      <c r="BS26">
        <v>65</v>
      </c>
      <c r="BX26" t="s">
        <v>733</v>
      </c>
      <c r="BY26">
        <v>40.000999999999998</v>
      </c>
      <c r="CU26" s="234"/>
      <c r="DB26" s="145" t="s">
        <v>799</v>
      </c>
      <c r="DC26" s="145">
        <v>26</v>
      </c>
      <c r="EF26" s="145" t="s">
        <v>885</v>
      </c>
      <c r="EG26" s="145">
        <v>676.3</v>
      </c>
      <c r="FC26" s="90"/>
      <c r="FD26" s="63">
        <v>800.01</v>
      </c>
      <c r="FE26" s="63" t="s">
        <v>984</v>
      </c>
    </row>
    <row r="27" spans="12:163" ht="1.5" customHeight="1" x14ac:dyDescent="0.2">
      <c r="AY27" s="234"/>
      <c r="CU27" s="234"/>
      <c r="FC27" s="321"/>
      <c r="FD27" s="322"/>
      <c r="FE27" s="323"/>
    </row>
    <row r="28" spans="12:163" ht="14.25" customHeight="1" x14ac:dyDescent="0.2">
      <c r="AY28" s="234"/>
      <c r="CU28" s="234"/>
      <c r="FC28" s="90">
        <f>FC22-FC24</f>
        <v>50775.073000000033</v>
      </c>
      <c r="FD28" s="65"/>
      <c r="FE28" s="63" t="s">
        <v>1557</v>
      </c>
      <c r="FF28" t="s">
        <v>994</v>
      </c>
    </row>
    <row r="29" spans="12:163" ht="15" customHeight="1" x14ac:dyDescent="0.25">
      <c r="BF29" t="s">
        <v>669</v>
      </c>
      <c r="BG29">
        <v>12</v>
      </c>
      <c r="BX29" t="s">
        <v>727</v>
      </c>
      <c r="BY29">
        <v>166</v>
      </c>
      <c r="CP29" t="s">
        <v>768</v>
      </c>
      <c r="CQ29">
        <f>140+108</f>
        <v>248</v>
      </c>
      <c r="DT29" s="145" t="s">
        <v>852</v>
      </c>
      <c r="DU29" s="145">
        <v>22</v>
      </c>
      <c r="ER29" s="225"/>
      <c r="EX29" s="225"/>
      <c r="FC29" s="755" t="s">
        <v>1550</v>
      </c>
      <c r="FD29" s="90">
        <f>650*28+0.01</f>
        <v>18200.009999999998</v>
      </c>
      <c r="FE29" s="63" t="s">
        <v>981</v>
      </c>
    </row>
    <row r="30" spans="12:163" ht="15" customHeight="1" x14ac:dyDescent="0.25">
      <c r="BX30" t="s">
        <v>728</v>
      </c>
      <c r="BY30">
        <v>250</v>
      </c>
      <c r="ED30" s="225"/>
      <c r="EL30" s="225"/>
      <c r="FC30" s="756"/>
      <c r="FD30" s="90">
        <f>300*28+0.01</f>
        <v>8400.01</v>
      </c>
      <c r="FE30" s="63" t="s">
        <v>982</v>
      </c>
    </row>
    <row r="31" spans="12:163" ht="15" customHeight="1" x14ac:dyDescent="0.25">
      <c r="AT31" t="s">
        <v>635</v>
      </c>
      <c r="AU31">
        <v>73</v>
      </c>
      <c r="BX31" t="s">
        <v>731</v>
      </c>
      <c r="BY31">
        <v>6.5</v>
      </c>
      <c r="DK31" s="225"/>
      <c r="DL31" s="225"/>
      <c r="DQ31" s="225"/>
      <c r="DR31" s="225"/>
      <c r="DX31" s="225"/>
      <c r="FC31" s="755" t="s">
        <v>1551</v>
      </c>
      <c r="FD31" s="90">
        <f>E8+W7+BA8+BS8+BY8+CK7+CQ7+DC7+DI7+DU7+EG7+EM7</f>
        <v>12785.230999999998</v>
      </c>
      <c r="FE31" s="63" t="s">
        <v>973</v>
      </c>
      <c r="FF31" t="s">
        <v>991</v>
      </c>
    </row>
    <row r="32" spans="12:163" ht="15" customHeight="1" x14ac:dyDescent="0.3">
      <c r="BF32" s="219"/>
      <c r="BX32" t="s">
        <v>734</v>
      </c>
      <c r="BY32">
        <v>9</v>
      </c>
      <c r="FC32" s="756"/>
      <c r="FD32" s="244">
        <f>FC22-FC24-SUM(FD29:FD31)</f>
        <v>11389.822000000036</v>
      </c>
      <c r="FE32" s="63" t="s">
        <v>1558</v>
      </c>
      <c r="FF32" t="s">
        <v>994</v>
      </c>
    </row>
    <row r="33" spans="4:160" s="1" customFormat="1" ht="18" x14ac:dyDescent="0.25">
      <c r="D33" s="324"/>
      <c r="E33" s="325"/>
      <c r="BX33" s="1" t="s">
        <v>732</v>
      </c>
      <c r="BY33" s="1">
        <v>5</v>
      </c>
      <c r="CV33" s="324"/>
      <c r="CW33" s="324"/>
      <c r="DB33" s="324"/>
      <c r="DC33" s="324"/>
      <c r="DH33" s="324"/>
      <c r="DI33" s="324"/>
      <c r="DN33" s="324"/>
      <c r="DO33" s="324"/>
      <c r="DT33" s="324"/>
      <c r="DU33" s="324"/>
      <c r="DZ33" s="324"/>
      <c r="EA33" s="324"/>
      <c r="EF33" s="324"/>
      <c r="EG33" s="324"/>
      <c r="EL33" s="324"/>
      <c r="EM33" s="324"/>
      <c r="ER33" s="324"/>
      <c r="ES33" s="324"/>
      <c r="EU33" s="326"/>
      <c r="EX33" s="324"/>
      <c r="EY33" s="324"/>
      <c r="FA33" s="326"/>
      <c r="FD33" s="327"/>
    </row>
    <row r="34" spans="4:160" ht="18" x14ac:dyDescent="0.25">
      <c r="DW34" s="225"/>
      <c r="EC34" s="225"/>
      <c r="EI34" s="225"/>
      <c r="EO34" s="225"/>
    </row>
    <row r="35" spans="4:160" x14ac:dyDescent="0.2">
      <c r="BX35" t="s">
        <v>718</v>
      </c>
      <c r="BY35">
        <f>1126+34</f>
        <v>1160</v>
      </c>
    </row>
    <row r="36" spans="4:160" x14ac:dyDescent="0.2">
      <c r="BX36" t="s">
        <v>719</v>
      </c>
      <c r="BY36">
        <v>270</v>
      </c>
    </row>
    <row r="37" spans="4:160" x14ac:dyDescent="0.2">
      <c r="BX37" t="s">
        <v>730</v>
      </c>
      <c r="BY37">
        <v>5.5</v>
      </c>
    </row>
    <row r="38" spans="4:160" x14ac:dyDescent="0.2">
      <c r="BX38" t="s">
        <v>726</v>
      </c>
      <c r="BY38">
        <v>65</v>
      </c>
    </row>
    <row r="39" spans="4:160" x14ac:dyDescent="0.2">
      <c r="BX39" t="s">
        <v>720</v>
      </c>
      <c r="BY39">
        <v>91</v>
      </c>
    </row>
    <row r="40" spans="4:160" x14ac:dyDescent="0.2">
      <c r="BX40" t="s">
        <v>739</v>
      </c>
      <c r="BY40">
        <v>47</v>
      </c>
    </row>
    <row r="41" spans="4:160" x14ac:dyDescent="0.2">
      <c r="BX41" t="s">
        <v>742</v>
      </c>
      <c r="BY41">
        <v>40</v>
      </c>
    </row>
    <row r="42" spans="4:160" x14ac:dyDescent="0.2">
      <c r="BX42" t="s">
        <v>729</v>
      </c>
      <c r="BY42">
        <v>4.25</v>
      </c>
    </row>
    <row r="43" spans="4:160" x14ac:dyDescent="0.2">
      <c r="BX43" t="s">
        <v>740</v>
      </c>
      <c r="BY43">
        <f>5*2</f>
        <v>10</v>
      </c>
    </row>
    <row r="44" spans="4:160" x14ac:dyDescent="0.2">
      <c r="BX44" t="s">
        <v>744</v>
      </c>
      <c r="BY44">
        <v>80</v>
      </c>
    </row>
  </sheetData>
  <mergeCells count="97"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T1:U1"/>
    <mergeCell ref="AF1:AG1"/>
    <mergeCell ref="AN1:AO1"/>
    <mergeCell ref="V1:W1"/>
    <mergeCell ref="AL1:AM1"/>
    <mergeCell ref="X1:Y1"/>
    <mergeCell ref="B1:C1"/>
    <mergeCell ref="F1:G1"/>
    <mergeCell ref="D1:E1"/>
    <mergeCell ref="L1:M1"/>
    <mergeCell ref="J1:K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CT19:CU19"/>
    <mergeCell ref="CT7:CU7"/>
    <mergeCell ref="CT12:CU12"/>
    <mergeCell ref="CZ1:DA1"/>
    <mergeCell ref="CT1:CU1"/>
    <mergeCell ref="ED1:EE1"/>
    <mergeCell ref="DV1:DW1"/>
    <mergeCell ref="DT1:DU1"/>
    <mergeCell ref="EF1:EG1"/>
    <mergeCell ref="ED11:EE11"/>
    <mergeCell ref="DL8:DM8"/>
    <mergeCell ref="DX1:DY1"/>
    <mergeCell ref="DZ1:EA1"/>
    <mergeCell ref="EB1:EC1"/>
    <mergeCell ref="DX8:DY8"/>
    <mergeCell ref="DR8:DS8"/>
    <mergeCell ref="DP1:DQ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FE21:FG21"/>
    <mergeCell ref="EZ22:FA22"/>
    <mergeCell ref="EZ23:FA23"/>
    <mergeCell ref="EZ24:FA24"/>
    <mergeCell ref="EZ21:FA2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coupleAssetAug12</vt:lpstr>
      <vt:lpstr>coupleFeb16</vt:lpstr>
      <vt:lpstr>~2011_SG</vt:lpstr>
      <vt:lpstr>爷爷</vt:lpstr>
      <vt:lpstr>q3SG</vt:lpstr>
      <vt:lpstr>NAV23</vt:lpstr>
      <vt:lpstr>PNB</vt:lpstr>
      <vt:lpstr>MB.khm</vt:lpstr>
      <vt:lpstr>c++US</vt:lpstr>
      <vt:lpstr>HIS19</vt:lpstr>
      <vt:lpstr>paydown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2023-02-28T12:24:28Z</cp:lastPrinted>
  <dcterms:created xsi:type="dcterms:W3CDTF">1998-07-18T13:03:51Z</dcterms:created>
  <dcterms:modified xsi:type="dcterms:W3CDTF">2023-03-03T07:44:31Z</dcterms:modified>
</cp:coreProperties>
</file>