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48CD5BC4-CEC2-4643-A467-D02B09B2DB92}" xr6:coauthVersionLast="38" xr6:coauthVersionMax="38" xr10:uidLastSave="{00000000-0000-0000-0000-000000000000}"/>
  <bookViews>
    <workbookView xWindow="7470" yWindow="208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79021"/>
</workbook>
</file>

<file path=xl/calcChain.xml><?xml version="1.0" encoding="utf-8"?>
<calcChain xmlns="http://schemas.openxmlformats.org/spreadsheetml/2006/main">
  <c r="D18" i="47" l="1"/>
  <c r="D14" i="47" l="1"/>
  <c r="C13" i="47"/>
  <c r="C16" i="47" s="1"/>
  <c r="KG32" i="32"/>
  <c r="KE26" i="32"/>
  <c r="D26" i="47" l="1"/>
  <c r="H24" i="47" l="1"/>
  <c r="H11" i="47"/>
  <c r="B15" i="47"/>
  <c r="F16" i="47"/>
  <c r="KE36" i="32" l="1"/>
  <c r="KG21" i="32"/>
  <c r="KE32" i="32" l="1"/>
  <c r="KE25" i="32" l="1"/>
  <c r="F9" i="47" l="1"/>
  <c r="D8" i="47"/>
  <c r="D9" i="47" s="1"/>
  <c r="F6" i="47"/>
  <c r="D5" i="47"/>
  <c r="D6" i="47" s="1"/>
  <c r="KI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18" i="32"/>
  <c r="KE35" i="32" s="1"/>
  <c r="KI3" i="32" l="1"/>
  <c r="KI2" i="32" s="1"/>
  <c r="KC5" i="32"/>
  <c r="KC4" i="32"/>
  <c r="KE9" i="32"/>
  <c r="KC2" i="32" l="1"/>
  <c r="D21" i="47" l="1"/>
  <c r="KE13" i="32" l="1"/>
  <c r="KE2" i="32" s="1"/>
  <c r="I25" i="47" l="1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4" i="32"/>
  <c r="KG5" i="32" s="1"/>
  <c r="KE31" i="32"/>
  <c r="KE33" i="32"/>
  <c r="KE34" i="32" l="1"/>
  <c r="KE37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P35" i="44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<sst xmlns="http://schemas.openxmlformats.org/spreadsheetml/2006/main" count="7483" uniqueCount="3070">
  <si>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</si>
  <si>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</si>
  <si>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</si>
  <si>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</si>
  <si>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</si>
  <si>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</si>
  <si>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</si>
  <si>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</si>
  <si>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</si>
  <si>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</si>
  <si>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</si>
  <si>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</si>
  <si>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</si>
  <si>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</si>
  <si>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</si>
  <si>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</si>
  <si>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</si>
  <si>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</si>
  <si>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</si>
  <si>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</si>
  <si>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</si>
  <si>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</si>
  <si>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</si>
  <si>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</si>
  <si>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</si>
  <si>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</si>
  <si>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</si>
  <si>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</si>
  <si>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</si>
  <si>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</si>
  <si>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</si>
  <si>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</si>
  <si>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</si>
  <si>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</si>
  <si>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</si>
  <si>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</si>
  <si>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</si>
  <si>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</si>
  <si>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</si>
  <si>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</si>
  <si>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</si>
  <si>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</si>
  <si>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</si>
  <si>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</si>
  <si>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</si>
  <si>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</si>
  <si>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</si>
  <si>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</si>
  <si>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</si>
  <si>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</si>
  <si>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</si>
  <si>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</si>
  <si>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</si>
  <si>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</si>
  <si>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</si>
  <si>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</si>
  <si>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</si>
  <si>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</si>
  <si>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</si>
  <si>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</si>
  <si>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</si>
  <si>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</si>
  <si>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</si>
  <si>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</si>
  <si>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</si>
  <si>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</si>
  <si>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</si>
  <si>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</si>
  <si>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</si>
  <si>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</si>
  <si>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</si>
  <si>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</si>
  <si>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</si>
  <si>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</si>
  <si>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</si>
  <si>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</si>
  <si>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</si>
  <si>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</si>
  <si>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</si>
  <si>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</si>
  <si>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</si>
  <si>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</si>
  <si>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</si>
  <si>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</si>
  <si>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</si>
  <si>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</si>
  <si>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</si>
  <si>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</si>
  <si>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</si>
  <si>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</si>
  <si>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</si>
  <si>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</si>
  <si>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</si>
  <si>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</si>
  <si>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</si>
  <si>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</si>
  <si>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</si>
  <si>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</si>
  <si>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</si>
  <si>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</si>
  <si>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</si>
  <si>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</si>
  <si>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</si>
  <si>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</si>
  <si>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</si>
  <si>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</si>
  <si>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</si>
  <si>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</si>
  <si>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</si>
  <si>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</si>
  <si>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</si>
  <si>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</si>
  <si>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</si>
  <si>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</si>
  <si>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</si>
  <si>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</si>
  <si>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</si>
  <si>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</si>
  <si>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</si>
  <si>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</si>
  <si>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</si>
  <si>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</si>
  <si>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</si>
  <si>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</si>
  <si>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</si>
  <si>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</si>
  <si>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</si>
  <si>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</si>
  <si>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</si>
  <si>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</si>
  <si>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</si>
  <si>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</si>
  <si>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</si>
  <si>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</si>
  <si>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</si>
  <si>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</si>
  <si>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</si>
  <si>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</si>
  <si>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</si>
  <si>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</si>
  <si>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</si>
  <si>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</si>
  <si>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</si>
  <si>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</si>
  <si>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</si>
  <si>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</si>
  <si>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</si>
  <si>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</si>
  <si>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</si>
  <si>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</si>
  <si>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</si>
  <si>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</si>
  <si>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</si>
  <si>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</si>
  <si>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</si>
  <si>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</si>
  <si>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</si>
  <si>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</si>
  <si>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</si>
  <si>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</si>
  <si>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</si>
  <si>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</si>
  <si>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</si>
  <si>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</si>
  <si>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</si>
  <si>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</si>
  <si>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</si>
  <si>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</si>
  <si>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</si>
  <si>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</si>
  <si>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</si>
  <si>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</si>
  <si>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</si>
  <si>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</si>
  <si>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</si>
  <si>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</si>
  <si>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</si>
  <si>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</si>
  <si>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</si>
  <si>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</si>
  <si>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</si>
  <si>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</si>
  <si>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</si>
  <si>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</si>
  <si>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</si>
  <si>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</si>
  <si>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</si>
  <si>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</si>
  <si>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</si>
  <si>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</si>
  <si>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</si>
  <si>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</si>
  <si>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</si>
  <si>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</si>
  <si>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</si>
  <si>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</si>
  <si>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</si>
  <si>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</si>
  <si>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</si>
  <si>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</si>
  <si>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</si>
  <si>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</si>
  <si>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</si>
  <si>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</si>
  <si>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</si>
  <si>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</si>
  <si>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</si>
  <si>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</si>
  <si>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</si>
  <si>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</si>
  <si>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</si>
  <si>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</si>
  <si>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</si>
  <si>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</si>
  <si>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</si>
  <si>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</si>
  <si>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</si>
  <si>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</si>
  <si>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</si>
  <si>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</si>
  <si>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</si>
  <si>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</si>
  <si>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</si>
  <si>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</si>
  <si>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</si>
  <si>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</si>
  <si>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</si>
  <si>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</si>
  <si>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</si>
  <si>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</si>
  <si>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</si>
  <si>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</si>
  <si>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</si>
  <si>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</si>
  <si>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</si>
  <si>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</si>
  <si>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</si>
  <si>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</si>
  <si>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</si>
  <si>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</si>
  <si>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</si>
  <si>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</si>
  <si>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</si>
  <si>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</si>
  <si>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</si>
  <si>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</si>
  <si>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</si>
  <si>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</si>
  <si>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</si>
  <si>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</si>
  <si>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</si>
  <si>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</si>
  <si>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</si>
  <si>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</si>
  <si>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</si>
  <si>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</si>
  <si>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</si>
  <si>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</si>
  <si>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</si>
  <si>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</si>
  <si>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</si>
  <si>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</si>
  <si>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</si>
  <si>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</si>
  <si>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</si>
  <si>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</si>
  <si>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</si>
  <si>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</si>
  <si>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</si>
  <si>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</si>
  <si>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</si>
  <si>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</si>
  <si>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</si>
  <si>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</si>
  <si>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</si>
  <si>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</si>
  <si>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</si>
  <si>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</si>
  <si>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</si>
  <si>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</si>
  <si>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</si>
  <si>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</si>
  <si>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</si>
  <si>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</si>
  <si>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</si>
  <si>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</si>
  <si>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</si>
  <si>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</si>
  <si>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</si>
  <si>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</si>
  <si>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</si>
  <si>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</si>
  <si>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</si>
  <si>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</si>
  <si>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</si>
  <si>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</si>
  <si>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</si>
  <si>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</si>
  <si>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</si>
  <si>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</si>
  <si>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</si>
  <si>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</si>
  <si>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</si>
  <si>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</si>
  <si>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</si>
  <si>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</si>
  <si>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</si>
  <si>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</si>
  <si>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</si>
  <si>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</si>
  <si>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</si>
  <si>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</si>
  <si>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</si>
  <si>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</si>
  <si>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</si>
  <si>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</si>
  <si>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</si>
  <si>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</si>
  <si>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</si>
  <si>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</si>
  <si>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</si>
  <si>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</si>
  <si>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</si>
  <si>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</si>
  <si>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</si>
  <si>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</si>
  <si>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</si>
  <si>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</si>
  <si>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</si>
  <si>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</si>
  <si>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</si>
  <si>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</si>
  <si>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</si>
  <si>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</si>
  <si>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</si>
  <si>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</si>
  <si>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</si>
  <si>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</si>
  <si>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</si>
  <si>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</si>
  <si>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</si>
  <si>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</si>
  <si>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</si>
  <si>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</si>
  <si>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</si>
  <si>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</si>
  <si>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</si>
  <si>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</si>
  <si>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</si>
  <si>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</si>
  <si>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</si>
  <si>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</si>
  <si>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</si>
  <si>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</si>
  <si>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</si>
  <si>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</si>
  <si>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</si>
  <si>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</si>
  <si>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</si>
  <si>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</si>
  <si>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</si>
  <si>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</si>
  <si>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</si>
  <si>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</si>
  <si>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</si>
  <si>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</si>
  <si>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</si>
  <si>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</si>
  <si>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</si>
  <si>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</si>
  <si>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</si>
  <si>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</si>
  <si>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</si>
  <si>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</si>
  <si>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</si>
  <si>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</si>
  <si>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</si>
  <si>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</si>
  <si>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</si>
  <si>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</si>
  <si>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</si>
  <si>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</si>
  <si>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</si>
  <si>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</si>
  <si>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</si>
  <si>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</si>
  <si>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</si>
  <si>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</si>
  <si>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</si>
  <si>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</si>
  <si>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</si>
  <si>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</si>
  <si>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</si>
  <si>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</si>
  <si>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</si>
  <si>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</si>
  <si>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</si>
  <si>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</si>
  <si>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</si>
  <si>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</si>
  <si>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</si>
  <si>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</si>
  <si>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</si>
  <si>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</si>
  <si>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</si>
  <si>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</si>
  <si>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</si>
  <si>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</si>
  <si>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</si>
  <si>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</si>
  <si>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</si>
  <si>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</si>
  <si>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</si>
  <si>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</si>
  <si>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</si>
  <si>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</si>
  <si>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</si>
  <si>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</si>
  <si>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</si>
  <si>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</si>
  <si>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</si>
  <si>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</si>
  <si>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</si>
  <si>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</si>
  <si>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</si>
  <si>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</si>
  <si>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</si>
  <si>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</si>
  <si>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</si>
  <si>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</si>
  <si>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</si>
  <si>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</si>
  <si>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</si>
  <si>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</si>
  <si>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</si>
  <si>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</si>
  <si>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</si>
  <si>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</si>
  <si>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</si>
  <si>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</si>
  <si>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</si>
  <si>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</si>
  <si>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</si>
  <si>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</si>
  <si>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</si>
  <si>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</si>
  <si>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</si>
  <si>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</si>
  <si>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</si>
  <si>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</si>
  <si>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</si>
  <si>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</si>
  <si>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</si>
  <si>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</si>
  <si>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</si>
  <si>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</si>
  <si>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</si>
  <si>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</si>
  <si>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</si>
  <si>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</si>
  <si>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</si>
  <si>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</si>
  <si>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</si>
  <si>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</si>
  <si>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</si>
  <si>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</si>
  <si>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</si>
  <si>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</si>
  <si>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</si>
  <si>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</si>
  <si>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</si>
  <si>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</si>
  <si>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</si>
  <si>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</si>
  <si>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</si>
  <si>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</si>
  <si>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</si>
  <si>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</si>
  <si>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</si>
  <si>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</si>
  <si>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</si>
  <si>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</si>
  <si>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</si>
  <si>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</si>
  <si>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</si>
  <si>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</si>
  <si>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</si>
  <si>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</si>
  <si>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</si>
  <si>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</si>
  <si>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</si>
  <si>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</si>
  <si>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</si>
  <si>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</si>
  <si>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</si>
  <si>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</si>
  <si>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</si>
  <si>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</si>
  <si>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</si>
  <si>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</si>
  <si>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</si>
  <si>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</si>
  <si>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</si>
  <si>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</si>
  <si>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</si>
  <si>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</si>
  <si>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</si>
  <si>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</si>
  <si>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</si>
  <si>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</si>
  <si>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</si>
  <si>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</si>
  <si>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</si>
  <si>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</si>
  <si>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</si>
  <si>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</si>
  <si>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</si>
  <si>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</si>
  <si>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</si>
  <si>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</si>
  <si>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</si>
  <si>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</si>
  <si>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</si>
  <si>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</si>
  <si>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</si>
  <si>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</si>
  <si>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</si>
  <si>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</si>
  <si>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</si>
  <si>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</si>
  <si>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</si>
  <si>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</si>
  <si>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</si>
  <si>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</si>
  <si>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</si>
  <si>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</si>
  <si>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</si>
  <si>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</si>
  <si>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</si>
  <si>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</si>
  <si>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</si>
  <si>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</si>
  <si>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</si>
  <si>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</si>
  <si>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</si>
  <si>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</si>
  <si>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</si>
  <si>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</si>
  <si>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</si>
  <si>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</si>
  <si>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</si>
  <si>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</si>
  <si>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</si>
  <si>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</si>
  <si>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</si>
  <si>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</si>
  <si>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</si>
  <si>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</si>
  <si>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</si>
  <si>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</si>
  <si>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</si>
  <si>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</si>
  <si>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</si>
  <si>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</si>
  <si>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</si>
  <si>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</si>
  <si>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</si>
  <si>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</si>
  <si>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</si>
  <si>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</si>
  <si>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</si>
  <si>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</si>
  <si>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</si>
  <si>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</si>
  <si>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</si>
  <si>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</si>
  <si>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</si>
  <si>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</si>
  <si>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</si>
  <si>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</si>
  <si>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</si>
  <si>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</si>
  <si>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</si>
  <si>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</si>
  <si>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</si>
  <si>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</si>
  <si>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</si>
  <si>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</si>
  <si>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</si>
  <si>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</si>
  <si>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</si>
  <si>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</si>
  <si>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</si>
  <si>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</si>
  <si>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</si>
  <si>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</si>
  <si>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</si>
  <si>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</si>
  <si>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</si>
  <si>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</si>
  <si>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</si>
  <si>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</si>
  <si>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</si>
  <si>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</si>
  <si>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</si>
  <si>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</si>
  <si>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</si>
  <si>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</si>
  <si>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</si>
  <si>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</si>
  <si>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</si>
  <si>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</si>
  <si>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</si>
  <si>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</si>
  <si>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</si>
  <si>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</si>
  <si>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</si>
  <si>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</si>
  <si>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</si>
  <si>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</si>
  <si>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</si>
  <si>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</si>
  <si>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</si>
  <si>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</si>
  <si>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</si>
  <si>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</si>
  <si>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</si>
  <si>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</si>
  <si>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</si>
  <si>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</si>
  <si>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</si>
  <si>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</si>
  <si>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</si>
  <si>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</si>
  <si>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</si>
  <si>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</si>
  <si>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</si>
  <si>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</si>
  <si>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</si>
  <si>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</si>
  <si>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</si>
  <si>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</si>
  <si>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</si>
  <si>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</si>
  <si>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</si>
  <si>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</si>
  <si>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</si>
  <si>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</si>
  <si>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</si>
  <si>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</si>
  <si>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</si>
  <si>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</si>
  <si>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</si>
  <si>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</si>
  <si>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</si>
  <si>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</si>
  <si>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</si>
  <si>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</si>
  <si>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</si>
  <si>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</si>
  <si>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</si>
  <si>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</si>
  <si>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</si>
  <si>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</si>
  <si>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</si>
  <si>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</si>
  <si>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</si>
  <si>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</si>
  <si>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</si>
  <si>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</si>
  <si>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</si>
  <si>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</si>
  <si>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</si>
  <si>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</si>
  <si>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</si>
  <si>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</si>
  <si>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</si>
  <si>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</si>
  <si>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</si>
  <si>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</si>
  <si>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</si>
  <si>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</si>
  <si>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</si>
  <si>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</si>
  <si>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</si>
  <si>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</si>
  <si>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</si>
  <si>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</si>
  <si>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</si>
  <si>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</si>
  <si>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</si>
  <si>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</si>
  <si>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</si>
  <si>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</si>
  <si>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</si>
  <si>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</si>
  <si>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</si>
  <si>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</si>
  <si>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</si>
  <si>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</si>
  <si>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</si>
  <si>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</si>
  <si>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</si>
  <si>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</si>
  <si>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</si>
  <si>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</si>
  <si>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</si>
  <si>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</si>
  <si>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</si>
  <si>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</si>
  <si>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</si>
  <si>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</si>
  <si>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</si>
  <si>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</si>
  <si>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</si>
  <si>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</si>
  <si>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</si>
  <si>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</si>
  <si>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</si>
  <si>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</si>
  <si>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</si>
  <si>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</si>
  <si>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</si>
  <si>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</si>
  <si>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</si>
  <si>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</si>
  <si>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</si>
  <si>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</si>
  <si>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</si>
  <si>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</si>
  <si>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</si>
  <si>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</si>
  <si>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</si>
  <si>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</si>
  <si>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</si>
  <si>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</si>
  <si>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</si>
  <si>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</si>
  <si>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</si>
  <si>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</si>
  <si>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</si>
  <si>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</si>
  <si>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</si>
  <si>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</si>
  <si>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</si>
  <si>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</si>
  <si>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</si>
  <si>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</si>
  <si>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</si>
  <si>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</si>
  <si>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</si>
  <si>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</si>
  <si>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</si>
  <si>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</si>
  <si>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</si>
  <si>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</si>
  <si>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</si>
  <si>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</si>
  <si>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</si>
  <si>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</si>
  <si>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</si>
  <si>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</si>
  <si>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</si>
  <si>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</si>
  <si>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</si>
  <si>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</si>
  <si>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</si>
  <si>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</si>
  <si>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</si>
  <si>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</si>
  <si>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</si>
  <si>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</si>
  <si>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</si>
  <si>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</si>
  <si>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</si>
  <si>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</si>
  <si>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</si>
  <si>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</si>
  <si>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</si>
  <si>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</si>
  <si>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</si>
  <si>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</si>
  <si>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</si>
  <si>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</si>
  <si>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</si>
  <si>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</si>
  <si>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</si>
  <si>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</si>
  <si>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</si>
  <si>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</si>
  <si>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</si>
  <si>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</si>
  <si>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</si>
  <si>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</si>
  <si>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</si>
  <si>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</si>
  <si>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</si>
  <si>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</si>
  <si>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</si>
  <si>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</si>
  <si>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</si>
  <si>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</si>
  <si>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</si>
  <si>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</si>
  <si>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</si>
  <si>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</si>
  <si>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</si>
  <si>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</si>
  <si>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</si>
  <si>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</si>
  <si>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</si>
  <si>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</si>
  <si>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</si>
  <si>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</si>
  <si>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</si>
  <si>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</si>
  <si>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</si>
  <si>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</si>
  <si>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</si>
  <si>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</si>
  <si>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</si>
  <si>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</si>
  <si>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</si>
  <si>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</si>
  <si>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</si>
  <si>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</si>
  <si>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</si>
  <si>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</si>
  <si>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</si>
  <si>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</si>
  <si>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</si>
  <si>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</si>
  <si>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</si>
  <si>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</si>
  <si>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</si>
  <si>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</si>
  <si>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</si>
  <si>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</si>
  <si>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</si>
  <si>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</si>
  <si>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</si>
  <si>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</si>
  <si>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</si>
  <si>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</si>
  <si>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</si>
  <si>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</si>
  <si>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</si>
  <si>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</si>
  <si>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</si>
  <si>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</si>
  <si>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</si>
  <si>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</si>
  <si>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</si>
  <si>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</si>
  <si>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</si>
  <si>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</si>
  <si>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</si>
  <si>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</si>
  <si>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</si>
  <si>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</si>
  <si>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</si>
  <si>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</si>
  <si>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</si>
  <si>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</si>
  <si>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</si>
  <si>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</si>
  <si>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</si>
  <si>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</si>
  <si>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</si>
  <si>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</si>
  <si>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</si>
  <si>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</si>
  <si>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</si>
  <si>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</si>
  <si>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</si>
  <si>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</si>
  <si>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</si>
  <si>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</si>
  <si>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</si>
  <si>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</si>
  <si>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</si>
  <si>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</si>
  <si>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</si>
  <si>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</si>
  <si>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</si>
  <si>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</si>
  <si>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</si>
  <si>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</si>
  <si>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</si>
  <si>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</si>
  <si>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</si>
  <si>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</si>
  <si>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</si>
  <si>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</si>
  <si>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</si>
  <si>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</si>
  <si>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</si>
  <si>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</si>
  <si>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</si>
  <si>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</si>
  <si>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</si>
  <si>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</si>
  <si>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</si>
  <si>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</si>
  <si>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</si>
  <si>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</si>
  <si>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</si>
  <si>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</si>
  <si>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</si>
  <si>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</si>
  <si>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</si>
  <si>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</si>
  <si>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</si>
  <si>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</si>
  <si>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</si>
  <si>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</si>
  <si>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</si>
  <si>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</si>
  <si>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</si>
  <si>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</si>
  <si>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</si>
  <si>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</si>
  <si>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</si>
  <si>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</si>
  <si>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</si>
  <si>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</si>
  <si>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</si>
  <si>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</si>
  <si>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</si>
  <si>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</si>
  <si>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</si>
  <si>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</si>
  <si>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</si>
  <si>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</si>
  <si>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</si>
  <si>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</si>
  <si>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</si>
  <si>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</si>
  <si>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</si>
  <si>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</si>
  <si>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</si>
  <si>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</si>
  <si>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</si>
  <si>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</si>
  <si>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</si>
  <si>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</si>
  <si>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</si>
  <si>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</si>
  <si>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</si>
  <si>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</si>
  <si>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</si>
  <si>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</si>
  <si>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</si>
  <si>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</si>
  <si>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</si>
  <si>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</si>
  <si>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</si>
  <si>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</si>
  <si>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</si>
  <si>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</si>
  <si>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</si>
  <si>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</si>
  <si>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</si>
  <si>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</si>
  <si>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</si>
  <si>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</si>
  <si>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</si>
  <si>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</si>
  <si>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</si>
  <si>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</si>
  <si>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</si>
  <si>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</si>
  <si>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</si>
  <si>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</si>
  <si>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</si>
  <si>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</si>
  <si>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</si>
  <si>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</si>
  <si>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</si>
  <si>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</si>
  <si>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</si>
  <si>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</si>
  <si>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</si>
  <si>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</si>
  <si>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</si>
  <si>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</si>
  <si>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</si>
  <si>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</si>
  <si>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</si>
  <si>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</si>
  <si>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</si>
  <si>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</si>
  <si>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</si>
  <si>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</si>
  <si>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</si>
  <si>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</si>
  <si>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</si>
  <si>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</si>
  <si>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</si>
  <si>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</si>
  <si>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</si>
  <si>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</si>
  <si>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</si>
  <si>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</si>
  <si>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</si>
  <si>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</si>
  <si>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</si>
  <si>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</si>
  <si>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</si>
  <si>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</si>
  <si>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</si>
  <si>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</si>
  <si>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</si>
  <si>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</si>
  <si>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</si>
  <si>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</si>
  <si>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</si>
  <si>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</si>
  <si>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</si>
  <si>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</si>
  <si>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</si>
  <si>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</si>
  <si>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</si>
  <si>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</si>
  <si>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</si>
  <si>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</si>
  <si>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</si>
  <si>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</si>
  <si>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</si>
  <si>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</si>
  <si>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</si>
  <si>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</si>
  <si>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</si>
  <si>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</si>
  <si>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</si>
  <si>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</si>
  <si>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</si>
  <si>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</si>
  <si>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</si>
  <si>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</si>
  <si>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</si>
  <si>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</si>
  <si>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</si>
  <si>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</si>
  <si>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</si>
  <si>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</si>
  <si>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</si>
  <si>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</si>
  <si>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</si>
  <si>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</si>
  <si>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</si>
  <si>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</si>
  <si>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</si>
  <si>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</si>
  <si>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</si>
  <si>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</si>
  <si>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</si>
  <si>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</si>
  <si>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</si>
  <si>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</si>
  <si>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</si>
  <si>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</si>
  <si>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</si>
  <si>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</si>
  <si>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</si>
  <si>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</si>
  <si>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</si>
  <si>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</si>
  <si>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</si>
  <si>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</si>
  <si>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</si>
  <si>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</si>
  <si>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</si>
  <si>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</si>
  <si>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</si>
  <si>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</si>
  <si>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</si>
  <si>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</si>
  <si>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</si>
  <si>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</si>
  <si>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</si>
  <si>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</si>
  <si>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</si>
  <si>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</si>
  <si>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</si>
  <si>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</si>
  <si>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</si>
  <si>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</si>
  <si>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</si>
  <si>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</si>
  <si>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</si>
  <si>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</si>
  <si>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</si>
  <si>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</si>
  <si>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</si>
  <si>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</si>
  <si>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</si>
  <si>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</si>
  <si>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</si>
  <si>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</si>
  <si>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</si>
  <si>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</si>
  <si>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</si>
  <si>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</si>
  <si>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</si>
  <si>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</si>
  <si>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</si>
  <si>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</si>
  <si>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</si>
  <si>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</si>
  <si>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</si>
  <si>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</si>
  <si>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</si>
  <si>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</si>
  <si>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</si>
  <si>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</si>
  <si>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</si>
  <si>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</si>
  <si>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</si>
  <si>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</si>
  <si>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</si>
  <si>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</si>
  <si>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</si>
  <si>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</si>
  <si>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</si>
  <si>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</si>
  <si>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</si>
  <si>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</si>
  <si>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</si>
  <si>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</si>
  <si>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</si>
  <si>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</si>
  <si>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</si>
  <si>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</si>
  <si>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</si>
  <si>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</si>
  <si>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</si>
  <si>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</si>
  <si>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</si>
  <si>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</si>
  <si>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</si>
  <si>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</si>
  <si>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</si>
  <si>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</si>
  <si>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</si>
  <si>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</si>
  <si>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</si>
  <si>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</si>
  <si>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</si>
  <si>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</si>
  <si>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</si>
  <si>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</si>
  <si>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</si>
  <si>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</si>
  <si>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</si>
  <si>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</si>
  <si>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</si>
  <si>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</si>
  <si>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</si>
  <si>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</si>
  <si>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</si>
  <si>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</si>
  <si>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</si>
  <si>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</si>
  <si>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</si>
  <si>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</si>
  <si>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</si>
  <si>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</si>
  <si>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</si>
  <si>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</si>
  <si>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</si>
  <si>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</si>
  <si>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</si>
  <si>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</si>
  <si>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</si>
  <si>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</si>
  <si>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</si>
  <si>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</si>
  <si>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</si>
  <si>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</si>
  <si>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</si>
  <si>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</si>
  <si>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</si>
  <si>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</si>
  <si>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</si>
  <si>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</si>
  <si>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</si>
  <si>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</si>
  <si>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</si>
  <si>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</si>
  <si>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</si>
  <si>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</si>
  <si>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</si>
  <si>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</si>
  <si>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</si>
  <si>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</si>
  <si>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</si>
  <si>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</si>
  <si>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</si>
  <si>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</si>
  <si>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</si>
  <si>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</si>
  <si>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</si>
  <si>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</si>
  <si>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</si>
  <si>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</si>
  <si>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</si>
  <si>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</si>
  <si>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</si>
  <si>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</si>
  <si>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</si>
  <si>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</si>
  <si>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</si>
  <si>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</si>
  <si>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</si>
  <si>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</si>
  <si>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</si>
  <si>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</si>
  <si>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</si>
  <si>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</si>
  <si>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</si>
  <si>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</si>
  <si>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</si>
  <si>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</si>
  <si>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</si>
  <si>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</si>
  <si>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</si>
  <si>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</si>
  <si>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</si>
  <si>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</si>
  <si>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</si>
  <si>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</si>
  <si>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</si>
  <si>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</si>
  <si>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</si>
  <si>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</si>
  <si>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</si>
  <si>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</si>
  <si>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</si>
  <si>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</si>
  <si>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</si>
  <si>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</si>
  <si>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</si>
  <si>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</si>
  <si>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</si>
  <si>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</si>
  <si>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</si>
  <si>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</si>
  <si>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</si>
  <si>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</si>
  <si>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</si>
  <si>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</si>
  <si>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</si>
  <si>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</si>
  <si>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</si>
  <si>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</si>
  <si>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</si>
  <si>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</si>
  <si>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</si>
  <si>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</si>
  <si>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</si>
  <si>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</si>
  <si>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</si>
  <si>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</si>
  <si>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</si>
  <si>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</si>
  <si>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</si>
  <si>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</si>
  <si>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</si>
  <si>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</si>
  <si>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</si>
  <si>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</si>
  <si>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</si>
  <si>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</si>
  <si>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</si>
  <si>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</si>
  <si>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</si>
  <si>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</si>
  <si>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</si>
  <si>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</si>
  <si>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</si>
  <si>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</si>
  <si>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</si>
  <si>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</si>
  <si>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</si>
  <si>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</si>
  <si>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</si>
  <si>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</si>
  <si>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</si>
  <si>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</si>
  <si>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</si>
  <si>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</si>
  <si>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</si>
  <si>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</si>
  <si>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</si>
  <si>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</si>
  <si>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</si>
  <si>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</si>
  <si>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</si>
  <si>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</si>
  <si>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</si>
  <si>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</si>
  <si>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</si>
  <si>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</si>
  <si>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</si>
  <si>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</si>
  <si>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</si>
  <si>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</si>
  <si>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</si>
  <si>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</si>
  <si>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</si>
  <si>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</si>
  <si>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</si>
  <si>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</si>
  <si>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</si>
  <si>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</si>
  <si>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</si>
  <si>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</si>
  <si>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</si>
  <si>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</si>
  <si>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</si>
  <si>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</si>
  <si>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</si>
  <si>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</si>
  <si>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</si>
  <si>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</si>
  <si>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</si>
  <si>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</si>
  <si>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</si>
  <si>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</si>
  <si>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</si>
  <si>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</si>
  <si>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</si>
  <si>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</si>
  <si>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</si>
  <si>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</si>
  <si>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</si>
  <si>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</si>
  <si>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</si>
  <si>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</si>
  <si>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</si>
  <si>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</si>
  <si>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</si>
  <si>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</si>
  <si>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</si>
  <si>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</si>
  <si>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</si>
  <si>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</si>
  <si>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</si>
  <si>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</si>
  <si>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</si>
  <si>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</si>
  <si>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</si>
  <si>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</si>
  <si>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</si>
  <si>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</si>
  <si>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</si>
  <si>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</si>
  <si>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</si>
  <si>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</si>
  <si>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</si>
  <si>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</si>
  <si>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</si>
  <si>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</si>
  <si>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</si>
  <si>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</si>
  <si>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</si>
  <si>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</si>
  <si>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</si>
  <si>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</si>
  <si>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</si>
  <si>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</si>
  <si>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</si>
  <si>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</si>
  <si>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</si>
  <si>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</si>
  <si>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</si>
  <si>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</si>
  <si>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</si>
  <si>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</si>
  <si>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</si>
  <si>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</si>
  <si>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</si>
  <si>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</si>
  <si>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</si>
  <si>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</si>
  <si>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</si>
  <si>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</si>
  <si>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</si>
  <si>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</si>
  <si>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</si>
  <si>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</si>
  <si>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</si>
  <si>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</si>
  <si>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</si>
  <si>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</si>
  <si>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</si>
  <si>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</si>
  <si>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</si>
  <si>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</si>
  <si>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</si>
  <si>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</si>
  <si>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</si>
  <si>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</si>
  <si>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</si>
  <si>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</si>
  <si>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</si>
  <si>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</si>
  <si>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</si>
  <si>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</si>
  <si>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</si>
  <si>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</si>
  <si>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</si>
  <si>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</si>
  <si>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</si>
  <si>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</si>
  <si>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</si>
  <si>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</si>
  <si>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</si>
  <si>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</si>
  <si>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</si>
  <si>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</si>
  <si>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</si>
  <si>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</si>
  <si>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</si>
  <si>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</si>
  <si>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</si>
  <si>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</si>
  <si>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</si>
  <si>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</si>
  <si>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</si>
  <si>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</si>
  <si>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</si>
  <si>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</si>
  <si>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</si>
  <si>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</si>
  <si>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</si>
  <si>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</si>
  <si>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</si>
  <si>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</si>
  <si>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</si>
  <si>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</si>
  <si>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</si>
  <si>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</si>
  <si>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</si>
  <si>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</si>
  <si>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</si>
  <si>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</si>
  <si>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</si>
  <si>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</si>
  <si>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</si>
  <si>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</si>
  <si>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</si>
  <si>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</si>
  <si>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</si>
  <si>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</si>
  <si>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</si>
  <si>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</si>
  <si>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</si>
  <si>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</si>
  <si>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</si>
  <si>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</si>
  <si>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</si>
  <si>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</si>
  <si>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</si>
  <si>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</si>
  <si>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</si>
  <si>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</si>
  <si>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</si>
  <si>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</si>
  <si>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</si>
  <si>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</si>
  <si>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</si>
  <si>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</si>
  <si>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</si>
  <si>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</si>
  <si>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</si>
  <si>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</si>
  <si>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</si>
  <si>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</si>
  <si>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</si>
  <si>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</si>
  <si>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</si>
  <si>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</si>
  <si>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</si>
  <si>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</si>
  <si>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</si>
  <si>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</si>
  <si>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</si>
  <si>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</si>
  <si>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</si>
  <si>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</si>
  <si>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</si>
  <si>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</si>
  <si>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</si>
  <si>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</si>
  <si>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</si>
  <si>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</si>
  <si>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</si>
  <si>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</si>
  <si>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</si>
  <si>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</si>
  <si>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</si>
  <si>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</si>
  <si>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</si>
  <si>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</si>
  <si>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</si>
  <si>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</si>
  <si>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</si>
  <si>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</si>
  <si>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</si>
  <si>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</si>
  <si>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</si>
  <si>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</si>
  <si>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</si>
  <si>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</si>
  <si>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</si>
  <si>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</si>
  <si>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</si>
  <si>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</si>
  <si>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</si>
  <si>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</si>
  <si>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</si>
  <si>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</si>
  <si>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</si>
  <si>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</si>
  <si>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</si>
  <si>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</si>
  <si>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</si>
  <si>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</si>
  <si>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</si>
  <si>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</si>
  <si>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</si>
  <si>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</si>
  <si>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</si>
  <si>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</si>
  <si>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</si>
  <si>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</si>
  <si>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</si>
  <si>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</si>
  <si>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</si>
  <si>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</si>
  <si>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</si>
  <si>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</si>
  <si>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</si>
  <si>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</si>
  <si>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</si>
  <si>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</si>
  <si>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</si>
  <si>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</si>
  <si>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</si>
  <si>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</si>
  <si>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</si>
  <si>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</si>
  <si>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</si>
  <si>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</si>
  <si>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</si>
  <si>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</si>
  <si>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</si>
  <si>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</si>
  <si>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</si>
  <si>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</si>
  <si>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</si>
  <si>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</si>
  <si>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</si>
  <si>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</si>
  <si>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</si>
  <si>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</si>
  <si>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</si>
  <si>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</si>
  <si>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</si>
  <si>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</si>
  <si>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</si>
  <si>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</si>
  <si>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</si>
  <si>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</si>
  <si>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</si>
  <si>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</si>
  <si>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</si>
  <si>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</si>
  <si>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</si>
  <si>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</si>
  <si>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</si>
  <si>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</si>
  <si>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</si>
  <si>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</si>
  <si>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</si>
  <si>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</si>
  <si>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</si>
  <si>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</si>
  <si>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</si>
  <si>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</si>
  <si>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</si>
  <si>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</si>
  <si>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</si>
  <si>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</si>
  <si>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</si>
  <si>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</si>
  <si>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</si>
  <si>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</si>
  <si>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</si>
  <si>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</si>
  <si>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</si>
  <si>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</si>
  <si>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</si>
  <si>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</si>
  <si>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</si>
  <si>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</si>
  <si>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</si>
  <si>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</si>
  <si>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</si>
  <si>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</si>
  <si>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</si>
  <si>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</si>
  <si>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</si>
  <si>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</si>
  <si>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</si>
  <si>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</si>
  <si>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</si>
  <si>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</si>
  <si>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</si>
  <si>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</si>
  <si>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</si>
  <si>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</si>
  <si>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</si>
  <si>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</si>
  <si>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</si>
  <si>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</si>
  <si>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</si>
  <si>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</si>
  <si>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</si>
  <si>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</si>
  <si>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</si>
  <si>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</si>
  <si>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</si>
  <si>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</si>
  <si>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</si>
  <si>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</si>
  <si>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</si>
  <si>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</si>
  <si>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</si>
  <si>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</si>
  <si>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</si>
  <si>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</si>
  <si>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</si>
  <si>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</si>
  <si>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</si>
  <si>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</si>
  <si>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</si>
  <si>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</si>
  <si>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</si>
  <si>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</si>
  <si>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</si>
  <si>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</si>
  <si>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</si>
  <si>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</si>
  <si>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</si>
  <si>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</si>
  <si>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</si>
  <si>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</si>
  <si>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</si>
  <si>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</si>
  <si>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</si>
  <si>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</si>
  <si>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</si>
  <si>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</si>
  <si>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</si>
  <si>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</si>
  <si>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</si>
  <si>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</si>
  <si>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</si>
  <si>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</si>
  <si>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</si>
  <si>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</si>
  <si>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</si>
  <si>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</si>
  <si>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</si>
  <si>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</si>
  <si>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</si>
  <si>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</si>
  <si>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</si>
  <si>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</si>
  <si>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</si>
  <si>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</si>
  <si>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</si>
  <si>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</si>
  <si>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</si>
  <si>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</si>
  <si>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</si>
  <si>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</si>
  <si>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</si>
  <si>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</si>
  <si>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</si>
  <si>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</si>
  <si>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</si>
  <si>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</si>
  <si>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</si>
  <si>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</si>
  <si>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</si>
  <si>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</si>
  <si>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</si>
  <si>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</si>
  <si>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</si>
  <si>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</si>
  <si>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</si>
  <si>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</si>
  <si>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</si>
  <si>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</si>
  <si>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</si>
  <si>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</si>
  <si>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</si>
  <si>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</si>
  <si>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</si>
  <si>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</si>
  <si>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</si>
  <si>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</si>
  <si>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</si>
  <si>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</si>
  <si>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</si>
  <si>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</si>
  <si>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</si>
  <si>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</si>
  <si>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</si>
  <si>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</si>
  <si>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</si>
  <si>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</si>
  <si>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</si>
  <si>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</si>
  <si>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</si>
  <si>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</si>
  <si>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</si>
  <si>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</si>
  <si>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</si>
  <si>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</si>
  <si>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</si>
  <si>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</si>
  <si>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</si>
  <si>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</si>
  <si>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</si>
  <si>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</si>
  <si>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</si>
  <si>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</si>
  <si>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</si>
  <si>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</si>
  <si>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</si>
  <si>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</si>
  <si>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</si>
  <si>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</si>
  <si>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</si>
  <si>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</si>
  <si>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</si>
  <si>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</si>
  <si>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</si>
  <si>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</si>
  <si>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</si>
  <si>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</si>
  <si>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</si>
  <si>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</si>
  <si>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</si>
  <si>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</si>
  <si>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</si>
  <si>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</si>
  <si>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</si>
  <si>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</si>
  <si>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</si>
  <si>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</si>
  <si>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</si>
  <si>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</si>
  <si>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</si>
  <si>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</si>
  <si>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</si>
  <si>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</si>
  <si>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</si>
  <si>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</si>
  <si>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</si>
  <si>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</si>
  <si>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</si>
  <si>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</si>
  <si>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</si>
  <si>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</si>
  <si>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</si>
  <si>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</si>
  <si>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</si>
  <si>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</si>
  <si>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</si>
  <si>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</si>
  <si>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</si>
  <si>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</si>
  <si>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</si>
  <si>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</si>
  <si>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</si>
  <si>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</si>
  <si>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</si>
  <si>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</si>
  <si>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</si>
  <si>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</si>
  <si>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</si>
  <si>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</si>
  <si>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</si>
  <si>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</si>
  <si>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</si>
  <si>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</si>
  <si>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</si>
  <si>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</si>
  <si>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</si>
  <si>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</si>
  <si>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</si>
  <si>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</si>
  <si>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</si>
  <si>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</si>
  <si>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</si>
  <si>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</si>
  <si>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</si>
  <si>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</si>
  <si>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</si>
  <si>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</si>
  <si>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</si>
  <si>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</si>
  <si>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</si>
  <si>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</si>
  <si>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</si>
  <si>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</si>
  <si>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</si>
  <si>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</si>
  <si>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</si>
  <si>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</si>
  <si>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</si>
  <si>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</si>
  <si>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</si>
  <si>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</si>
  <si>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</si>
  <si>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</si>
  <si>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</si>
  <si>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</si>
  <si>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</si>
  <si>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</si>
  <si>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</si>
  <si>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</si>
  <si>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</si>
  <si>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</si>
  <si>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</si>
  <si>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</si>
  <si>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</si>
  <si>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</si>
  <si>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</si>
  <si>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</si>
  <si>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</si>
  <si>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</si>
  <si>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</si>
  <si>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</si>
  <si>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</si>
  <si>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</si>
  <si>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</si>
  <si>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</si>
  <si>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</si>
  <si>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</si>
  <si>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</si>
  <si>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</si>
  <si>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</si>
  <si>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</si>
  <si>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</si>
  <si>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</si>
  <si>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</si>
  <si>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</si>
  <si>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</si>
  <si>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</si>
  <si>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</si>
  <si>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</si>
  <si>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</si>
  <si>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</si>
  <si>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</si>
  <si>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</si>
  <si>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</si>
  <si>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</si>
  <si>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</si>
  <si>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</si>
  <si>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</si>
  <si>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</si>
  <si>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</si>
  <si>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</si>
  <si>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</si>
  <si>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</si>
  <si>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</si>
  <si>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</si>
  <si>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</si>
  <si>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</si>
  <si>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</si>
  <si>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</si>
  <si>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</si>
  <si>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</si>
  <si>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</si>
  <si>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</si>
  <si>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</si>
  <si>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</si>
  <si>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</si>
  <si>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</si>
  <si>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</si>
  <si>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</si>
  <si>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</si>
  <si>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</si>
  <si>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</si>
  <si>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</si>
  <si>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</si>
  <si>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</si>
  <si>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</si>
  <si>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</si>
  <si>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</si>
  <si>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</si>
  <si>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</si>
  <si>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</si>
  <si>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</si>
  <si>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</si>
  <si>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</si>
  <si>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</si>
  <si>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</si>
  <si>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</si>
  <si>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</si>
  <si>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</si>
  <si>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</si>
  <si>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</si>
  <si>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</si>
  <si>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</si>
  <si>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</si>
  <si>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</si>
  <si>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</si>
  <si>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</si>
  <si>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</si>
  <si>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</si>
  <si>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</si>
  <si>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</si>
  <si>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</si>
  <si>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</si>
  <si>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</si>
  <si>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</si>
  <si>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</si>
  <si>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</si>
  <si>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</si>
  <si>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</si>
  <si>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</si>
  <si>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</si>
  <si>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</si>
  <si>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</si>
  <si>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</si>
  <si>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</si>
  <si>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</si>
  <si>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</si>
  <si>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</si>
  <si>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</si>
  <si>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</si>
  <si>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</si>
  <si>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</si>
  <si>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</si>
  <si>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</si>
  <si>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</si>
  <si>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</si>
  <si>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</si>
  <si>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</si>
  <si>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</si>
  <si>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</si>
  <si>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</si>
  <si>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</si>
  <si>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</si>
  <si>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</si>
  <si>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</si>
  <si>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</si>
  <si>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</si>
  <si>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</si>
  <si>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</si>
  <si>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</si>
  <si>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</si>
  <si>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</si>
  <si>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</si>
  <si>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</si>
  <si>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</si>
  <si>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</si>
  <si>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</si>
  <si>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</si>
  <si>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</si>
  <si>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</si>
  <si>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</si>
  <si>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</si>
  <si>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</si>
  <si>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</si>
  <si>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</si>
  <si>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</si>
  <si>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</si>
  <si>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</si>
  <si>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</si>
  <si>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</si>
  <si>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</si>
  <si>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</si>
  <si>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</si>
  <si>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</si>
  <si>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</si>
  <si>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</si>
  <si>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</si>
  <si>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</si>
  <si>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</si>
  <si>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</si>
  <si>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</si>
  <si>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</si>
  <si>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</si>
  <si>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</si>
  <si>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</si>
  <si>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</si>
  <si>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</si>
  <si>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</si>
  <si>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</si>
  <si>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</si>
  <si>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</si>
  <si>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</si>
  <si>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</si>
  <si>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</si>
  <si>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</si>
  <si>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</si>
  <si>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</si>
  <si>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</si>
  <si>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</si>
  <si>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</si>
  <si>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</si>
  <si>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</si>
  <si>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</si>
  <si>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</si>
  <si>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</si>
  <si>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</si>
  <si>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</si>
  <si>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</si>
  <si>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</si>
  <si>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</si>
  <si>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</si>
  <si>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</si>
  <si>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</si>
  <si>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</si>
  <si>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</si>
  <si>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</si>
  <si>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</si>
  <si>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</si>
  <si>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</si>
  <si>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</si>
  <si>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</si>
  <si>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</si>
  <si>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</si>
  <si>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</si>
  <si>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</si>
  <si>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</si>
  <si>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</si>
  <si>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</si>
  <si>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</si>
  <si>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</si>
  <si>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</si>
  <si>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</si>
  <si>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</si>
  <si>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</si>
  <si>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</si>
  <si>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</si>
  <si>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</si>
  <si>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</si>
  <si>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</si>
  <si>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</si>
  <si>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</si>
  <si>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</si>
  <si>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</si>
  <si>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</si>
  <si>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</si>
  <si>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</si>
  <si>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</si>
  <si>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</si>
  <si>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</si>
  <si>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</si>
  <si>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</si>
  <si>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</si>
  <si>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</si>
  <si>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</si>
  <si>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</si>
  <si>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</si>
  <si>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</si>
  <si>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</si>
  <si>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</si>
  <si>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</si>
  <si>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</si>
  <si>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</si>
  <si>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</si>
  <si>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</si>
  <si>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</si>
  <si>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</si>
  <si>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</si>
  <si>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</si>
  <si>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</si>
  <si>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</si>
  <si>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</si>
  <si>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</si>
  <si>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</si>
  <si>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</si>
  <si>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</si>
  <si>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</si>
  <si>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</si>
  <si>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</si>
  <si>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</si>
  <si>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</si>
  <si>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</si>
  <si>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</si>
  <si>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</si>
  <si>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</si>
  <si>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</si>
  <si>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</si>
  <si>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</si>
  <si>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</si>
  <si>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</si>
  <si>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</si>
  <si>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</si>
  <si>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</si>
  <si>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</si>
  <si>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</si>
  <si>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</si>
  <si>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</si>
  <si>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</si>
  <si>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</si>
  <si>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</si>
  <si>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</si>
  <si>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</si>
  <si>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</si>
  <si>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</si>
  <si>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</si>
  <si>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</si>
  <si>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</si>
  <si>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</si>
  <si>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</si>
  <si>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</si>
  <si>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</si>
  <si>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</si>
  <si>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</si>
  <si>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</si>
  <si>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</si>
  <si>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</si>
  <si>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</si>
  <si>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</si>
  <si>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</si>
  <si>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</si>
  <si>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</si>
  <si>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</si>
  <si>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</si>
  <si>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</si>
  <si>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</si>
  <si>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</si>
  <si>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</si>
  <si>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</si>
  <si>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</si>
  <si>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</si>
  <si>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</si>
  <si>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</si>
  <si>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</si>
  <si>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</si>
  <si>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</si>
  <si>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</si>
  <si>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</si>
  <si>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</si>
  <si>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</si>
  <si>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</si>
  <si>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</si>
  <si>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</si>
  <si>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</si>
  <si>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</si>
  <si>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</si>
  <si>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</si>
  <si>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</si>
  <si>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</si>
  <si>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</si>
  <si>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</si>
  <si>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</si>
  <si>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</si>
  <si>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</si>
  <si>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</si>
  <si>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</si>
  <si>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</si>
  <si>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</si>
  <si>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</si>
  <si>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</si>
  <si>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</si>
  <si>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</si>
  <si>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</si>
  <si>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</si>
  <si>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</si>
  <si>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</si>
  <si>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</si>
  <si>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</si>
  <si>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</si>
  <si>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</si>
  <si>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</si>
  <si>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</si>
  <si>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</si>
  <si>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</si>
  <si>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</si>
  <si>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</si>
  <si>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</si>
  <si>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</si>
  <si>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</si>
  <si>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</si>
  <si>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</si>
  <si>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</si>
  <si>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</si>
  <si>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</si>
  <si>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</si>
  <si>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</si>
  <si>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</si>
  <si>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</si>
  <si>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</si>
  <si>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</si>
  <si>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</si>
  <si>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</si>
  <si>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</si>
  <si>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</si>
  <si>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</si>
  <si>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</si>
  <si>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</si>
  <si>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</si>
  <si>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</si>
  <si>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</si>
  <si>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</si>
  <si>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</si>
  <si>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</si>
  <si>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</si>
  <si>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</si>
  <si>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</si>
  <si>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</si>
  <si>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</si>
  <si>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</si>
  <si>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</si>
  <si>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</si>
  <si>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</si>
  <si>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</si>
  <si>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</si>
  <si>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</si>
  <si>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</si>
  <si>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</si>
  <si>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</si>
  <si>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</si>
  <si>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</si>
  <si>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</si>
  <si>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</si>
  <si>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</si>
  <si>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</si>
  <si>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</si>
  <si>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</si>
  <si>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</si>
  <si>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</si>
  <si>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</si>
  <si>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</si>
  <si>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</si>
  <si>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</si>
  <si>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</si>
  <si>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</si>
  <si>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</si>
  <si>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</si>
  <si>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</si>
  <si>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</si>
  <si>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</si>
  <si>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</si>
  <si>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</si>
  <si>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</si>
  <si>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</si>
  <si>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</si>
  <si>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</si>
  <si>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</si>
  <si>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</si>
  <si>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</si>
  <si>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</si>
  <si>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</si>
  <si>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</si>
  <si>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</si>
  <si>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</si>
  <si>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</si>
  <si>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</si>
  <si>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</si>
  <si>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</si>
  <si>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</si>
  <si>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</si>
  <si>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</si>
  <si>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</si>
  <si>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</si>
  <si>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</si>
  <si>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</si>
  <si>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</si>
  <si>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</si>
  <si>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</si>
  <si>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</si>
  <si>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</si>
  <si>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</si>
  <si>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</si>
  <si>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</si>
  <si>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</si>
  <si>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</si>
  <si>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</si>
  <si>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</si>
  <si>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</si>
  <si>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</si>
  <si>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</si>
  <si>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</si>
  <si>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</si>
  <si>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</si>
  <si>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</si>
  <si>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</si>
  <si>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</si>
  <si>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</si>
  <si>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</si>
  <si>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</si>
  <si>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</si>
  <si>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</si>
  <si>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</si>
  <si>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</si>
  <si>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</si>
  <si>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</si>
  <si>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</si>
  <si>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</si>
  <si>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</si>
  <si>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</si>
  <si>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</si>
  <si>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</si>
  <si>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</si>
  <si>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</si>
  <si>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</si>
  <si>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</si>
  <si>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</si>
  <si>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</si>
  <si>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</si>
  <si>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</si>
  <si>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</si>
  <si>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</si>
  <si>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</si>
  <si>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</si>
  <si>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</si>
  <si>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</si>
  <si>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</si>
  <si>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</si>
  <si>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</si>
  <si>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</si>
  <si>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</si>
  <si>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</si>
  <si>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</si>
  <si>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</si>
  <si>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</si>
  <si>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</si>
  <si>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</si>
  <si>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</si>
  <si>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</si>
  <si>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</si>
  <si>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</si>
  <si>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</si>
  <si>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</si>
  <si>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</si>
  <si>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</si>
  <si>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</si>
  <si>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</si>
  <si>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</si>
  <si>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</si>
  <si>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</si>
  <si>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</si>
  <si>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</si>
  <si>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</si>
  <si>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</si>
  <si>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</si>
  <si>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</si>
  <si>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</si>
  <si>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</si>
  <si>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</si>
  <si>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</si>
  <si>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</si>
  <si>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</si>
  <si>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</si>
  <si>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</si>
  <si>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</si>
  <si>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</si>
  <si>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</si>
  <si>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</si>
  <si>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</si>
  <si>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</si>
  <si>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</si>
  <si>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</si>
  <si>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</si>
  <si>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</si>
  <si>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</si>
  <si>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</si>
  <si>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</si>
  <si>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</si>
  <si>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</si>
  <si>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</si>
  <si>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</si>
  <si>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</si>
  <si>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</si>
  <si>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</si>
  <si>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</si>
  <si>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</si>
  <si>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</si>
  <si>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</si>
  <si>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</si>
  <si>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</si>
  <si>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</si>
  <si>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</si>
  <si>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</si>
  <si>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</si>
  <si>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</si>
  <si>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</si>
  <si>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</si>
  <si>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</si>
  <si>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</si>
  <si>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</si>
  <si>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</si>
  <si>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</si>
  <si>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</si>
  <si>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</si>
  <si>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</si>
  <si>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</si>
  <si>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</si>
  <si>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</si>
  <si>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</si>
  <si>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</si>
  <si>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</si>
  <si>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</si>
  <si>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</si>
  <si>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</si>
  <si>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</si>
  <si>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</si>
  <si>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</si>
  <si>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</si>
  <si>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</si>
  <si>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</si>
  <si>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</si>
  <si>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</si>
  <si>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</si>
  <si>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</si>
  <si>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</si>
  <si>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</si>
  <si>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</si>
  <si>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</si>
  <si>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</si>
  <si>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</si>
  <si>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</si>
  <si>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</si>
  <si>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</si>
  <si>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</si>
  <si>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</si>
  <si>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</si>
  <si>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</si>
  <si>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</si>
  <si>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</si>
  <si>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</si>
  <si>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</si>
  <si>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</si>
  <si>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</si>
  <si>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</si>
  <si>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</si>
  <si>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</si>
  <si>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</si>
  <si>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</si>
  <si>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</si>
  <si>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</si>
  <si>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</si>
  <si>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</si>
  <si>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</si>
  <si>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</si>
  <si>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</si>
  <si>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</si>
  <si>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</si>
  <si>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</si>
  <si>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</si>
  <si>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</si>
  <si>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</si>
  <si>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</si>
  <si>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</si>
  <si>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</si>
  <si>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</si>
  <si>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</si>
  <si>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</si>
  <si>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</si>
  <si>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</si>
  <si>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</si>
  <si>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</si>
  <si>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</si>
  <si>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</si>
  <si>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</si>
  <si>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</si>
  <si>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</si>
  <si>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</si>
  <si>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</si>
  <si>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</si>
  <si>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</si>
  <si>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</si>
  <si>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</si>
  <si>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</si>
  <si>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</si>
  <si>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</si>
  <si>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</si>
  <si>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</si>
  <si>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</si>
  <si>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</si>
  <si>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</si>
  <si>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</si>
  <si>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</si>
  <si>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</si>
  <si>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</si>
  <si>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</si>
  <si>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</si>
  <si>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</si>
  <si>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</si>
  <si>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</si>
  <si>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</si>
  <si>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</si>
  <si>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</si>
  <si>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</si>
  <si>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</si>
  <si>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</si>
  <si>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</si>
  <si>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</si>
  <si>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</si>
  <si>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</si>
  <si>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</si>
  <si>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</si>
  <si>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</si>
  <si>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</si>
  <si>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</si>
  <si>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</si>
  <si>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</si>
  <si>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</si>
  <si>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</si>
  <si>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</si>
  <si>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</si>
  <si>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</si>
  <si>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</si>
  <si>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</si>
  <si>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</si>
  <si>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</si>
  <si>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</si>
  <si>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</si>
  <si>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</si>
  <si>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</si>
  <si>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</si>
  <si>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</si>
  <si>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</si>
  <si>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</si>
  <si>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</si>
  <si>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</si>
  <si>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</si>
  <si>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</si>
  <si>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</si>
  <si>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</si>
  <si>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</si>
  <si>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</si>
  <si>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</si>
  <si>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</si>
  <si>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</si>
  <si>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</si>
  <si>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</si>
  <si>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</si>
  <si>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</si>
  <si>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</si>
  <si>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</si>
  <si>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</si>
  <si>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</si>
  <si>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</si>
  <si>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</si>
  <si>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</si>
  <si>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</si>
  <si>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</si>
  <si>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</si>
  <si>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</si>
  <si>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</si>
  <si>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</si>
  <si>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</si>
  <si>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</si>
  <si>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</si>
  <si>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</si>
  <si>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</si>
  <si>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</si>
  <si>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</si>
  <si>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</si>
  <si>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</si>
  <si>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</si>
  <si>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</si>
  <si>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</si>
  <si>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</si>
  <si>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</si>
  <si>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</si>
  <si>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</si>
  <si>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</si>
  <si>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</si>
  <si>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</si>
  <si>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</si>
  <si>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</si>
  <si>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</si>
  <si>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</si>
  <si>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</si>
  <si>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</si>
  <si>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</si>
  <si>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</si>
  <si>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</si>
  <si>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</si>
  <si>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</si>
  <si>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</si>
  <si>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</si>
  <si>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</si>
  <si>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</si>
  <si>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</si>
  <si>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</si>
  <si>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</si>
  <si>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</si>
  <si>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</si>
  <si>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</si>
  <si>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</si>
  <si>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</si>
  <si>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</si>
  <si>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</si>
  <si>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</si>
  <si>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</si>
  <si>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</si>
  <si>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</si>
  <si>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</si>
  <si>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</si>
  <si>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</si>
  <si>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</si>
  <si>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</si>
  <si>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</si>
  <si>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</si>
  <si>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</si>
  <si>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</si>
  <si>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</si>
  <si>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</si>
  <si>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</si>
  <si>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</si>
  <si>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</si>
  <si>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</si>
  <si>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</si>
  <si>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</si>
  <si>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</si>
  <si>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</si>
  <si>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</si>
  <si>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</si>
  <si>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</si>
  <si>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</si>
  <si>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</si>
  <si>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</si>
  <si>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</si>
  <si>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</si>
  <si>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</si>
  <si>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</si>
  <si>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</si>
  <si>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</si>
  <si>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</si>
  <si>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</si>
  <si>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</si>
  <si>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</si>
  <si>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</si>
  <si>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</si>
  <si>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</si>
  <si>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</si>
  <si>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</si>
  <si>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</si>
  <si>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</si>
  <si>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</si>
  <si>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</si>
  <si>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</si>
  <si>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</si>
  <si>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</si>
  <si>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</si>
  <si>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</si>
  <si>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</si>
  <si>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</si>
  <si>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</si>
  <si>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</si>
  <si>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</si>
  <si>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</si>
  <si>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</si>
  <si>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</si>
  <si>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</si>
  <si>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</si>
  <si>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</si>
  <si>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</si>
  <si>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</si>
  <si>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</si>
  <si>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</si>
  <si>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</si>
  <si>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</si>
  <si>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</si>
  <si>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</si>
  <si>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</si>
  <si>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</si>
  <si>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</si>
  <si>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</si>
  <si>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</si>
  <si>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</si>
  <si>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</si>
  <si>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</si>
  <si>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</si>
  <si>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</si>
  <si>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</si>
  <si>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</si>
  <si>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</si>
  <si>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</si>
  <si>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</si>
  <si>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</si>
  <si>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</si>
  <si>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</si>
  <si>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</si>
  <si>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</si>
  <si>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</si>
  <si>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</si>
  <si>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</si>
  <si>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</si>
  <si>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</si>
  <si>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</si>
  <si>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</si>
  <si>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</si>
  <si>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</si>
  <si>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</si>
  <si>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</si>
  <si>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</si>
  <si>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</si>
  <si>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</si>
  <si>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</si>
  <si>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</si>
  <si>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</si>
  <si>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</si>
  <si>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</si>
  <si>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</si>
  <si>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</si>
  <si>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</si>
  <si>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</si>
  <si>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</si>
  <si>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</si>
  <si>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</si>
  <si>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</si>
  <si>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</si>
  <si>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</si>
  <si>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</si>
  <si>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</si>
  <si>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</si>
  <si>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</si>
  <si>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</si>
  <si>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</si>
  <si>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</si>
  <si>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</si>
  <si>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</si>
  <si>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</si>
  <si>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</si>
  <si>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</si>
  <si>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</si>
  <si>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</si>
  <si>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</si>
  <si>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</si>
  <si>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</si>
  <si>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</si>
  <si>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</si>
  <si>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</si>
  <si>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</si>
  <si>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</si>
  <si>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</si>
  <si>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</si>
  <si>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</si>
  <si>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</si>
  <si>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</si>
  <si>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</si>
  <si>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</si>
  <si>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</si>
  <si>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</si>
  <si>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</si>
  <si>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</si>
  <si>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</si>
  <si>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</si>
  <si>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</si>
  <si>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</si>
  <si>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</si>
  <si>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</si>
  <si>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</si>
  <si>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</si>
  <si>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</si>
  <si>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</si>
  <si>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</si>
  <si>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</si>
  <si>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</si>
  <si>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</si>
  <si>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</si>
  <si>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</si>
  <si>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</si>
  <si>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</si>
  <si>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</si>
  <si>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</si>
  <si>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</si>
  <si>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</si>
  <si>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</si>
  <si>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</si>
  <si>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</si>
  <si>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</si>
  <si>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</si>
  <si>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</si>
  <si>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</si>
  <si>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</si>
  <si>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</si>
  <si>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</si>
  <si>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</si>
  <si>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</si>
  <si>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</si>
  <si>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</si>
  <si>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</si>
  <si>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</si>
  <si>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</si>
  <si>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</si>
  <si>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</si>
  <si>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</si>
  <si>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</si>
  <si>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</si>
  <si>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</si>
  <si>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</si>
  <si>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</si>
  <si>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</si>
  <si>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</si>
  <si>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</si>
  <si>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</si>
  <si>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</si>
  <si>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</si>
  <si>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</si>
  <si>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</si>
  <si>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</si>
  <si>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</si>
  <si>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</si>
  <si>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</si>
  <si>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</si>
  <si>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</si>
  <si>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</si>
  <si>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</si>
  <si>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</si>
  <si>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</si>
  <si>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</si>
  <si>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</si>
  <si>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</si>
  <si>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</si>
  <si>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</si>
  <si>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</si>
  <si>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</si>
  <si>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</si>
  <si>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</si>
  <si>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</si>
  <si>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</si>
  <si>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</si>
  <si>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</si>
  <si>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</si>
  <si>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</si>
  <si>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</si>
  <si>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</si>
  <si>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</si>
  <si>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</si>
  <si>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</si>
  <si>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</si>
  <si>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</si>
  <si>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</si>
  <si>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</si>
  <si>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</si>
  <si>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</si>
  <si>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</si>
  <si>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</si>
  <si>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</si>
  <si>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</si>
  <si>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</si>
  <si>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</si>
  <si>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</si>
  <si>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</si>
  <si>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</si>
  <si>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</si>
  <si>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</si>
  <si>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</si>
  <si>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</si>
  <si>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</si>
  <si>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</si>
  <si>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</si>
  <si>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</si>
  <si>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</si>
  <si>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</si>
  <si>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</si>
  <si>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</si>
  <si>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</si>
  <si>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</si>
  <si>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</si>
  <si>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</si>
  <si>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</si>
  <si>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</si>
  <si>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</si>
  <si>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</si>
  <si>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</si>
  <si>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</si>
  <si>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</si>
  <si>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</si>
  <si>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</si>
  <si>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</si>
  <si>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</si>
  <si>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</si>
  <si>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</si>
  <si>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</si>
  <si>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</si>
  <si>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</si>
  <si>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</si>
  <si>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</si>
  <si>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</si>
  <si>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</si>
  <si>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</si>
  <si>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</si>
  <si>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</si>
  <si>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</si>
  <si>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</si>
  <si>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</si>
  <si>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</si>
  <si>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</si>
  <si>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</si>
  <si>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</si>
  <si>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</si>
  <si>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</si>
  <si>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</si>
  <si>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</si>
  <si>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</si>
  <si>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</si>
  <si>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</si>
  <si>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</si>
  <si>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</si>
  <si>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</si>
  <si>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</si>
  <si>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</si>
  <si>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</si>
  <si>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</si>
  <si>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</si>
  <si>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</si>
  <si>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</si>
  <si>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</si>
  <si>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</si>
  <si>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</si>
  <si>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</si>
  <si>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</si>
  <si>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</si>
  <si>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</si>
  <si>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</si>
  <si>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</si>
  <si>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</si>
  <si>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</si>
  <si>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</si>
  <si>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</si>
  <si>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</si>
  <si>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</si>
  <si>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</si>
  <si>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</si>
  <si>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</si>
  <si>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</si>
  <si>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</si>
  <si>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</si>
  <si>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</si>
  <si>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</si>
  <si>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</si>
  <si>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</si>
  <si>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</si>
  <si>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</si>
  <si>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</si>
  <si>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</si>
  <si>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</si>
  <si>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</si>
  <si>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</si>
  <si>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</si>
  <si>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</si>
  <si>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</si>
  <si>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</si>
  <si>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</si>
  <si>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</si>
  <si>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</si>
  <si>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</si>
  <si>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</si>
  <si>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</si>
  <si>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</si>
  <si>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</si>
  <si>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</si>
  <si>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</si>
  <si>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</si>
  <si>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</si>
  <si>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</si>
  <si>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</si>
  <si>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</si>
  <si>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</si>
  <si>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</si>
  <si>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</si>
  <si>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</si>
  <si>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</si>
  <si>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</si>
  <si>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</si>
  <si>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</si>
  <si>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</si>
  <si>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</si>
  <si>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</si>
  <si>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</si>
  <si>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</si>
  <si>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</si>
  <si>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</si>
  <si>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</si>
  <si>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</si>
  <si>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</si>
  <si>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</si>
  <si>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</si>
  <si>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</si>
  <si>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</si>
  <si>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</si>
  <si>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</si>
  <si>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</si>
  <si>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</si>
  <si>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</si>
  <si>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</si>
  <si>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</si>
  <si>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</si>
  <si>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</si>
  <si>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</si>
  <si>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</si>
  <si>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</si>
  <si>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</si>
  <si>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</si>
  <si>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</si>
  <si>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3.**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</si>
  <si>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</si>
  <si>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</si>
  <si>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</si>
  <si>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</si>
  <si>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</si>
  <si>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</si>
  <si>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</si>
  <si>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</si>
  <si>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</si>
  <si>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</si>
  <si>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</si>
  <si>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</si>
  <si>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</si>
  <si>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</si>
  <si>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</si>
  <si>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</si>
  <si>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</si>
  <si>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t>after 10p, but need to add payee(Citi) early</t>
  </si>
  <si>
    <t>74.64 !yet</t>
  </si>
  <si>
    <t>.. IRAS Giro 7Aug</t>
  </si>
  <si>
    <t>MCS some int 1Aug</t>
  </si>
  <si>
    <t>Saizeriya</t>
  </si>
  <si>
    <t>Watson's 10/8</t>
  </si>
  <si>
    <t>Watson's 7/8</t>
  </si>
  <si>
    <t>MCS bonus10Aug</t>
  </si>
  <si>
    <t>tBill&lt;DBS</t>
  </si>
  <si>
    <t>knob lock</t>
  </si>
  <si>
    <t>Domino#104</t>
  </si>
  <si>
    <t>CGC#104</t>
  </si>
  <si>
    <t>boy taxi+meal</t>
  </si>
  <si>
    <t>VivoCity</t>
  </si>
  <si>
    <t>..B9b)ePay dining</t>
  </si>
  <si>
    <t>2M</t>
  </si>
  <si>
    <t>after 10p</t>
  </si>
  <si>
    <t>after midnight #30 Aug 9pm deadline</t>
  </si>
  <si>
    <t>max out on BOC, final</t>
  </si>
  <si>
    <t>timeD</t>
  </si>
  <si>
    <t>3 to 9M</t>
  </si>
  <si>
    <t>^^当作 income</t>
  </si>
  <si>
    <t>debt writeoff #notional</t>
  </si>
  <si>
    <t>SC bal</t>
  </si>
  <si>
    <t>any residual, but this is unnecessary juggling with unknown risk</t>
  </si>
  <si>
    <t>SRS #153</t>
  </si>
  <si>
    <t>tBill upfront</t>
  </si>
  <si>
    <t>tBill #20Feb</t>
  </si>
  <si>
    <t>boyBday#HongHu</t>
  </si>
  <si>
    <t>~~ 2submit</t>
  </si>
  <si>
    <t>LG2: return to EGA to maximize int</t>
  </si>
  <si>
    <t>scheduled -&gt;</t>
  </si>
  <si>
    <t>LG2 &gt;&gt;&gt;&gt;</t>
  </si>
  <si>
    <t>after 10p #payroll day juggling</t>
  </si>
  <si>
    <r>
      <t xml:space="preserve">LG2: max out on BOC, </t>
    </r>
    <r>
      <rPr>
        <b/>
        <sz val="10"/>
        <rFont val="Arial"/>
        <family val="2"/>
      </rPr>
      <t>FINALE</t>
    </r>
  </si>
  <si>
    <t>^^ CitiRBBT payoff: avoid weekend uncertainty</t>
  </si>
  <si>
    <t>70k@3.7,,,, 80k@3.6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</si>
</sst>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2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44" fillId="0" borderId="7" xfId="0" applyNumberFormat="1" applyFont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173" fontId="0" fillId="0" borderId="7" xfId="0" applyNumberFormat="1" applyFont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5" fontId="36" fillId="0" borderId="7" xfId="0" applyNumberFormat="1" applyFont="1" applyBorder="1"/>
    <xf numFmtId="0" fontId="0" fillId="0" borderId="0" xfId="0"/>
    <xf numFmtId="172" fontId="0" fillId="0" borderId="10" xfId="0" applyNumberFormat="1" applyBorder="1" applyAlignment="1">
      <alignment horizontal="right"/>
    </xf>
    <xf numFmtId="0" fontId="0" fillId="0" borderId="0" xfId="0"/>
    <xf numFmtId="183" fontId="0" fillId="0" borderId="0" xfId="0" applyNumberFormat="1" applyBorder="1"/>
    <xf numFmtId="184" fontId="0" fillId="0" borderId="7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185" fontId="0" fillId="0" borderId="10" xfId="0" applyNumberFormat="1" applyBorder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84" fontId="0" fillId="0" borderId="8" xfId="0" applyNumberFormat="1" applyBorder="1" applyAlignment="1">
      <alignment horizontal="center" vertical="center"/>
    </xf>
    <xf numFmtId="184" fontId="0" fillId="0" borderId="22" xfId="0" applyNumberFormat="1" applyBorder="1" applyAlignment="1">
      <alignment horizontal="center" vertical="center"/>
    </xf>
    <xf numFmtId="184" fontId="0" fillId="0" borderId="7" xfId="0" applyNumberFormat="1" applyBorder="1" applyAlignment="1">
      <alignment horizontal="center" vertical="center"/>
    </xf>
    <xf numFmtId="184" fontId="0" fillId="0" borderId="11" xfId="0" applyNumberFormat="1" applyBorder="1" applyAlignment="1">
      <alignment horizontal="center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9"/>
  <sheetViews>
    <sheetView workbookViewId="0">
      <selection activeCell="N30" sqref="N30"/>
    </sheetView>
  </sheetViews>
  <sheetFormatPr defaultRowHeight="12.75"/>
  <cols>
    <col min="2" max="2" width="7" bestFit="1" customWidth="1"/>
    <col min="3" max="3" width="9.28515625" style="906" bestFit="1" customWidth="1"/>
    <col min="4" max="4" width="18" bestFit="1" customWidth="1"/>
    <col min="5" max="5" width="11.42578125" bestFit="1" customWidth="1"/>
    <col min="6" max="7" width="7" bestFit="1" customWidth="1"/>
  </cols>
  <sheetData>
    <row r="2" spans="2:7" s="876" customFormat="1">
      <c r="B2" s="876" t="s">
        <v>3015</v>
      </c>
      <c r="C2" s="906" t="s">
        <v>3013</v>
      </c>
      <c r="E2" s="876" t="s">
        <v>3014</v>
      </c>
      <c r="F2" s="876" t="s">
        <v>3010</v>
      </c>
      <c r="G2" s="876" t="s">
        <v>3013</v>
      </c>
    </row>
    <row r="3" spans="2:7">
      <c r="B3" s="904" t="s">
        <v>2412</v>
      </c>
      <c r="C3" s="904" t="s">
        <v>3052</v>
      </c>
      <c r="D3" s="904"/>
      <c r="E3" s="904" t="s">
        <v>3004</v>
      </c>
      <c r="F3" s="904" t="s">
        <v>423</v>
      </c>
      <c r="G3" s="904" t="s">
        <v>3002</v>
      </c>
    </row>
    <row r="4" spans="2:7" s="876" customFormat="1">
      <c r="B4" s="876" t="s">
        <v>3012</v>
      </c>
      <c r="C4" s="906" t="s">
        <v>3053</v>
      </c>
      <c r="D4" s="876" t="s">
        <v>3020</v>
      </c>
      <c r="E4" s="876" t="s">
        <v>3011</v>
      </c>
      <c r="F4" s="214" t="s">
        <v>3048</v>
      </c>
      <c r="G4" s="876" t="s">
        <v>3006</v>
      </c>
    </row>
    <row r="5" spans="2:7">
      <c r="B5" s="877"/>
      <c r="D5" t="s">
        <v>3003</v>
      </c>
      <c r="E5" s="580" t="s">
        <v>3016</v>
      </c>
      <c r="F5" s="877"/>
      <c r="G5" s="877"/>
    </row>
    <row r="6" spans="2:7">
      <c r="B6" s="876"/>
      <c r="D6" t="s">
        <v>3009</v>
      </c>
      <c r="E6" s="876"/>
      <c r="F6" s="876"/>
      <c r="G6" s="214" t="s">
        <v>3005</v>
      </c>
    </row>
    <row r="7" spans="2:7" s="877" customFormat="1">
      <c r="B7" s="214" t="s">
        <v>3007</v>
      </c>
      <c r="C7" s="214" t="s">
        <v>3007</v>
      </c>
      <c r="D7" s="877" t="s">
        <v>3017</v>
      </c>
    </row>
    <row r="8" spans="2:7">
      <c r="B8" t="s">
        <v>3007</v>
      </c>
      <c r="C8" s="906" t="s">
        <v>3007</v>
      </c>
      <c r="D8" t="s">
        <v>3018</v>
      </c>
      <c r="E8" s="876"/>
      <c r="F8" s="876"/>
    </row>
    <row r="9" spans="2:7">
      <c r="B9" s="876"/>
      <c r="D9" t="s">
        <v>3008</v>
      </c>
      <c r="E9" t="s">
        <v>3007</v>
      </c>
      <c r="F9" s="876" t="s">
        <v>3019</v>
      </c>
      <c r="G9" t="s">
        <v>3019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S36"/>
  <sheetViews>
    <sheetView topLeftCell="I1" zoomScaleNormal="100" workbookViewId="0">
      <selection activeCell="R59" sqref="R59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  <col min="18" max="18" width="14.140625" style="909" bestFit="1" customWidth="1"/>
    <col min="19" max="19" width="6.5703125" bestFit="1" customWidth="1"/>
  </cols>
  <sheetData>
    <row r="1" spans="2:19" s="767" customFormat="1" ht="5.45" customHeight="1">
      <c r="R1" s="909"/>
    </row>
    <row r="2" spans="2:19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  <c r="R2" s="909"/>
      <c r="S2" s="767" t="s">
        <v>3056</v>
      </c>
    </row>
    <row r="3" spans="2:19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  <c r="R3" s="832">
        <v>45139</v>
      </c>
    </row>
    <row r="4" spans="2:19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4">
        <v>740</v>
      </c>
      <c r="P4" s="831">
        <f t="shared" si="3"/>
        <v>1.0136986301369864</v>
      </c>
      <c r="R4" s="832">
        <v>45140</v>
      </c>
    </row>
    <row r="5" spans="2:19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4">
        <v>740</v>
      </c>
      <c r="P5" s="831">
        <f t="shared" si="3"/>
        <v>1.0136986301369864</v>
      </c>
      <c r="R5" s="832">
        <v>45141</v>
      </c>
    </row>
    <row r="6" spans="2:19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4">
        <v>740</v>
      </c>
      <c r="P6" s="831">
        <f t="shared" si="3"/>
        <v>1.0136986301369864</v>
      </c>
      <c r="R6" s="832">
        <v>45142</v>
      </c>
    </row>
    <row r="7" spans="2:19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4">O7*1000*0.05%/365</f>
        <v>1.0136986301369864</v>
      </c>
      <c r="R7" s="832">
        <v>45143</v>
      </c>
    </row>
    <row r="8" spans="2:19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4"/>
        <v>1.0136986301369864</v>
      </c>
      <c r="R8" s="832">
        <v>45144</v>
      </c>
      <c r="S8">
        <v>200</v>
      </c>
    </row>
    <row r="9" spans="2:19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4"/>
        <v>0.93835616438356162</v>
      </c>
      <c r="R9" s="832">
        <v>45145</v>
      </c>
      <c r="S9">
        <v>0</v>
      </c>
    </row>
    <row r="10" spans="2:19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831">
        <f t="shared" si="4"/>
        <v>0</v>
      </c>
      <c r="R10" s="832">
        <v>45146</v>
      </c>
      <c r="S10">
        <v>200</v>
      </c>
    </row>
    <row r="11" spans="2:19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831">
        <f t="shared" si="4"/>
        <v>0</v>
      </c>
      <c r="R11" s="832">
        <v>45147</v>
      </c>
      <c r="S11">
        <v>200</v>
      </c>
    </row>
    <row r="12" spans="2:19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831">
        <f t="shared" si="4"/>
        <v>0</v>
      </c>
      <c r="R12" s="832">
        <v>45148</v>
      </c>
      <c r="S12">
        <v>49</v>
      </c>
    </row>
    <row r="13" spans="2:19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831">
        <f t="shared" si="4"/>
        <v>0</v>
      </c>
      <c r="R13" s="832">
        <v>45149</v>
      </c>
      <c r="S13">
        <v>200</v>
      </c>
    </row>
    <row r="14" spans="2:19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831">
        <f t="shared" si="4"/>
        <v>0</v>
      </c>
      <c r="R14" s="832">
        <v>45150</v>
      </c>
      <c r="S14">
        <v>200</v>
      </c>
    </row>
    <row r="15" spans="2:19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831">
        <f t="shared" si="4"/>
        <v>0</v>
      </c>
      <c r="R15" s="832">
        <v>45151</v>
      </c>
      <c r="S15">
        <v>200</v>
      </c>
    </row>
    <row r="16" spans="2:19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831">
        <f t="shared" si="4"/>
        <v>0</v>
      </c>
      <c r="R16" s="832">
        <v>45152</v>
      </c>
      <c r="S16">
        <v>200</v>
      </c>
    </row>
    <row r="17" spans="2:19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831">
        <f t="shared" si="4"/>
        <v>0</v>
      </c>
      <c r="R17" s="832">
        <v>45153</v>
      </c>
      <c r="S17">
        <v>200</v>
      </c>
    </row>
    <row r="18" spans="2:19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831">
        <f t="shared" si="4"/>
        <v>0</v>
      </c>
      <c r="R18" s="832">
        <v>45154</v>
      </c>
    </row>
    <row r="19" spans="2:19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831">
        <f t="shared" si="4"/>
        <v>0</v>
      </c>
      <c r="R19" s="832">
        <v>45155</v>
      </c>
    </row>
    <row r="20" spans="2:19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831">
        <f t="shared" si="4"/>
        <v>0</v>
      </c>
      <c r="R20" s="832">
        <v>45156</v>
      </c>
    </row>
    <row r="21" spans="2:19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831">
        <f t="shared" si="4"/>
        <v>0</v>
      </c>
      <c r="R21" s="832">
        <v>45157</v>
      </c>
    </row>
    <row r="22" spans="2:19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831">
        <f t="shared" si="4"/>
        <v>0</v>
      </c>
      <c r="R22" s="832">
        <v>45158</v>
      </c>
    </row>
    <row r="23" spans="2:19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831">
        <f t="shared" si="4"/>
        <v>0</v>
      </c>
      <c r="R23" s="832">
        <v>45159</v>
      </c>
    </row>
    <row r="24" spans="2:19">
      <c r="B24" s="625">
        <v>45068</v>
      </c>
      <c r="C24" s="768">
        <v>545</v>
      </c>
      <c r="D24" s="831">
        <f t="shared" ref="D24:D32" si="5">C24*1000*0.05%/365</f>
        <v>0.74657534246575341</v>
      </c>
      <c r="F24" s="832">
        <v>45099</v>
      </c>
      <c r="G24" s="830">
        <v>585</v>
      </c>
      <c r="H24" s="831">
        <f t="shared" ref="H24:H32" si="6">G24*1000*0.05%/365</f>
        <v>0.80136986301369861</v>
      </c>
      <c r="J24" s="832">
        <v>45129</v>
      </c>
      <c r="K24" s="830">
        <v>735</v>
      </c>
      <c r="L24" s="831">
        <f t="shared" ref="L24:L32" si="7">K24*1000*0.05%/365</f>
        <v>1.0068493150684932</v>
      </c>
      <c r="N24" s="832">
        <v>45160</v>
      </c>
      <c r="P24" s="831">
        <f t="shared" si="4"/>
        <v>0</v>
      </c>
      <c r="R24" s="832">
        <v>45160</v>
      </c>
    </row>
    <row r="25" spans="2:19">
      <c r="B25" s="833">
        <v>45069</v>
      </c>
      <c r="C25" s="87">
        <v>545</v>
      </c>
      <c r="D25" s="834">
        <f t="shared" si="5"/>
        <v>0.74657534246575341</v>
      </c>
      <c r="E25" s="87"/>
      <c r="F25" s="835">
        <v>45100</v>
      </c>
      <c r="G25" s="87">
        <v>585</v>
      </c>
      <c r="H25" s="834">
        <f t="shared" si="6"/>
        <v>0.80136986301369861</v>
      </c>
      <c r="I25" s="87"/>
      <c r="J25" s="835">
        <v>45130</v>
      </c>
      <c r="K25" s="87">
        <v>735</v>
      </c>
      <c r="L25" s="834">
        <f t="shared" si="7"/>
        <v>1.0068493150684932</v>
      </c>
      <c r="M25" s="87"/>
      <c r="N25" s="835">
        <v>45161</v>
      </c>
      <c r="O25" s="87"/>
      <c r="P25" s="831">
        <f t="shared" si="4"/>
        <v>0</v>
      </c>
      <c r="R25" s="912">
        <v>45161</v>
      </c>
    </row>
    <row r="26" spans="2:19">
      <c r="B26" s="625">
        <v>45070</v>
      </c>
      <c r="C26" s="830">
        <v>550</v>
      </c>
      <c r="D26" s="831">
        <f t="shared" si="5"/>
        <v>0.75342465753424659</v>
      </c>
      <c r="F26" s="832">
        <v>45101</v>
      </c>
      <c r="G26" s="830">
        <v>585</v>
      </c>
      <c r="H26" s="831">
        <f t="shared" si="6"/>
        <v>0.80136986301369861</v>
      </c>
      <c r="J26" s="832">
        <v>45131</v>
      </c>
      <c r="K26" s="845">
        <v>735</v>
      </c>
      <c r="L26" s="831">
        <f t="shared" si="7"/>
        <v>1.0068493150684932</v>
      </c>
      <c r="N26" s="832">
        <v>45162</v>
      </c>
      <c r="P26" s="831">
        <f t="shared" si="4"/>
        <v>0</v>
      </c>
      <c r="R26" s="832">
        <v>45162</v>
      </c>
    </row>
    <row r="27" spans="2:19">
      <c r="B27" s="625">
        <v>45071</v>
      </c>
      <c r="C27" s="830">
        <v>550</v>
      </c>
      <c r="D27" s="831">
        <f t="shared" si="5"/>
        <v>0.75342465753424659</v>
      </c>
      <c r="F27" s="832">
        <v>45102</v>
      </c>
      <c r="G27" s="830">
        <v>585</v>
      </c>
      <c r="H27" s="831">
        <f t="shared" si="6"/>
        <v>0.80136986301369861</v>
      </c>
      <c r="J27" s="832">
        <v>45132</v>
      </c>
      <c r="K27" s="846">
        <v>740</v>
      </c>
      <c r="L27" s="831">
        <f t="shared" si="7"/>
        <v>1.0136986301369864</v>
      </c>
      <c r="N27" s="832">
        <v>45163</v>
      </c>
      <c r="P27" s="831">
        <f t="shared" si="4"/>
        <v>0</v>
      </c>
      <c r="R27" s="832">
        <v>45163</v>
      </c>
    </row>
    <row r="28" spans="2:19">
      <c r="B28" s="625">
        <v>45072</v>
      </c>
      <c r="C28" s="830">
        <v>550</v>
      </c>
      <c r="D28" s="831">
        <f t="shared" si="5"/>
        <v>0.75342465753424659</v>
      </c>
      <c r="F28" s="832">
        <v>45103</v>
      </c>
      <c r="G28" s="830">
        <v>585</v>
      </c>
      <c r="H28" s="831">
        <f t="shared" si="6"/>
        <v>0.80136986301369861</v>
      </c>
      <c r="J28" s="832">
        <v>45133</v>
      </c>
      <c r="K28" s="873">
        <v>740</v>
      </c>
      <c r="L28" s="831">
        <f t="shared" si="7"/>
        <v>1.0136986301369864</v>
      </c>
      <c r="N28" s="832">
        <v>45164</v>
      </c>
      <c r="P28" s="831">
        <f t="shared" si="4"/>
        <v>0</v>
      </c>
      <c r="R28" s="832">
        <v>45164</v>
      </c>
    </row>
    <row r="29" spans="2:19">
      <c r="B29" s="625">
        <v>45073</v>
      </c>
      <c r="C29" s="830">
        <v>550</v>
      </c>
      <c r="D29" s="831">
        <f t="shared" si="5"/>
        <v>0.75342465753424659</v>
      </c>
      <c r="F29" s="832">
        <v>45104</v>
      </c>
      <c r="G29" s="830">
        <v>585</v>
      </c>
      <c r="H29" s="831">
        <f t="shared" si="6"/>
        <v>0.80136986301369861</v>
      </c>
      <c r="J29" s="832">
        <v>45134</v>
      </c>
      <c r="K29" s="873">
        <v>740</v>
      </c>
      <c r="L29" s="831">
        <f t="shared" si="7"/>
        <v>1.0136986301369864</v>
      </c>
      <c r="N29" s="832">
        <v>45165</v>
      </c>
      <c r="P29" s="831">
        <f t="shared" si="4"/>
        <v>0</v>
      </c>
      <c r="R29" s="832">
        <v>45165</v>
      </c>
    </row>
    <row r="30" spans="2:19">
      <c r="B30" s="625">
        <v>45074</v>
      </c>
      <c r="C30" s="830">
        <v>550</v>
      </c>
      <c r="D30" s="831">
        <f t="shared" si="5"/>
        <v>0.75342465753424659</v>
      </c>
      <c r="F30" s="832">
        <v>45105</v>
      </c>
      <c r="G30" s="830">
        <v>600</v>
      </c>
      <c r="H30" s="831">
        <f t="shared" si="6"/>
        <v>0.82191780821917804</v>
      </c>
      <c r="J30" s="832">
        <v>45135</v>
      </c>
      <c r="K30" s="873">
        <v>740</v>
      </c>
      <c r="L30" s="831">
        <f t="shared" si="7"/>
        <v>1.0136986301369864</v>
      </c>
      <c r="N30" s="832">
        <v>45166</v>
      </c>
      <c r="P30" s="831">
        <f t="shared" si="4"/>
        <v>0</v>
      </c>
      <c r="R30" s="832">
        <v>45166</v>
      </c>
    </row>
    <row r="31" spans="2:19">
      <c r="B31" s="625">
        <v>45075</v>
      </c>
      <c r="C31" s="767">
        <v>550</v>
      </c>
      <c r="D31" s="831">
        <f t="shared" si="5"/>
        <v>0.75342465753424659</v>
      </c>
      <c r="F31" s="832">
        <v>45106</v>
      </c>
      <c r="G31" s="830">
        <v>600</v>
      </c>
      <c r="H31" s="831">
        <f t="shared" si="6"/>
        <v>0.82191780821917804</v>
      </c>
      <c r="J31" s="832">
        <v>45136</v>
      </c>
      <c r="K31" s="830">
        <v>750</v>
      </c>
      <c r="L31" s="831">
        <f t="shared" si="7"/>
        <v>1.0273972602739727</v>
      </c>
      <c r="N31" s="832">
        <v>45167</v>
      </c>
      <c r="P31" s="831">
        <f t="shared" si="4"/>
        <v>0</v>
      </c>
      <c r="R31" s="832">
        <v>45167</v>
      </c>
    </row>
    <row r="32" spans="2:19">
      <c r="B32" s="625">
        <v>45076</v>
      </c>
      <c r="C32" s="767">
        <v>585</v>
      </c>
      <c r="D32" s="831">
        <f t="shared" si="5"/>
        <v>0.80136986301369861</v>
      </c>
      <c r="F32" s="832">
        <v>45107</v>
      </c>
      <c r="G32" s="830">
        <v>600</v>
      </c>
      <c r="H32" s="831">
        <f t="shared" si="6"/>
        <v>0.82191780821917804</v>
      </c>
      <c r="J32" s="832">
        <v>45137</v>
      </c>
      <c r="K32" s="830">
        <v>750</v>
      </c>
      <c r="L32" s="831">
        <f t="shared" si="7"/>
        <v>1.0273972602739727</v>
      </c>
      <c r="N32" s="832">
        <v>45168</v>
      </c>
      <c r="P32" s="831">
        <f t="shared" si="4"/>
        <v>0</v>
      </c>
      <c r="R32" s="832">
        <v>45168</v>
      </c>
    </row>
    <row r="33" spans="2:18">
      <c r="B33" s="625">
        <v>45077</v>
      </c>
      <c r="C33" s="767">
        <v>585</v>
      </c>
      <c r="D33" s="831">
        <f t="shared" ref="D33" si="8">C33*1000*0.05/100/365</f>
        <v>0.80136986301369861</v>
      </c>
      <c r="F33" s="832"/>
      <c r="J33" s="832">
        <v>45138</v>
      </c>
      <c r="K33" s="830">
        <v>750</v>
      </c>
      <c r="L33" s="831">
        <f t="shared" ref="L33" si="9">K33*1000*0.05/100/365</f>
        <v>1.0273972602739727</v>
      </c>
      <c r="N33" s="832">
        <v>45169</v>
      </c>
      <c r="P33" s="831">
        <f t="shared" si="4"/>
        <v>0</v>
      </c>
      <c r="R33" s="832">
        <v>45169</v>
      </c>
    </row>
    <row r="35" spans="2:18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15.164383561643834</v>
      </c>
      <c r="R35" s="909" t="s">
        <v>2925</v>
      </c>
    </row>
    <row r="36" spans="2:18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617.80821917808214</v>
      </c>
      <c r="R36" s="909" t="s">
        <v>2924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07" t="s">
        <v>1875</v>
      </c>
      <c r="C2" s="1007"/>
      <c r="D2" s="1007"/>
      <c r="E2" s="1009" t="s">
        <v>2497</v>
      </c>
      <c r="F2" s="1009" t="s">
        <v>2519</v>
      </c>
      <c r="G2" s="689"/>
      <c r="H2" s="995"/>
      <c r="I2" s="1008" t="s">
        <v>2624</v>
      </c>
      <c r="J2" s="1008"/>
      <c r="K2" s="997" t="s">
        <v>2621</v>
      </c>
      <c r="L2" s="997" t="s">
        <v>2543</v>
      </c>
      <c r="M2" s="1009" t="s">
        <v>2502</v>
      </c>
      <c r="N2" s="989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1010"/>
      <c r="F3" s="1010"/>
      <c r="G3" s="693"/>
      <c r="H3" s="996"/>
      <c r="I3" s="694" t="s">
        <v>2586</v>
      </c>
      <c r="J3" s="695" t="s">
        <v>2211</v>
      </c>
      <c r="K3" s="998"/>
      <c r="L3" s="998"/>
      <c r="M3" s="1010"/>
      <c r="N3" s="989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02" t="s">
        <v>2500</v>
      </c>
      <c r="D10" s="1002"/>
      <c r="E10" s="1002"/>
      <c r="F10" s="1002"/>
      <c r="G10" s="1002"/>
      <c r="H10" s="1002"/>
      <c r="I10" s="1002"/>
      <c r="J10" s="1002"/>
      <c r="K10" s="1002"/>
      <c r="L10" s="1002"/>
      <c r="M10" s="1002"/>
      <c r="N10" s="1002"/>
      <c r="O10" s="1002"/>
      <c r="P10" s="1002"/>
    </row>
    <row r="11" spans="2:16" ht="12.75" customHeight="1">
      <c r="B11" s="564"/>
      <c r="C11" s="556" t="s">
        <v>2515</v>
      </c>
      <c r="D11" s="554"/>
      <c r="E11" s="990" t="s">
        <v>2497</v>
      </c>
      <c r="F11" s="990" t="s">
        <v>2519</v>
      </c>
      <c r="G11" s="558"/>
      <c r="H11" s="993" t="s">
        <v>2508</v>
      </c>
      <c r="I11" s="999" t="s">
        <v>2742</v>
      </c>
      <c r="J11" s="1003" t="s">
        <v>2622</v>
      </c>
      <c r="K11" s="1003"/>
      <c r="L11" s="1004"/>
      <c r="M11" s="990" t="s">
        <v>2743</v>
      </c>
      <c r="N11" s="992" t="s">
        <v>2509</v>
      </c>
    </row>
    <row r="12" spans="2:16">
      <c r="B12" s="564"/>
      <c r="C12" s="550" t="s">
        <v>1873</v>
      </c>
      <c r="D12" s="551" t="s">
        <v>2412</v>
      </c>
      <c r="E12" s="991"/>
      <c r="F12" s="991"/>
      <c r="G12" s="560"/>
      <c r="H12" s="994"/>
      <c r="I12" s="1000"/>
      <c r="J12" s="697" t="s">
        <v>2517</v>
      </c>
      <c r="K12" s="561" t="s">
        <v>1874</v>
      </c>
      <c r="L12" s="1005"/>
      <c r="M12" s="991"/>
      <c r="N12" s="992"/>
    </row>
    <row r="13" spans="2:16" s="622" customFormat="1">
      <c r="B13" s="1006">
        <v>8</v>
      </c>
      <c r="C13" s="1006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01" t="s">
        <v>2501</v>
      </c>
      <c r="D19" s="1001"/>
      <c r="E19" s="1001"/>
      <c r="F19" s="1001"/>
      <c r="G19" s="1001"/>
      <c r="H19" s="1001"/>
      <c r="I19" s="1001"/>
      <c r="J19" s="1001"/>
      <c r="K19" s="1001"/>
      <c r="L19" s="1001"/>
      <c r="M19" s="1001"/>
      <c r="N19" s="1001"/>
      <c r="O19" s="1001"/>
      <c r="P19" s="1001"/>
    </row>
    <row r="20" spans="2:18" s="729" customFormat="1">
      <c r="B20" s="741"/>
      <c r="G20" s="988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88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88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11">
        <f>SUMPRODUCT(D4:D33,E4:E33)/365</f>
        <v>25.715295438356168</v>
      </c>
      <c r="E34" s="1011"/>
      <c r="F34" s="773"/>
    </row>
    <row r="35" spans="2:11">
      <c r="B35" s="772" t="s">
        <v>2809</v>
      </c>
      <c r="D35" s="1011" t="s">
        <v>2797</v>
      </c>
      <c r="E35" s="1011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topLeftCell="A12" workbookViewId="0">
      <selection activeCell="K54" sqref="K5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2994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2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2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2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2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2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2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2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2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2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2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2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2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2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2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2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2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2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2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2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2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2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2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2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2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2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2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2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2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2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2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199.73</v>
      </c>
      <c r="I34" s="580">
        <v>71.900000000000006</v>
      </c>
      <c r="J34" s="580">
        <v>63.91</v>
      </c>
      <c r="K34" s="580">
        <f>31.96</f>
        <v>31.96</v>
      </c>
    </row>
    <row r="35" spans="2:11">
      <c r="B35" s="739">
        <f>AVERAGE(B3:B33)</f>
        <v>93751.251935483873</v>
      </c>
      <c r="D35" s="1011">
        <f>SUMPRODUCT(D3:D33,E3:E33)/365</f>
        <v>31.958798726027403</v>
      </c>
      <c r="E35" s="1011"/>
      <c r="F35" s="740"/>
    </row>
    <row r="36" spans="2:11">
      <c r="B36" s="734" t="s">
        <v>2809</v>
      </c>
      <c r="D36" s="1011" t="s">
        <v>2797</v>
      </c>
      <c r="E36" s="1011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2948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2947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2952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12" t="s">
        <v>1897</v>
      </c>
      <c r="D3" s="1012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13" t="s">
        <v>2079</v>
      </c>
      <c r="C2" s="1013"/>
      <c r="D2" s="1014" t="s">
        <v>1875</v>
      </c>
      <c r="E2" s="1014"/>
      <c r="F2" s="471"/>
      <c r="G2" s="471"/>
      <c r="H2" s="378"/>
      <c r="I2" s="1017" t="s">
        <v>2256</v>
      </c>
      <c r="J2" s="1018"/>
      <c r="K2" s="1018"/>
      <c r="L2" s="1018"/>
      <c r="M2" s="1018"/>
      <c r="N2" s="1018"/>
      <c r="O2" s="1019"/>
      <c r="P2" s="438"/>
      <c r="Q2" s="1020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25" t="s">
        <v>2282</v>
      </c>
      <c r="G3" s="1026"/>
      <c r="H3" s="378"/>
      <c r="I3" s="433"/>
      <c r="J3" s="472"/>
      <c r="K3" s="1022" t="s">
        <v>2422</v>
      </c>
      <c r="L3" s="1023"/>
      <c r="M3" s="1024"/>
      <c r="N3" s="476"/>
      <c r="O3" s="430"/>
      <c r="P3" s="470"/>
      <c r="Q3" s="1021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15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15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16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16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32" t="s">
        <v>124</v>
      </c>
      <c r="C1" s="932"/>
      <c r="D1" s="936" t="s">
        <v>292</v>
      </c>
      <c r="E1" s="936"/>
      <c r="F1" s="936" t="s">
        <v>341</v>
      </c>
      <c r="G1" s="936"/>
      <c r="H1" s="933" t="s">
        <v>127</v>
      </c>
      <c r="I1" s="933"/>
      <c r="J1" s="934" t="s">
        <v>292</v>
      </c>
      <c r="K1" s="934"/>
      <c r="L1" s="935" t="s">
        <v>520</v>
      </c>
      <c r="M1" s="935"/>
      <c r="N1" s="933" t="s">
        <v>146</v>
      </c>
      <c r="O1" s="933"/>
      <c r="P1" s="934" t="s">
        <v>293</v>
      </c>
      <c r="Q1" s="934"/>
      <c r="R1" s="935" t="s">
        <v>522</v>
      </c>
      <c r="S1" s="935"/>
      <c r="T1" s="921" t="s">
        <v>193</v>
      </c>
      <c r="U1" s="921"/>
      <c r="V1" s="934" t="s">
        <v>292</v>
      </c>
      <c r="W1" s="934"/>
      <c r="X1" s="923" t="s">
        <v>524</v>
      </c>
      <c r="Y1" s="923"/>
      <c r="Z1" s="921" t="s">
        <v>241</v>
      </c>
      <c r="AA1" s="921"/>
      <c r="AB1" s="922" t="s">
        <v>292</v>
      </c>
      <c r="AC1" s="922"/>
      <c r="AD1" s="931" t="s">
        <v>524</v>
      </c>
      <c r="AE1" s="931"/>
      <c r="AF1" s="921" t="s">
        <v>367</v>
      </c>
      <c r="AG1" s="921"/>
      <c r="AH1" s="922" t="s">
        <v>292</v>
      </c>
      <c r="AI1" s="922"/>
      <c r="AJ1" s="923" t="s">
        <v>530</v>
      </c>
      <c r="AK1" s="923"/>
      <c r="AL1" s="921" t="s">
        <v>389</v>
      </c>
      <c r="AM1" s="921"/>
      <c r="AN1" s="929" t="s">
        <v>292</v>
      </c>
      <c r="AO1" s="929"/>
      <c r="AP1" s="927" t="s">
        <v>531</v>
      </c>
      <c r="AQ1" s="927"/>
      <c r="AR1" s="921" t="s">
        <v>416</v>
      </c>
      <c r="AS1" s="921"/>
      <c r="AV1" s="927" t="s">
        <v>285</v>
      </c>
      <c r="AW1" s="927"/>
      <c r="AX1" s="930" t="s">
        <v>998</v>
      </c>
      <c r="AY1" s="930"/>
      <c r="AZ1" s="930"/>
      <c r="BA1" s="208"/>
      <c r="BB1" s="925">
        <v>42942</v>
      </c>
      <c r="BC1" s="926"/>
      <c r="BD1" s="92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24" t="s">
        <v>261</v>
      </c>
      <c r="U4" s="924"/>
      <c r="X4" s="119" t="s">
        <v>233</v>
      </c>
      <c r="Y4" s="123">
        <f>Y3-Y6</f>
        <v>4.9669099999591708</v>
      </c>
      <c r="Z4" s="924" t="s">
        <v>262</v>
      </c>
      <c r="AA4" s="924"/>
      <c r="AD4" s="154" t="s">
        <v>233</v>
      </c>
      <c r="AE4" s="154">
        <f>AE3-AE5</f>
        <v>-52.526899999851594</v>
      </c>
      <c r="AF4" s="924" t="s">
        <v>262</v>
      </c>
      <c r="AG4" s="924"/>
      <c r="AH4" s="143"/>
      <c r="AI4" s="143"/>
      <c r="AJ4" s="154" t="s">
        <v>233</v>
      </c>
      <c r="AK4" s="154">
        <f>AK3-AK5</f>
        <v>94.988909999992757</v>
      </c>
      <c r="AL4" s="924" t="s">
        <v>262</v>
      </c>
      <c r="AM4" s="924"/>
      <c r="AP4" s="170" t="s">
        <v>233</v>
      </c>
      <c r="AQ4" s="174">
        <f>AQ3-AQ5</f>
        <v>33.841989999942598</v>
      </c>
      <c r="AR4" s="924" t="s">
        <v>262</v>
      </c>
      <c r="AS4" s="924"/>
      <c r="AX4" s="924" t="s">
        <v>564</v>
      </c>
      <c r="AY4" s="924"/>
      <c r="BB4" s="924" t="s">
        <v>567</v>
      </c>
      <c r="BC4" s="924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24"/>
      <c r="U5" s="924"/>
      <c r="V5" s="3" t="s">
        <v>258</v>
      </c>
      <c r="W5">
        <v>2050</v>
      </c>
      <c r="X5" s="82"/>
      <c r="Z5" s="924"/>
      <c r="AA5" s="92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24"/>
      <c r="AG5" s="924"/>
      <c r="AH5" s="143"/>
      <c r="AI5" s="143"/>
      <c r="AJ5" s="154" t="s">
        <v>352</v>
      </c>
      <c r="AK5" s="162">
        <f>SUM(AK11:AK59)</f>
        <v>30858.011000000002</v>
      </c>
      <c r="AL5" s="924"/>
      <c r="AM5" s="92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24"/>
      <c r="AS5" s="924"/>
      <c r="AX5" s="924"/>
      <c r="AY5" s="924"/>
      <c r="BB5" s="924"/>
      <c r="BC5" s="924"/>
      <c r="BD5" s="928" t="s">
        <v>999</v>
      </c>
      <c r="BE5" s="928"/>
      <c r="BF5" s="928"/>
      <c r="BG5" s="928"/>
      <c r="BH5" s="928"/>
      <c r="BI5" s="928"/>
      <c r="BJ5" s="928"/>
      <c r="BK5" s="92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37" t="s">
        <v>264</v>
      </c>
      <c r="W23" s="93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39"/>
      <c r="W24" s="94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41" t="s">
        <v>2664</v>
      </c>
      <c r="H3" s="942"/>
      <c r="I3" s="590"/>
      <c r="J3" s="941" t="s">
        <v>2665</v>
      </c>
      <c r="K3" s="942"/>
      <c r="L3" s="299"/>
      <c r="M3" s="941">
        <v>43739</v>
      </c>
      <c r="N3" s="942"/>
      <c r="O3" s="941">
        <v>42401</v>
      </c>
      <c r="P3" s="942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47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48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48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48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4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48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48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48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49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50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51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46">
        <f>G40/F42+H40</f>
        <v>1932511.2781954887</v>
      </c>
      <c r="H43" s="94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45">
        <f>H40*F42+G40</f>
        <v>2570240</v>
      </c>
      <c r="H44" s="945"/>
      <c r="I44" s="2"/>
      <c r="J44" s="945">
        <f>K40*1.37+J40</f>
        <v>1877697.6600000001</v>
      </c>
      <c r="K44" s="945"/>
      <c r="L44" s="2"/>
      <c r="M44" s="945">
        <f>N40*1.37+M40</f>
        <v>1789659</v>
      </c>
      <c r="N44" s="945"/>
      <c r="O44" s="945">
        <f>P40*1.36+O40</f>
        <v>1320187.2</v>
      </c>
      <c r="P44" s="94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44" t="s">
        <v>1186</v>
      </c>
      <c r="C47" s="944"/>
      <c r="D47" s="944"/>
      <c r="E47" s="944"/>
      <c r="F47" s="944"/>
      <c r="G47" s="944"/>
      <c r="H47" s="944"/>
      <c r="I47" s="944"/>
      <c r="J47" s="944"/>
      <c r="K47" s="944"/>
      <c r="L47" s="944"/>
      <c r="M47" s="944"/>
      <c r="N47" s="944"/>
    </row>
    <row r="48" spans="2:16">
      <c r="B48" s="944" t="s">
        <v>2560</v>
      </c>
      <c r="C48" s="944"/>
      <c r="D48" s="944"/>
      <c r="E48" s="944"/>
      <c r="F48" s="944"/>
      <c r="G48" s="944"/>
      <c r="H48" s="944"/>
      <c r="I48" s="944"/>
      <c r="J48" s="944"/>
      <c r="K48" s="944"/>
      <c r="L48" s="944"/>
      <c r="M48" s="944"/>
      <c r="N48" s="944"/>
    </row>
    <row r="49" spans="2:14">
      <c r="B49" s="944" t="s">
        <v>2559</v>
      </c>
      <c r="C49" s="944"/>
      <c r="D49" s="944"/>
      <c r="E49" s="944"/>
      <c r="F49" s="944"/>
      <c r="G49" s="944"/>
      <c r="H49" s="944"/>
      <c r="I49" s="944"/>
      <c r="J49" s="944"/>
      <c r="K49" s="944"/>
      <c r="L49" s="944"/>
      <c r="M49" s="944"/>
      <c r="N49" s="944"/>
    </row>
    <row r="50" spans="2:14">
      <c r="B50" s="943" t="s">
        <v>2558</v>
      </c>
      <c r="C50" s="943"/>
      <c r="D50" s="943"/>
      <c r="E50" s="943"/>
      <c r="F50" s="943"/>
      <c r="G50" s="943"/>
      <c r="H50" s="943"/>
      <c r="I50" s="943"/>
      <c r="J50" s="943"/>
      <c r="K50" s="943"/>
      <c r="L50" s="943"/>
      <c r="M50" s="943"/>
      <c r="N50" s="943"/>
    </row>
    <row r="51" spans="2:14">
      <c r="B51" s="943"/>
      <c r="C51" s="943"/>
      <c r="D51" s="943"/>
      <c r="E51" s="943"/>
      <c r="F51" s="943"/>
      <c r="G51" s="943"/>
      <c r="H51" s="943"/>
      <c r="I51" s="943"/>
      <c r="J51" s="943"/>
      <c r="K51" s="943"/>
      <c r="L51" s="943"/>
      <c r="M51" s="943"/>
      <c r="N51" s="943"/>
    </row>
    <row r="52" spans="2:14">
      <c r="B52" s="943"/>
      <c r="C52" s="943"/>
      <c r="D52" s="943"/>
      <c r="E52" s="943"/>
      <c r="F52" s="943"/>
      <c r="G52" s="943"/>
      <c r="H52" s="943"/>
      <c r="I52" s="943"/>
      <c r="J52" s="943"/>
      <c r="K52" s="943"/>
      <c r="L52" s="943"/>
      <c r="M52" s="943"/>
      <c r="N52" s="94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53" t="s">
        <v>2652</v>
      </c>
      <c r="F38" s="954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52" t="s">
        <v>989</v>
      </c>
      <c r="C41" s="952"/>
      <c r="D41" s="952"/>
      <c r="E41" s="952"/>
      <c r="F41" s="952"/>
      <c r="G41" s="952"/>
      <c r="H41" s="95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32" t="s">
        <v>909</v>
      </c>
      <c r="C1" s="932"/>
      <c r="D1" s="931" t="s">
        <v>515</v>
      </c>
      <c r="E1" s="931"/>
      <c r="F1" s="932" t="s">
        <v>513</v>
      </c>
      <c r="G1" s="932"/>
      <c r="H1" s="955" t="s">
        <v>549</v>
      </c>
      <c r="I1" s="955"/>
      <c r="J1" s="931" t="s">
        <v>515</v>
      </c>
      <c r="K1" s="931"/>
      <c r="L1" s="932" t="s">
        <v>908</v>
      </c>
      <c r="M1" s="932"/>
      <c r="N1" s="955" t="s">
        <v>549</v>
      </c>
      <c r="O1" s="955"/>
      <c r="P1" s="931" t="s">
        <v>515</v>
      </c>
      <c r="Q1" s="931"/>
      <c r="R1" s="932" t="s">
        <v>552</v>
      </c>
      <c r="S1" s="932"/>
      <c r="T1" s="955" t="s">
        <v>549</v>
      </c>
      <c r="U1" s="955"/>
      <c r="V1" s="931" t="s">
        <v>515</v>
      </c>
      <c r="W1" s="931"/>
      <c r="X1" s="932" t="s">
        <v>907</v>
      </c>
      <c r="Y1" s="932"/>
      <c r="Z1" s="955" t="s">
        <v>549</v>
      </c>
      <c r="AA1" s="955"/>
      <c r="AB1" s="931" t="s">
        <v>515</v>
      </c>
      <c r="AC1" s="931"/>
      <c r="AD1" s="932" t="s">
        <v>591</v>
      </c>
      <c r="AE1" s="932"/>
      <c r="AF1" s="955" t="s">
        <v>549</v>
      </c>
      <c r="AG1" s="955"/>
      <c r="AH1" s="931" t="s">
        <v>515</v>
      </c>
      <c r="AI1" s="931"/>
      <c r="AJ1" s="932" t="s">
        <v>906</v>
      </c>
      <c r="AK1" s="932"/>
      <c r="AL1" s="955" t="s">
        <v>626</v>
      </c>
      <c r="AM1" s="955"/>
      <c r="AN1" s="931" t="s">
        <v>627</v>
      </c>
      <c r="AO1" s="931"/>
      <c r="AP1" s="932" t="s">
        <v>621</v>
      </c>
      <c r="AQ1" s="932"/>
      <c r="AR1" s="955" t="s">
        <v>549</v>
      </c>
      <c r="AS1" s="955"/>
      <c r="AT1" s="931" t="s">
        <v>515</v>
      </c>
      <c r="AU1" s="931"/>
      <c r="AV1" s="932" t="s">
        <v>905</v>
      </c>
      <c r="AW1" s="932"/>
      <c r="AX1" s="955" t="s">
        <v>549</v>
      </c>
      <c r="AY1" s="955"/>
      <c r="AZ1" s="931" t="s">
        <v>515</v>
      </c>
      <c r="BA1" s="931"/>
      <c r="BB1" s="932" t="s">
        <v>653</v>
      </c>
      <c r="BC1" s="932"/>
      <c r="BD1" s="955" t="s">
        <v>549</v>
      </c>
      <c r="BE1" s="955"/>
      <c r="BF1" s="931" t="s">
        <v>515</v>
      </c>
      <c r="BG1" s="931"/>
      <c r="BH1" s="932" t="s">
        <v>904</v>
      </c>
      <c r="BI1" s="932"/>
      <c r="BJ1" s="955" t="s">
        <v>549</v>
      </c>
      <c r="BK1" s="955"/>
      <c r="BL1" s="931" t="s">
        <v>515</v>
      </c>
      <c r="BM1" s="931"/>
      <c r="BN1" s="932" t="s">
        <v>921</v>
      </c>
      <c r="BO1" s="932"/>
      <c r="BP1" s="955" t="s">
        <v>549</v>
      </c>
      <c r="BQ1" s="955"/>
      <c r="BR1" s="931" t="s">
        <v>515</v>
      </c>
      <c r="BS1" s="931"/>
      <c r="BT1" s="932" t="s">
        <v>903</v>
      </c>
      <c r="BU1" s="932"/>
      <c r="BV1" s="955" t="s">
        <v>704</v>
      </c>
      <c r="BW1" s="955"/>
      <c r="BX1" s="931" t="s">
        <v>705</v>
      </c>
      <c r="BY1" s="931"/>
      <c r="BZ1" s="932" t="s">
        <v>703</v>
      </c>
      <c r="CA1" s="932"/>
      <c r="CB1" s="955" t="s">
        <v>730</v>
      </c>
      <c r="CC1" s="955"/>
      <c r="CD1" s="931" t="s">
        <v>731</v>
      </c>
      <c r="CE1" s="931"/>
      <c r="CF1" s="932" t="s">
        <v>902</v>
      </c>
      <c r="CG1" s="932"/>
      <c r="CH1" s="955" t="s">
        <v>730</v>
      </c>
      <c r="CI1" s="955"/>
      <c r="CJ1" s="931" t="s">
        <v>731</v>
      </c>
      <c r="CK1" s="931"/>
      <c r="CL1" s="932" t="s">
        <v>748</v>
      </c>
      <c r="CM1" s="932"/>
      <c r="CN1" s="955" t="s">
        <v>730</v>
      </c>
      <c r="CO1" s="955"/>
      <c r="CP1" s="931" t="s">
        <v>731</v>
      </c>
      <c r="CQ1" s="931"/>
      <c r="CR1" s="932" t="s">
        <v>901</v>
      </c>
      <c r="CS1" s="932"/>
      <c r="CT1" s="955" t="s">
        <v>730</v>
      </c>
      <c r="CU1" s="955"/>
      <c r="CV1" s="959" t="s">
        <v>731</v>
      </c>
      <c r="CW1" s="959"/>
      <c r="CX1" s="932" t="s">
        <v>769</v>
      </c>
      <c r="CY1" s="932"/>
      <c r="CZ1" s="955" t="s">
        <v>730</v>
      </c>
      <c r="DA1" s="955"/>
      <c r="DB1" s="959" t="s">
        <v>731</v>
      </c>
      <c r="DC1" s="959"/>
      <c r="DD1" s="932" t="s">
        <v>900</v>
      </c>
      <c r="DE1" s="932"/>
      <c r="DF1" s="955" t="s">
        <v>816</v>
      </c>
      <c r="DG1" s="955"/>
      <c r="DH1" s="959" t="s">
        <v>817</v>
      </c>
      <c r="DI1" s="959"/>
      <c r="DJ1" s="932" t="s">
        <v>809</v>
      </c>
      <c r="DK1" s="932"/>
      <c r="DL1" s="955" t="s">
        <v>816</v>
      </c>
      <c r="DM1" s="955"/>
      <c r="DN1" s="959" t="s">
        <v>731</v>
      </c>
      <c r="DO1" s="959"/>
      <c r="DP1" s="932" t="s">
        <v>899</v>
      </c>
      <c r="DQ1" s="932"/>
      <c r="DR1" s="955" t="s">
        <v>816</v>
      </c>
      <c r="DS1" s="955"/>
      <c r="DT1" s="959" t="s">
        <v>731</v>
      </c>
      <c r="DU1" s="959"/>
      <c r="DV1" s="932" t="s">
        <v>898</v>
      </c>
      <c r="DW1" s="932"/>
      <c r="DX1" s="955" t="s">
        <v>816</v>
      </c>
      <c r="DY1" s="955"/>
      <c r="DZ1" s="959" t="s">
        <v>731</v>
      </c>
      <c r="EA1" s="959"/>
      <c r="EB1" s="932" t="s">
        <v>897</v>
      </c>
      <c r="EC1" s="932"/>
      <c r="ED1" s="955" t="s">
        <v>816</v>
      </c>
      <c r="EE1" s="955"/>
      <c r="EF1" s="959" t="s">
        <v>731</v>
      </c>
      <c r="EG1" s="959"/>
      <c r="EH1" s="932" t="s">
        <v>883</v>
      </c>
      <c r="EI1" s="932"/>
      <c r="EJ1" s="955" t="s">
        <v>816</v>
      </c>
      <c r="EK1" s="955"/>
      <c r="EL1" s="959" t="s">
        <v>936</v>
      </c>
      <c r="EM1" s="959"/>
      <c r="EN1" s="932" t="s">
        <v>922</v>
      </c>
      <c r="EO1" s="932"/>
      <c r="EP1" s="955" t="s">
        <v>816</v>
      </c>
      <c r="EQ1" s="955"/>
      <c r="ER1" s="959" t="s">
        <v>950</v>
      </c>
      <c r="ES1" s="959"/>
      <c r="ET1" s="932" t="s">
        <v>937</v>
      </c>
      <c r="EU1" s="932"/>
      <c r="EV1" s="955" t="s">
        <v>816</v>
      </c>
      <c r="EW1" s="955"/>
      <c r="EX1" s="959" t="s">
        <v>530</v>
      </c>
      <c r="EY1" s="959"/>
      <c r="EZ1" s="932" t="s">
        <v>952</v>
      </c>
      <c r="FA1" s="932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58" t="s">
        <v>779</v>
      </c>
      <c r="CU7" s="932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58" t="s">
        <v>778</v>
      </c>
      <c r="DA8" s="932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58" t="s">
        <v>778</v>
      </c>
      <c r="DG8" s="932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58" t="s">
        <v>778</v>
      </c>
      <c r="DM8" s="932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58" t="s">
        <v>778</v>
      </c>
      <c r="DS8" s="932"/>
      <c r="DT8" s="142" t="s">
        <v>783</v>
      </c>
      <c r="DU8" s="142">
        <f>SUM(DU13:DU17)</f>
        <v>32</v>
      </c>
      <c r="DV8" s="63"/>
      <c r="DW8" s="63"/>
      <c r="DX8" s="958" t="s">
        <v>778</v>
      </c>
      <c r="DY8" s="93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58" t="s">
        <v>928</v>
      </c>
      <c r="EK8" s="93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58" t="s">
        <v>928</v>
      </c>
      <c r="EQ9" s="932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58" t="s">
        <v>928</v>
      </c>
      <c r="EW9" s="932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58" t="s">
        <v>928</v>
      </c>
      <c r="EE11" s="932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58" t="s">
        <v>778</v>
      </c>
      <c r="CU12" s="93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21" t="s">
        <v>782</v>
      </c>
      <c r="CU19" s="92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44" t="s">
        <v>858</v>
      </c>
      <c r="FA21" s="944"/>
      <c r="FC21" s="238">
        <f>FC20-FC22</f>
        <v>113457.16899999997</v>
      </c>
      <c r="FD21" s="230"/>
      <c r="FE21" s="960" t="s">
        <v>1546</v>
      </c>
      <c r="FF21" s="960"/>
      <c r="FG21" s="96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44" t="s">
        <v>871</v>
      </c>
      <c r="FA22" s="94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44" t="s">
        <v>1000</v>
      </c>
      <c r="FA23" s="94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44" t="s">
        <v>1076</v>
      </c>
      <c r="FA24" s="94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56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5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5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57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abSelected="1" topLeftCell="KD1" zoomScaleNormal="100" workbookViewId="0">
      <selection activeCell="KJ22" sqref="KJ22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9.1406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6.85546875" style="853" bestFit="1" customWidth="1"/>
    <col min="297" max="297" width="8.42578125" style="853" customWidth="1"/>
  </cols>
  <sheetData>
    <row r="1" spans="1:297" s="142" customFormat="1">
      <c r="A1" s="967" t="s">
        <v>1209</v>
      </c>
      <c r="B1" s="967"/>
      <c r="C1" s="929" t="s">
        <v>292</v>
      </c>
      <c r="D1" s="929"/>
      <c r="E1" s="927" t="s">
        <v>1010</v>
      </c>
      <c r="F1" s="927"/>
      <c r="G1" s="967" t="s">
        <v>1210</v>
      </c>
      <c r="H1" s="967"/>
      <c r="I1" s="929" t="s">
        <v>292</v>
      </c>
      <c r="J1" s="929"/>
      <c r="K1" s="927" t="s">
        <v>1011</v>
      </c>
      <c r="L1" s="927"/>
      <c r="M1" s="967" t="s">
        <v>1211</v>
      </c>
      <c r="N1" s="967"/>
      <c r="O1" s="929" t="s">
        <v>292</v>
      </c>
      <c r="P1" s="929"/>
      <c r="Q1" s="927" t="s">
        <v>1057</v>
      </c>
      <c r="R1" s="927"/>
      <c r="S1" s="967" t="s">
        <v>1212</v>
      </c>
      <c r="T1" s="967"/>
      <c r="U1" s="929" t="s">
        <v>292</v>
      </c>
      <c r="V1" s="929"/>
      <c r="W1" s="927" t="s">
        <v>627</v>
      </c>
      <c r="X1" s="927"/>
      <c r="Y1" s="967" t="s">
        <v>1213</v>
      </c>
      <c r="Z1" s="967"/>
      <c r="AA1" s="929" t="s">
        <v>292</v>
      </c>
      <c r="AB1" s="929"/>
      <c r="AC1" s="927" t="s">
        <v>1084</v>
      </c>
      <c r="AD1" s="927"/>
      <c r="AE1" s="967" t="s">
        <v>1214</v>
      </c>
      <c r="AF1" s="967"/>
      <c r="AG1" s="929" t="s">
        <v>292</v>
      </c>
      <c r="AH1" s="929"/>
      <c r="AI1" s="927" t="s">
        <v>1134</v>
      </c>
      <c r="AJ1" s="927"/>
      <c r="AK1" s="967" t="s">
        <v>1217</v>
      </c>
      <c r="AL1" s="967"/>
      <c r="AM1" s="929" t="s">
        <v>1132</v>
      </c>
      <c r="AN1" s="929"/>
      <c r="AO1" s="927" t="s">
        <v>1133</v>
      </c>
      <c r="AP1" s="927"/>
      <c r="AQ1" s="967" t="s">
        <v>1218</v>
      </c>
      <c r="AR1" s="967"/>
      <c r="AS1" s="929" t="s">
        <v>1132</v>
      </c>
      <c r="AT1" s="929"/>
      <c r="AU1" s="927" t="s">
        <v>1178</v>
      </c>
      <c r="AV1" s="927"/>
      <c r="AW1" s="967" t="s">
        <v>1215</v>
      </c>
      <c r="AX1" s="967"/>
      <c r="AY1" s="927" t="s">
        <v>1241</v>
      </c>
      <c r="AZ1" s="927"/>
      <c r="BA1" s="967" t="s">
        <v>1215</v>
      </c>
      <c r="BB1" s="967"/>
      <c r="BC1" s="929" t="s">
        <v>816</v>
      </c>
      <c r="BD1" s="929"/>
      <c r="BE1" s="927" t="s">
        <v>1208</v>
      </c>
      <c r="BF1" s="927"/>
      <c r="BG1" s="967" t="s">
        <v>1216</v>
      </c>
      <c r="BH1" s="967"/>
      <c r="BI1" s="929" t="s">
        <v>816</v>
      </c>
      <c r="BJ1" s="929"/>
      <c r="BK1" s="927" t="s">
        <v>1208</v>
      </c>
      <c r="BL1" s="927"/>
      <c r="BM1" s="967" t="s">
        <v>1226</v>
      </c>
      <c r="BN1" s="967"/>
      <c r="BO1" s="929" t="s">
        <v>816</v>
      </c>
      <c r="BP1" s="929"/>
      <c r="BQ1" s="927" t="s">
        <v>1244</v>
      </c>
      <c r="BR1" s="927"/>
      <c r="BS1" s="967" t="s">
        <v>1243</v>
      </c>
      <c r="BT1" s="967"/>
      <c r="BU1" s="929" t="s">
        <v>816</v>
      </c>
      <c r="BV1" s="929"/>
      <c r="BW1" s="927" t="s">
        <v>1248</v>
      </c>
      <c r="BX1" s="927"/>
      <c r="BY1" s="967" t="s">
        <v>1270</v>
      </c>
      <c r="BZ1" s="967"/>
      <c r="CA1" s="929" t="s">
        <v>816</v>
      </c>
      <c r="CB1" s="929"/>
      <c r="CC1" s="927" t="s">
        <v>1244</v>
      </c>
      <c r="CD1" s="927"/>
      <c r="CE1" s="967" t="s">
        <v>1291</v>
      </c>
      <c r="CF1" s="967"/>
      <c r="CG1" s="929" t="s">
        <v>816</v>
      </c>
      <c r="CH1" s="929"/>
      <c r="CI1" s="927" t="s">
        <v>1248</v>
      </c>
      <c r="CJ1" s="927"/>
      <c r="CK1" s="967" t="s">
        <v>1307</v>
      </c>
      <c r="CL1" s="967"/>
      <c r="CM1" s="929" t="s">
        <v>816</v>
      </c>
      <c r="CN1" s="929"/>
      <c r="CO1" s="927" t="s">
        <v>1244</v>
      </c>
      <c r="CP1" s="927"/>
      <c r="CQ1" s="967" t="s">
        <v>1335</v>
      </c>
      <c r="CR1" s="967"/>
      <c r="CS1" s="963" t="s">
        <v>816</v>
      </c>
      <c r="CT1" s="963"/>
      <c r="CU1" s="927" t="s">
        <v>1391</v>
      </c>
      <c r="CV1" s="927"/>
      <c r="CW1" s="967" t="s">
        <v>1374</v>
      </c>
      <c r="CX1" s="967"/>
      <c r="CY1" s="963" t="s">
        <v>816</v>
      </c>
      <c r="CZ1" s="963"/>
      <c r="DA1" s="927" t="s">
        <v>1597</v>
      </c>
      <c r="DB1" s="927"/>
      <c r="DC1" s="967" t="s">
        <v>1394</v>
      </c>
      <c r="DD1" s="967"/>
      <c r="DE1" s="963" t="s">
        <v>816</v>
      </c>
      <c r="DF1" s="963"/>
      <c r="DG1" s="927" t="s">
        <v>1491</v>
      </c>
      <c r="DH1" s="927"/>
      <c r="DI1" s="967" t="s">
        <v>1594</v>
      </c>
      <c r="DJ1" s="967"/>
      <c r="DK1" s="963" t="s">
        <v>816</v>
      </c>
      <c r="DL1" s="963"/>
      <c r="DM1" s="927" t="s">
        <v>1391</v>
      </c>
      <c r="DN1" s="927"/>
      <c r="DO1" s="967" t="s">
        <v>1595</v>
      </c>
      <c r="DP1" s="967"/>
      <c r="DQ1" s="963" t="s">
        <v>816</v>
      </c>
      <c r="DR1" s="963"/>
      <c r="DS1" s="927" t="s">
        <v>1590</v>
      </c>
      <c r="DT1" s="927"/>
      <c r="DU1" s="967" t="s">
        <v>1596</v>
      </c>
      <c r="DV1" s="967"/>
      <c r="DW1" s="963" t="s">
        <v>816</v>
      </c>
      <c r="DX1" s="963"/>
      <c r="DY1" s="927" t="s">
        <v>1616</v>
      </c>
      <c r="DZ1" s="927"/>
      <c r="EA1" s="962" t="s">
        <v>1611</v>
      </c>
      <c r="EB1" s="962"/>
      <c r="EC1" s="963" t="s">
        <v>816</v>
      </c>
      <c r="ED1" s="963"/>
      <c r="EE1" s="927" t="s">
        <v>1590</v>
      </c>
      <c r="EF1" s="927"/>
      <c r="EG1" s="361"/>
      <c r="EH1" s="962" t="s">
        <v>1641</v>
      </c>
      <c r="EI1" s="962"/>
      <c r="EJ1" s="963" t="s">
        <v>816</v>
      </c>
      <c r="EK1" s="963"/>
      <c r="EL1" s="927" t="s">
        <v>1675</v>
      </c>
      <c r="EM1" s="927"/>
      <c r="EN1" s="962" t="s">
        <v>1666</v>
      </c>
      <c r="EO1" s="962"/>
      <c r="EP1" s="963" t="s">
        <v>816</v>
      </c>
      <c r="EQ1" s="963"/>
      <c r="ER1" s="927" t="s">
        <v>1715</v>
      </c>
      <c r="ES1" s="927"/>
      <c r="ET1" s="962" t="s">
        <v>1708</v>
      </c>
      <c r="EU1" s="962"/>
      <c r="EV1" s="963" t="s">
        <v>816</v>
      </c>
      <c r="EW1" s="963"/>
      <c r="EX1" s="927" t="s">
        <v>1616</v>
      </c>
      <c r="EY1" s="927"/>
      <c r="EZ1" s="962" t="s">
        <v>1743</v>
      </c>
      <c r="FA1" s="962"/>
      <c r="FB1" s="963" t="s">
        <v>816</v>
      </c>
      <c r="FC1" s="963"/>
      <c r="FD1" s="927" t="s">
        <v>1597</v>
      </c>
      <c r="FE1" s="927"/>
      <c r="FF1" s="962" t="s">
        <v>1782</v>
      </c>
      <c r="FG1" s="962"/>
      <c r="FH1" s="963" t="s">
        <v>816</v>
      </c>
      <c r="FI1" s="963"/>
      <c r="FJ1" s="927" t="s">
        <v>1391</v>
      </c>
      <c r="FK1" s="927"/>
      <c r="FL1" s="962" t="s">
        <v>1817</v>
      </c>
      <c r="FM1" s="962"/>
      <c r="FN1" s="963" t="s">
        <v>816</v>
      </c>
      <c r="FO1" s="963"/>
      <c r="FP1" s="927" t="s">
        <v>1864</v>
      </c>
      <c r="FQ1" s="927"/>
      <c r="FR1" s="962" t="s">
        <v>1853</v>
      </c>
      <c r="FS1" s="962"/>
      <c r="FT1" s="963" t="s">
        <v>816</v>
      </c>
      <c r="FU1" s="963"/>
      <c r="FV1" s="927" t="s">
        <v>1864</v>
      </c>
      <c r="FW1" s="927"/>
      <c r="FX1" s="962" t="s">
        <v>1996</v>
      </c>
      <c r="FY1" s="962"/>
      <c r="FZ1" s="963" t="s">
        <v>816</v>
      </c>
      <c r="GA1" s="963"/>
      <c r="GB1" s="927" t="s">
        <v>1616</v>
      </c>
      <c r="GC1" s="927"/>
      <c r="GD1" s="962" t="s">
        <v>1997</v>
      </c>
      <c r="GE1" s="962"/>
      <c r="GF1" s="963" t="s">
        <v>816</v>
      </c>
      <c r="GG1" s="963"/>
      <c r="GH1" s="927" t="s">
        <v>1590</v>
      </c>
      <c r="GI1" s="927"/>
      <c r="GJ1" s="962" t="s">
        <v>2006</v>
      </c>
      <c r="GK1" s="962"/>
      <c r="GL1" s="963" t="s">
        <v>816</v>
      </c>
      <c r="GM1" s="963"/>
      <c r="GN1" s="927" t="s">
        <v>1590</v>
      </c>
      <c r="GO1" s="927"/>
      <c r="GP1" s="962" t="s">
        <v>2048</v>
      </c>
      <c r="GQ1" s="962"/>
      <c r="GR1" s="963" t="s">
        <v>816</v>
      </c>
      <c r="GS1" s="963"/>
      <c r="GT1" s="927" t="s">
        <v>1675</v>
      </c>
      <c r="GU1" s="927"/>
      <c r="GV1" s="962" t="s">
        <v>2082</v>
      </c>
      <c r="GW1" s="962"/>
      <c r="GX1" s="963" t="s">
        <v>816</v>
      </c>
      <c r="GY1" s="963"/>
      <c r="GZ1" s="927" t="s">
        <v>2121</v>
      </c>
      <c r="HA1" s="927"/>
      <c r="HB1" s="962" t="s">
        <v>2141</v>
      </c>
      <c r="HC1" s="962"/>
      <c r="HD1" s="963" t="s">
        <v>816</v>
      </c>
      <c r="HE1" s="963"/>
      <c r="HF1" s="927" t="s">
        <v>1715</v>
      </c>
      <c r="HG1" s="927"/>
      <c r="HH1" s="962" t="s">
        <v>2154</v>
      </c>
      <c r="HI1" s="962"/>
      <c r="HJ1" s="963" t="s">
        <v>816</v>
      </c>
      <c r="HK1" s="963"/>
      <c r="HL1" s="927" t="s">
        <v>1391</v>
      </c>
      <c r="HM1" s="927"/>
      <c r="HN1" s="962" t="s">
        <v>2200</v>
      </c>
      <c r="HO1" s="962"/>
      <c r="HP1" s="963" t="s">
        <v>816</v>
      </c>
      <c r="HQ1" s="963"/>
      <c r="HR1" s="927" t="s">
        <v>1391</v>
      </c>
      <c r="HS1" s="927"/>
      <c r="HT1" s="962" t="s">
        <v>2242</v>
      </c>
      <c r="HU1" s="962"/>
      <c r="HV1" s="963" t="s">
        <v>816</v>
      </c>
      <c r="HW1" s="963"/>
      <c r="HX1" s="927" t="s">
        <v>1616</v>
      </c>
      <c r="HY1" s="927"/>
      <c r="HZ1" s="962" t="s">
        <v>2298</v>
      </c>
      <c r="IA1" s="962"/>
      <c r="IB1" s="963" t="s">
        <v>816</v>
      </c>
      <c r="IC1" s="963"/>
      <c r="ID1" s="927" t="s">
        <v>1715</v>
      </c>
      <c r="IE1" s="927"/>
      <c r="IF1" s="962" t="s">
        <v>2365</v>
      </c>
      <c r="IG1" s="962"/>
      <c r="IH1" s="963" t="s">
        <v>816</v>
      </c>
      <c r="II1" s="963"/>
      <c r="IJ1" s="927" t="s">
        <v>1590</v>
      </c>
      <c r="IK1" s="927"/>
      <c r="IL1" s="962" t="s">
        <v>2440</v>
      </c>
      <c r="IM1" s="962"/>
      <c r="IN1" s="963" t="s">
        <v>816</v>
      </c>
      <c r="IO1" s="963"/>
      <c r="IP1" s="927" t="s">
        <v>1616</v>
      </c>
      <c r="IQ1" s="927"/>
      <c r="IR1" s="962" t="s">
        <v>2655</v>
      </c>
      <c r="IS1" s="962"/>
      <c r="IT1" s="963" t="s">
        <v>816</v>
      </c>
      <c r="IU1" s="963"/>
      <c r="IV1" s="927" t="s">
        <v>1748</v>
      </c>
      <c r="IW1" s="927"/>
      <c r="IX1" s="962" t="s">
        <v>2654</v>
      </c>
      <c r="IY1" s="962"/>
      <c r="IZ1" s="963" t="s">
        <v>816</v>
      </c>
      <c r="JA1" s="963"/>
      <c r="JB1" s="927" t="s">
        <v>1864</v>
      </c>
      <c r="JC1" s="927"/>
      <c r="JD1" s="962" t="s">
        <v>2701</v>
      </c>
      <c r="JE1" s="962"/>
      <c r="JF1" s="963" t="s">
        <v>816</v>
      </c>
      <c r="JG1" s="963"/>
      <c r="JH1" s="927" t="s">
        <v>1748</v>
      </c>
      <c r="JI1" s="927"/>
      <c r="JJ1" s="962" t="s">
        <v>2763</v>
      </c>
      <c r="JK1" s="962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2987</v>
      </c>
      <c r="KC1" s="869"/>
      <c r="KD1" s="855" t="s">
        <v>816</v>
      </c>
      <c r="KE1" s="855"/>
      <c r="KF1" s="852" t="s">
        <v>1748</v>
      </c>
      <c r="KG1" s="852"/>
      <c r="KH1" s="854" t="s">
        <v>2988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SUM(KC3:KC28)</f>
        <v>314154.64</v>
      </c>
      <c r="KD2" s="853" t="s">
        <v>295</v>
      </c>
      <c r="KE2" s="492">
        <f>SUM(KE4:KE26)</f>
        <v>71520.264999999985</v>
      </c>
      <c r="KF2" s="334" t="s">
        <v>296</v>
      </c>
      <c r="KG2" s="273">
        <f>KE2+KC2-KI2</f>
        <v>68217.475000000035</v>
      </c>
      <c r="KH2" s="853" t="s">
        <v>1911</v>
      </c>
      <c r="KI2" s="363">
        <f>SUM(KI3:KI32)</f>
        <v>317457.43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6" t="s">
        <v>3025</v>
      </c>
      <c r="KC3" s="268">
        <v>-71000</v>
      </c>
      <c r="KE3" s="492"/>
      <c r="KF3" s="853" t="s">
        <v>2395</v>
      </c>
      <c r="KG3" s="273">
        <f>KG2-KE32-KE31</f>
        <v>1342.1150000000343</v>
      </c>
      <c r="KH3" s="886" t="s">
        <v>3026</v>
      </c>
      <c r="KI3" s="268">
        <f>-140000</f>
        <v>-140000</v>
      </c>
    </row>
    <row r="4" spans="1:297" ht="12.75" customHeight="1" thickBot="1">
      <c r="A4" s="924" t="s">
        <v>991</v>
      </c>
      <c r="B4" s="924"/>
      <c r="E4" s="170" t="s">
        <v>233</v>
      </c>
      <c r="F4" s="174">
        <f>F3-F5</f>
        <v>17</v>
      </c>
      <c r="G4" s="924" t="s">
        <v>991</v>
      </c>
      <c r="H4" s="924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2993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6" t="s">
        <v>3026</v>
      </c>
      <c r="KC4" s="268">
        <f>-140000</f>
        <v>-140000</v>
      </c>
      <c r="KD4" s="853" t="s">
        <v>633</v>
      </c>
      <c r="KE4" s="541"/>
      <c r="KF4" s="853" t="s">
        <v>1203</v>
      </c>
      <c r="KG4" s="286">
        <f>KG2-KG5</f>
        <v>3.500000003259629E-2</v>
      </c>
      <c r="KH4" s="886" t="s">
        <v>2789</v>
      </c>
      <c r="KI4" s="268">
        <f>-135000-70600</f>
        <v>-205600</v>
      </c>
      <c r="KJ4" s="607"/>
    </row>
    <row r="5" spans="1:297">
      <c r="A5" s="924"/>
      <c r="B5" s="924"/>
      <c r="E5" s="170" t="s">
        <v>352</v>
      </c>
      <c r="F5" s="174">
        <f>SUM(F15:F58)</f>
        <v>12750</v>
      </c>
      <c r="G5" s="924"/>
      <c r="H5" s="924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2972</v>
      </c>
      <c r="JY5" s="541">
        <v>-30</v>
      </c>
      <c r="JZ5" s="796" t="s">
        <v>352</v>
      </c>
      <c r="KA5" s="273">
        <f>SUM(KA6:KA73)</f>
        <v>20398.781431282358</v>
      </c>
      <c r="KB5" s="886" t="s">
        <v>3027</v>
      </c>
      <c r="KC5" s="268">
        <f>-135000</f>
        <v>-135000</v>
      </c>
      <c r="KD5" s="853" t="s">
        <v>2983</v>
      </c>
      <c r="KE5" s="541"/>
      <c r="KF5" s="853" t="s">
        <v>352</v>
      </c>
      <c r="KG5" s="273">
        <f>SUM(KG6:KG50)</f>
        <v>68217.440000000002</v>
      </c>
      <c r="KH5" s="858" t="s">
        <v>2672</v>
      </c>
      <c r="KI5" s="442">
        <v>-82000</v>
      </c>
      <c r="KJ5" s="607">
        <v>45155</v>
      </c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2951</v>
      </c>
      <c r="JQ6" s="442"/>
      <c r="JR6" s="757" t="s">
        <v>2658</v>
      </c>
      <c r="JS6" s="541" t="s">
        <v>2832</v>
      </c>
      <c r="JT6" s="815" t="s">
        <v>2936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5" t="s">
        <v>2672</v>
      </c>
      <c r="KC6" s="442">
        <v>-82000</v>
      </c>
      <c r="KD6" s="853" t="s">
        <v>3035</v>
      </c>
      <c r="KE6" s="541">
        <v>-107.13</v>
      </c>
      <c r="KF6" s="815" t="s">
        <v>1002</v>
      </c>
      <c r="KG6" s="580"/>
      <c r="KH6" s="857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866" t="s">
        <v>2671</v>
      </c>
      <c r="KC7" s="268">
        <v>-4000</v>
      </c>
      <c r="KD7" s="853" t="s">
        <v>2601</v>
      </c>
      <c r="KE7" s="492"/>
      <c r="KF7" s="389" t="s">
        <v>1863</v>
      </c>
      <c r="KG7" s="61"/>
      <c r="KH7" s="853" t="s">
        <v>2805</v>
      </c>
      <c r="KI7" s="268">
        <v>535009</v>
      </c>
      <c r="KJ7" s="606">
        <v>45155</v>
      </c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2965</v>
      </c>
      <c r="JY8" s="541">
        <v>60</v>
      </c>
      <c r="JZ8" s="815" t="s">
        <v>1002</v>
      </c>
      <c r="KA8" s="861">
        <v>1900.08</v>
      </c>
      <c r="KB8" s="861" t="s">
        <v>2805</v>
      </c>
      <c r="KC8" s="268">
        <v>640008</v>
      </c>
      <c r="KE8" s="492"/>
      <c r="KF8" s="346" t="s">
        <v>1863</v>
      </c>
      <c r="KH8" s="915" t="s">
        <v>3060</v>
      </c>
      <c r="KI8" s="442">
        <v>7000</v>
      </c>
      <c r="KJ8" s="606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2989</v>
      </c>
      <c r="KA9" s="61">
        <f>27+270.45+2700</f>
        <v>2997.45</v>
      </c>
      <c r="KB9" s="320" t="s">
        <v>2464</v>
      </c>
      <c r="KC9" s="403">
        <v>0</v>
      </c>
      <c r="KD9" s="853" t="s">
        <v>3055</v>
      </c>
      <c r="KE9" s="541">
        <f>-KC3</f>
        <v>71000</v>
      </c>
      <c r="KF9" s="346" t="s">
        <v>1863</v>
      </c>
      <c r="KG9" s="61"/>
      <c r="KH9" s="882" t="s">
        <v>3024</v>
      </c>
      <c r="KI9" s="442">
        <v>200004</v>
      </c>
      <c r="KJ9" s="606">
        <v>45155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2967</v>
      </c>
      <c r="JY10" s="514"/>
      <c r="JZ10" s="389" t="s">
        <v>3030</v>
      </c>
      <c r="KA10" s="61">
        <v>5.99</v>
      </c>
      <c r="KB10" s="205" t="s">
        <v>2959</v>
      </c>
      <c r="KC10" s="359">
        <v>-166</v>
      </c>
      <c r="KD10" s="853" t="s">
        <v>3054</v>
      </c>
      <c r="KE10" s="494"/>
      <c r="KF10" s="346" t="s">
        <v>1863</v>
      </c>
      <c r="KH10" s="857" t="s">
        <v>2921</v>
      </c>
      <c r="KI10" s="268">
        <v>1719</v>
      </c>
      <c r="KJ10" s="606">
        <v>45154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2954</v>
      </c>
      <c r="JY11" s="725">
        <f>55.87+0.96</f>
        <v>56.83</v>
      </c>
      <c r="JZ11" s="346" t="s">
        <v>2945</v>
      </c>
      <c r="KA11" s="796">
        <v>29.9</v>
      </c>
      <c r="KB11" s="865" t="s">
        <v>1630</v>
      </c>
      <c r="KC11" s="442">
        <v>-217</v>
      </c>
      <c r="KD11" s="906"/>
      <c r="KE11" s="494"/>
      <c r="KF11" s="245" t="s">
        <v>2992</v>
      </c>
      <c r="KG11" s="492">
        <v>64875.360000000001</v>
      </c>
      <c r="KH11" s="254" t="s">
        <v>2928</v>
      </c>
      <c r="KI11" s="605"/>
      <c r="KJ11" s="606"/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3" t="s">
        <v>2790</v>
      </c>
      <c r="KC12" s="268">
        <v>2600</v>
      </c>
      <c r="KD12" s="853" t="s">
        <v>2967</v>
      </c>
      <c r="KE12" s="514"/>
      <c r="KF12" s="245" t="s">
        <v>2991</v>
      </c>
      <c r="KG12" s="492"/>
      <c r="KH12" s="320" t="s">
        <v>2464</v>
      </c>
      <c r="KI12" s="403">
        <v>30</v>
      </c>
      <c r="KJ12" s="606"/>
      <c r="KK12" s="442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2932</v>
      </c>
      <c r="JY13" s="726">
        <v>7.95</v>
      </c>
      <c r="JZ13" s="346" t="s">
        <v>2918</v>
      </c>
      <c r="KA13" s="61">
        <v>2062.8000000000002</v>
      </c>
      <c r="KB13" s="866" t="s">
        <v>2791</v>
      </c>
      <c r="KC13" s="268">
        <v>765</v>
      </c>
      <c r="KD13" s="880" t="s">
        <v>3021</v>
      </c>
      <c r="KE13" s="493">
        <f>1.5%*519</f>
        <v>7.7850000000000001</v>
      </c>
      <c r="KF13" s="245" t="s">
        <v>3058</v>
      </c>
      <c r="KG13" s="492">
        <v>2000</v>
      </c>
      <c r="KH13" s="205" t="s">
        <v>3021</v>
      </c>
      <c r="KI13" s="403">
        <v>7.79</v>
      </c>
      <c r="KJ13" s="606"/>
      <c r="KK13" s="517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32" t="s">
        <v>2185</v>
      </c>
      <c r="HK14" s="932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2946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2949</v>
      </c>
      <c r="JY14" s="726"/>
      <c r="JZ14" s="346" t="s">
        <v>2682</v>
      </c>
      <c r="KA14" s="796">
        <f>259.2+410.4</f>
        <v>669.59999999999991</v>
      </c>
      <c r="KB14" s="866" t="s">
        <v>2792</v>
      </c>
      <c r="KC14" s="517">
        <v>1438</v>
      </c>
      <c r="KD14" s="853" t="s">
        <v>2982</v>
      </c>
      <c r="KE14" s="725">
        <v>46</v>
      </c>
      <c r="KF14" s="345" t="s">
        <v>2550</v>
      </c>
      <c r="KG14" s="61" t="s">
        <v>3034</v>
      </c>
      <c r="KH14" s="205" t="s">
        <v>2959</v>
      </c>
      <c r="KI14" s="359">
        <v>-120</v>
      </c>
      <c r="KJ14" s="606"/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75" t="s">
        <v>1504</v>
      </c>
      <c r="DP15" s="97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2921</v>
      </c>
      <c r="KC15" s="268">
        <v>100491</v>
      </c>
      <c r="KD15" s="853" t="s">
        <v>1799</v>
      </c>
      <c r="KE15" s="725">
        <v>13.54</v>
      </c>
      <c r="KF15" s="345" t="s">
        <v>2897</v>
      </c>
      <c r="KG15" s="61"/>
      <c r="KH15" s="858" t="s">
        <v>1630</v>
      </c>
      <c r="KI15" s="442">
        <v>-772</v>
      </c>
      <c r="KJ15" s="606">
        <v>45148</v>
      </c>
      <c r="KK15" s="268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2966</v>
      </c>
      <c r="JY16" s="726"/>
      <c r="JZ16" s="346" t="s">
        <v>2933</v>
      </c>
      <c r="KA16" s="838">
        <f>6.8+7.8</f>
        <v>14.6</v>
      </c>
      <c r="KB16" s="254" t="s">
        <v>2928</v>
      </c>
      <c r="KC16" s="605"/>
      <c r="KD16" s="9" t="s">
        <v>2932</v>
      </c>
      <c r="KE16" s="726"/>
      <c r="KF16" s="345" t="s">
        <v>2618</v>
      </c>
      <c r="KG16" s="534"/>
      <c r="KH16" s="856" t="s">
        <v>2790</v>
      </c>
      <c r="KI16" s="268">
        <v>2600</v>
      </c>
      <c r="KJ16" s="606">
        <v>45155</v>
      </c>
      <c r="KK16" s="517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6" t="s">
        <v>2795</v>
      </c>
      <c r="KC17" s="268">
        <v>0</v>
      </c>
      <c r="KD17" s="961" t="s">
        <v>2984</v>
      </c>
      <c r="KE17" s="961"/>
      <c r="KF17" s="345" t="s">
        <v>1195</v>
      </c>
      <c r="KG17" s="61">
        <v>10</v>
      </c>
      <c r="KH17" s="857" t="s">
        <v>2791</v>
      </c>
      <c r="KI17" s="268">
        <v>859</v>
      </c>
      <c r="KJ17" s="606">
        <v>45155</v>
      </c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2973</v>
      </c>
      <c r="KA18" s="61">
        <v>5.01</v>
      </c>
      <c r="KB18" s="866" t="s">
        <v>2683</v>
      </c>
      <c r="KC18" s="268">
        <v>14</v>
      </c>
      <c r="KD18" s="9"/>
      <c r="KE18" s="726"/>
      <c r="KF18" s="345" t="s">
        <v>2802</v>
      </c>
      <c r="KG18" s="61">
        <f>14.32</f>
        <v>14.32</v>
      </c>
      <c r="KH18" s="857" t="s">
        <v>2792</v>
      </c>
      <c r="KI18" s="517">
        <v>530</v>
      </c>
      <c r="KJ18" s="606">
        <v>45155</v>
      </c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75" t="s">
        <v>1474</v>
      </c>
      <c r="DJ19" s="97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2968</v>
      </c>
      <c r="JY19" s="726">
        <v>24.55</v>
      </c>
      <c r="JZ19" s="346" t="s">
        <v>2974</v>
      </c>
      <c r="KA19" s="796">
        <v>10.87</v>
      </c>
      <c r="KB19" s="865" t="s">
        <v>2679</v>
      </c>
      <c r="KC19" s="2">
        <v>220</v>
      </c>
      <c r="KD19" s="853" t="s">
        <v>2966</v>
      </c>
      <c r="KE19" s="726"/>
      <c r="KF19" s="345" t="s">
        <v>3032</v>
      </c>
      <c r="KG19" s="61">
        <v>180</v>
      </c>
      <c r="KH19" s="857" t="s">
        <v>2795</v>
      </c>
      <c r="KI19" s="268">
        <v>0</v>
      </c>
      <c r="KJ19" s="606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2957</v>
      </c>
      <c r="JY20" s="726">
        <v>27.05</v>
      </c>
      <c r="JZ20" s="245" t="s">
        <v>2851</v>
      </c>
      <c r="KA20" s="492">
        <v>1347.2</v>
      </c>
      <c r="KB20" s="865" t="s">
        <v>2678</v>
      </c>
      <c r="KC20" s="2"/>
      <c r="KD20" s="9" t="s">
        <v>2917</v>
      </c>
      <c r="KE20" s="726"/>
      <c r="KF20" s="345" t="s">
        <v>2858</v>
      </c>
      <c r="KG20" s="203">
        <v>10.8</v>
      </c>
      <c r="KH20" s="857" t="s">
        <v>2683</v>
      </c>
      <c r="KI20" s="268">
        <v>15</v>
      </c>
      <c r="KJ20" s="606"/>
      <c r="KK20" s="2"/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2969</v>
      </c>
      <c r="JY21" s="726">
        <v>13.23</v>
      </c>
      <c r="JZ21" s="245" t="s">
        <v>2986</v>
      </c>
      <c r="KA21" s="492">
        <v>1322.98</v>
      </c>
      <c r="KB21" s="867" t="s">
        <v>2451</v>
      </c>
      <c r="KC21" s="2">
        <v>1000</v>
      </c>
      <c r="KD21" s="9" t="s">
        <v>2902</v>
      </c>
      <c r="KE21" s="726">
        <v>92.26</v>
      </c>
      <c r="KF21" s="345" t="s">
        <v>2364</v>
      </c>
      <c r="KG21" s="61">
        <f>14.89+17.36+13.36</f>
        <v>45.61</v>
      </c>
      <c r="KH21" s="858" t="s">
        <v>2679</v>
      </c>
      <c r="KI21" s="2">
        <v>120</v>
      </c>
      <c r="KJ21" s="606">
        <v>45155</v>
      </c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68" t="s">
        <v>507</v>
      </c>
      <c r="N22" s="968"/>
      <c r="Q22" s="166" t="s">
        <v>365</v>
      </c>
      <c r="S22" s="968" t="s">
        <v>507</v>
      </c>
      <c r="T22" s="968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65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21" t="s">
        <v>2170</v>
      </c>
      <c r="IU22" s="921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2995</v>
      </c>
      <c r="JY22" s="726">
        <v>31.96</v>
      </c>
      <c r="JZ22" s="245" t="s">
        <v>2975</v>
      </c>
      <c r="KA22" s="492">
        <v>1730.87</v>
      </c>
      <c r="KB22" s="864" t="s">
        <v>2469</v>
      </c>
      <c r="KC22" s="61"/>
      <c r="KD22" s="9" t="s">
        <v>2971</v>
      </c>
      <c r="KE22" s="726"/>
      <c r="KF22" s="337" t="s">
        <v>1863</v>
      </c>
      <c r="KG22" s="61"/>
      <c r="KH22" s="858" t="s">
        <v>2678</v>
      </c>
      <c r="KI22" s="2"/>
      <c r="KJ22" s="606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66" t="s">
        <v>990</v>
      </c>
      <c r="N23" s="966"/>
      <c r="Q23" s="166" t="s">
        <v>369</v>
      </c>
      <c r="S23" s="966" t="s">
        <v>990</v>
      </c>
      <c r="T23" s="966"/>
      <c r="W23" s="244" t="s">
        <v>1019</v>
      </c>
      <c r="X23" s="142">
        <v>0</v>
      </c>
      <c r="Y23" s="968" t="s">
        <v>507</v>
      </c>
      <c r="Z23" s="968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65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21" t="s">
        <v>2170</v>
      </c>
      <c r="HK23" s="921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21" t="s">
        <v>2170</v>
      </c>
      <c r="HW23" s="921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2958</v>
      </c>
      <c r="KA23" s="492">
        <v>1713.69</v>
      </c>
      <c r="KB23" s="864" t="s">
        <v>2477</v>
      </c>
      <c r="KC23" s="61"/>
      <c r="KD23" s="9" t="s">
        <v>2970</v>
      </c>
      <c r="KE23" s="726"/>
      <c r="KF23" s="337" t="s">
        <v>1863</v>
      </c>
      <c r="KG23" s="61"/>
      <c r="KH23" s="860" t="s">
        <v>2451</v>
      </c>
      <c r="KI23" s="2">
        <v>2000</v>
      </c>
      <c r="KJ23" s="108">
        <v>45155</v>
      </c>
    </row>
    <row r="24" spans="1:297">
      <c r="A24" s="968" t="s">
        <v>507</v>
      </c>
      <c r="B24" s="968"/>
      <c r="E24" s="164" t="s">
        <v>237</v>
      </c>
      <c r="F24" s="166"/>
      <c r="G24" s="968" t="s">
        <v>507</v>
      </c>
      <c r="H24" s="968"/>
      <c r="K24" s="244" t="s">
        <v>1019</v>
      </c>
      <c r="L24" s="142">
        <v>0</v>
      </c>
      <c r="M24" s="944"/>
      <c r="N24" s="944"/>
      <c r="Q24" s="166" t="s">
        <v>1056</v>
      </c>
      <c r="S24" s="944"/>
      <c r="T24" s="944"/>
      <c r="W24" s="244" t="s">
        <v>1027</v>
      </c>
      <c r="X24" s="205">
        <v>0</v>
      </c>
      <c r="Y24" s="966" t="s">
        <v>990</v>
      </c>
      <c r="Z24" s="966"/>
      <c r="AC24"/>
      <c r="AE24" s="968" t="s">
        <v>507</v>
      </c>
      <c r="AF24" s="968"/>
      <c r="AI24"/>
      <c r="AK24" s="968" t="s">
        <v>507</v>
      </c>
      <c r="AL24" s="968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64" t="s">
        <v>1536</v>
      </c>
      <c r="EF24" s="964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65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65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2950</v>
      </c>
      <c r="KC24" s="61">
        <v>1.64</v>
      </c>
      <c r="KD24" s="858" t="s">
        <v>3036</v>
      </c>
      <c r="KE24" s="726">
        <v>2.0699999999999998</v>
      </c>
      <c r="KF24" s="337" t="s">
        <v>3061</v>
      </c>
      <c r="KG24" s="853">
        <v>135.69999999999999</v>
      </c>
      <c r="KH24" s="859" t="s">
        <v>2469</v>
      </c>
      <c r="KI24" s="61"/>
    </row>
    <row r="25" spans="1:297">
      <c r="A25" s="966" t="s">
        <v>990</v>
      </c>
      <c r="B25" s="966"/>
      <c r="E25" s="164" t="s">
        <v>139</v>
      </c>
      <c r="F25" s="166"/>
      <c r="G25" s="966" t="s">
        <v>990</v>
      </c>
      <c r="H25" s="966"/>
      <c r="K25" s="244" t="s">
        <v>1027</v>
      </c>
      <c r="L25" s="205">
        <v>0</v>
      </c>
      <c r="M25" s="944"/>
      <c r="N25" s="944"/>
      <c r="Q25" s="244" t="s">
        <v>1029</v>
      </c>
      <c r="R25" s="142">
        <v>0</v>
      </c>
      <c r="S25" s="944"/>
      <c r="T25" s="944"/>
      <c r="W25" s="244" t="s">
        <v>1050</v>
      </c>
      <c r="X25" s="142">
        <v>910.17</v>
      </c>
      <c r="Y25" s="944"/>
      <c r="Z25" s="944"/>
      <c r="AC25" s="248" t="s">
        <v>1083</v>
      </c>
      <c r="AD25" s="142">
        <v>90</v>
      </c>
      <c r="AE25" s="966" t="s">
        <v>990</v>
      </c>
      <c r="AF25" s="966"/>
      <c r="AI25" s="245" t="s">
        <v>1101</v>
      </c>
      <c r="AJ25" s="142">
        <v>30</v>
      </c>
      <c r="AK25" s="966" t="s">
        <v>990</v>
      </c>
      <c r="AL25" s="96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66"/>
      <c r="BH25" s="966"/>
      <c r="BK25" s="266" t="s">
        <v>1222</v>
      </c>
      <c r="BL25" s="205">
        <v>48.54</v>
      </c>
      <c r="BM25" s="966"/>
      <c r="BN25" s="966"/>
      <c r="BQ25" s="266" t="s">
        <v>1051</v>
      </c>
      <c r="BR25" s="205">
        <v>50.15</v>
      </c>
      <c r="BS25" s="966" t="s">
        <v>1245</v>
      </c>
      <c r="BT25" s="966"/>
      <c r="BW25" s="266" t="s">
        <v>1051</v>
      </c>
      <c r="BX25" s="205">
        <v>48.54</v>
      </c>
      <c r="BY25" s="966"/>
      <c r="BZ25" s="966"/>
      <c r="CC25" s="266" t="s">
        <v>1051</v>
      </c>
      <c r="CD25" s="205">
        <v>142.91</v>
      </c>
      <c r="CE25" s="966"/>
      <c r="CF25" s="966"/>
      <c r="CI25" s="266" t="s">
        <v>1312</v>
      </c>
      <c r="CJ25" s="205">
        <v>35.049999999999997</v>
      </c>
      <c r="CK25" s="944"/>
      <c r="CL25" s="944"/>
      <c r="CO25" s="266" t="s">
        <v>1286</v>
      </c>
      <c r="CP25" s="205">
        <v>153.41</v>
      </c>
      <c r="CQ25" s="944" t="s">
        <v>1327</v>
      </c>
      <c r="CR25" s="94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65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21" t="s">
        <v>2170</v>
      </c>
      <c r="IC25" s="921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2955</v>
      </c>
      <c r="KA25" s="61">
        <v>219</v>
      </c>
      <c r="KB25" s="864"/>
      <c r="KC25" s="61"/>
      <c r="KD25" s="871" t="s">
        <v>3040</v>
      </c>
      <c r="KE25" s="510">
        <f>63.91+71.9+199.73</f>
        <v>335.53999999999996</v>
      </c>
      <c r="KF25" s="337" t="s">
        <v>3031</v>
      </c>
      <c r="KG25" s="533">
        <v>10</v>
      </c>
      <c r="KH25" s="859" t="s">
        <v>3062</v>
      </c>
      <c r="KI25" s="61"/>
    </row>
    <row r="26" spans="1:297">
      <c r="A26" s="944"/>
      <c r="B26" s="944"/>
      <c r="E26" s="198" t="s">
        <v>362</v>
      </c>
      <c r="F26" s="170"/>
      <c r="G26" s="944"/>
      <c r="H26" s="944"/>
      <c r="K26" s="244" t="s">
        <v>1018</v>
      </c>
      <c r="L26" s="142">
        <f>910+40</f>
        <v>950</v>
      </c>
      <c r="M26" s="944"/>
      <c r="N26" s="944"/>
      <c r="Q26" s="244" t="s">
        <v>1026</v>
      </c>
      <c r="R26" s="142">
        <v>0</v>
      </c>
      <c r="S26" s="944"/>
      <c r="T26" s="944"/>
      <c r="W26" s="143" t="s">
        <v>1085</v>
      </c>
      <c r="X26" s="142">
        <v>110.58</v>
      </c>
      <c r="Y26" s="944"/>
      <c r="Z26" s="944"/>
      <c r="AE26" s="944"/>
      <c r="AF26" s="944"/>
      <c r="AK26" s="944"/>
      <c r="AL26" s="94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44"/>
      <c r="AX26" s="944"/>
      <c r="AY26" s="143"/>
      <c r="AZ26" s="205"/>
      <c r="BA26" s="944"/>
      <c r="BB26" s="944"/>
      <c r="BE26" s="143" t="s">
        <v>1195</v>
      </c>
      <c r="BF26" s="205">
        <f>6.5*2</f>
        <v>13</v>
      </c>
      <c r="BG26" s="944"/>
      <c r="BH26" s="944"/>
      <c r="BK26" s="266" t="s">
        <v>1195</v>
      </c>
      <c r="BL26" s="205">
        <f>6.5*2</f>
        <v>13</v>
      </c>
      <c r="BM26" s="944"/>
      <c r="BN26" s="944"/>
      <c r="BQ26" s="266" t="s">
        <v>1195</v>
      </c>
      <c r="BR26" s="205">
        <v>13</v>
      </c>
      <c r="BS26" s="944"/>
      <c r="BT26" s="944"/>
      <c r="BW26" s="266" t="s">
        <v>1195</v>
      </c>
      <c r="BX26" s="205">
        <v>13</v>
      </c>
      <c r="BY26" s="944"/>
      <c r="BZ26" s="944"/>
      <c r="CC26" s="266" t="s">
        <v>1195</v>
      </c>
      <c r="CD26" s="205">
        <v>13</v>
      </c>
      <c r="CE26" s="944"/>
      <c r="CF26" s="94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81" t="s">
        <v>1536</v>
      </c>
      <c r="DZ26" s="982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64" t="s">
        <v>1536</v>
      </c>
      <c r="ES26" s="964"/>
      <c r="ET26" s="1" t="s">
        <v>1703</v>
      </c>
      <c r="EU26" s="272">
        <v>20000</v>
      </c>
      <c r="EW26" s="965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 t="s">
        <v>2420</v>
      </c>
      <c r="KC26" s="61"/>
      <c r="KD26" s="914" t="s">
        <v>3059</v>
      </c>
      <c r="KE26" s="510">
        <f>7000*(1-98.14%)</f>
        <v>130.19999999999965</v>
      </c>
      <c r="KF26" s="337" t="s">
        <v>3037</v>
      </c>
      <c r="KG26" s="533">
        <v>38</v>
      </c>
      <c r="KH26" s="859" t="s">
        <v>2950</v>
      </c>
      <c r="KI26" s="61">
        <v>1.64</v>
      </c>
    </row>
    <row r="27" spans="1:297">
      <c r="A27" s="944"/>
      <c r="B27" s="944"/>
      <c r="F27" s="194"/>
      <c r="G27" s="944"/>
      <c r="H27" s="944"/>
      <c r="K27"/>
      <c r="M27" s="971" t="s">
        <v>506</v>
      </c>
      <c r="N27" s="971"/>
      <c r="Q27" s="244" t="s">
        <v>1019</v>
      </c>
      <c r="R27" s="142">
        <v>0</v>
      </c>
      <c r="S27" s="971" t="s">
        <v>506</v>
      </c>
      <c r="T27" s="971"/>
      <c r="W27" s="143" t="s">
        <v>1051</v>
      </c>
      <c r="X27" s="142">
        <v>60.75</v>
      </c>
      <c r="Y27" s="944"/>
      <c r="Z27" s="944"/>
      <c r="AC27" s="219" t="s">
        <v>1092</v>
      </c>
      <c r="AD27" s="219"/>
      <c r="AE27" s="971" t="s">
        <v>506</v>
      </c>
      <c r="AF27" s="971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64" t="s">
        <v>1536</v>
      </c>
      <c r="EY27" s="964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21" t="s">
        <v>2170</v>
      </c>
      <c r="HQ27" s="921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2990</v>
      </c>
      <c r="KA27" s="534">
        <f>131.87*2</f>
        <v>263.74</v>
      </c>
      <c r="KB27" s="864"/>
      <c r="KC27" s="870"/>
      <c r="KF27" s="337" t="s">
        <v>3043</v>
      </c>
      <c r="KG27" s="533">
        <v>25.9</v>
      </c>
      <c r="KH27" s="897" t="s">
        <v>3044</v>
      </c>
      <c r="KI27" s="61">
        <v>54</v>
      </c>
    </row>
    <row r="28" spans="1:297">
      <c r="A28" s="944"/>
      <c r="B28" s="944"/>
      <c r="E28" s="193" t="s">
        <v>360</v>
      </c>
      <c r="F28" s="194"/>
      <c r="G28" s="944"/>
      <c r="H28" s="944"/>
      <c r="K28" s="143" t="s">
        <v>1017</v>
      </c>
      <c r="L28" s="142">
        <f>60</f>
        <v>60</v>
      </c>
      <c r="M28" s="971" t="s">
        <v>992</v>
      </c>
      <c r="N28" s="971"/>
      <c r="Q28" s="244" t="s">
        <v>1073</v>
      </c>
      <c r="R28" s="205">
        <v>200</v>
      </c>
      <c r="S28" s="971" t="s">
        <v>992</v>
      </c>
      <c r="T28" s="971"/>
      <c r="W28" s="143" t="s">
        <v>1016</v>
      </c>
      <c r="X28" s="142">
        <v>61.35</v>
      </c>
      <c r="Y28" s="971" t="s">
        <v>506</v>
      </c>
      <c r="Z28" s="971"/>
      <c r="AC28" s="219" t="s">
        <v>1088</v>
      </c>
      <c r="AD28" s="219">
        <f>53+207+63</f>
        <v>323</v>
      </c>
      <c r="AE28" s="971" t="s">
        <v>992</v>
      </c>
      <c r="AF28" s="971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64" t="s">
        <v>1747</v>
      </c>
      <c r="FE28" s="964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21" t="s">
        <v>2170</v>
      </c>
      <c r="JA28" s="921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2976</v>
      </c>
      <c r="KA28" s="61">
        <f>(15+6.5)*2</f>
        <v>43</v>
      </c>
      <c r="KB28" s="864"/>
      <c r="KF28" s="337" t="s">
        <v>1863</v>
      </c>
      <c r="KG28" s="533"/>
    </row>
    <row r="29" spans="1:297">
      <c r="A29" s="971" t="s">
        <v>506</v>
      </c>
      <c r="B29" s="971"/>
      <c r="E29" s="193" t="s">
        <v>282</v>
      </c>
      <c r="F29" s="194"/>
      <c r="G29" s="971" t="s">
        <v>506</v>
      </c>
      <c r="H29" s="971"/>
      <c r="K29" s="143" t="s">
        <v>1016</v>
      </c>
      <c r="L29" s="142">
        <v>0</v>
      </c>
      <c r="M29" s="970" t="s">
        <v>93</v>
      </c>
      <c r="N29" s="970"/>
      <c r="Q29" s="244" t="s">
        <v>1050</v>
      </c>
      <c r="R29" s="142">
        <v>0</v>
      </c>
      <c r="S29" s="970" t="s">
        <v>93</v>
      </c>
      <c r="T29" s="970"/>
      <c r="W29" s="143" t="s">
        <v>1015</v>
      </c>
      <c r="X29" s="142">
        <v>64</v>
      </c>
      <c r="Y29" s="971" t="s">
        <v>992</v>
      </c>
      <c r="Z29" s="971"/>
      <c r="AC29" s="219" t="s">
        <v>1089</v>
      </c>
      <c r="AD29" s="219">
        <f>63+46</f>
        <v>109</v>
      </c>
      <c r="AE29" s="970" t="s">
        <v>93</v>
      </c>
      <c r="AF29" s="970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64" t="s">
        <v>1536</v>
      </c>
      <c r="EM29" s="964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506</v>
      </c>
      <c r="KF29" s="337" t="s">
        <v>1863</v>
      </c>
      <c r="KG29" s="533"/>
      <c r="KH29" s="859" t="s">
        <v>2420</v>
      </c>
    </row>
    <row r="30" spans="1:297">
      <c r="A30" s="971" t="s">
        <v>992</v>
      </c>
      <c r="B30" s="971"/>
      <c r="E30" s="193" t="s">
        <v>372</v>
      </c>
      <c r="F30" s="194"/>
      <c r="G30" s="971" t="s">
        <v>992</v>
      </c>
      <c r="H30" s="971"/>
      <c r="K30" s="143" t="s">
        <v>1015</v>
      </c>
      <c r="L30" s="142">
        <v>64</v>
      </c>
      <c r="M30" s="944" t="s">
        <v>385</v>
      </c>
      <c r="N30" s="944"/>
      <c r="Q30"/>
      <c r="S30" s="944" t="s">
        <v>385</v>
      </c>
      <c r="T30" s="944"/>
      <c r="W30" s="143" t="s">
        <v>1014</v>
      </c>
      <c r="X30" s="142">
        <v>100.01</v>
      </c>
      <c r="Y30" s="970" t="s">
        <v>93</v>
      </c>
      <c r="Z30" s="970"/>
      <c r="AC30" s="142" t="s">
        <v>1087</v>
      </c>
      <c r="AD30" s="142">
        <v>65</v>
      </c>
      <c r="AE30" s="944" t="s">
        <v>385</v>
      </c>
      <c r="AF30" s="94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64" t="s">
        <v>1747</v>
      </c>
      <c r="FK30" s="964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 t="s">
        <v>93</v>
      </c>
      <c r="KD30" s="851" t="s">
        <v>2779</v>
      </c>
      <c r="KE30" s="851"/>
      <c r="KF30" s="853" t="s">
        <v>2711</v>
      </c>
      <c r="KG30" s="78"/>
      <c r="KH30" s="903"/>
      <c r="KI30" s="61"/>
    </row>
    <row r="31" spans="1:297" ht="12.75" customHeight="1">
      <c r="A31" s="970" t="s">
        <v>93</v>
      </c>
      <c r="B31" s="970"/>
      <c r="E31" s="193" t="s">
        <v>1007</v>
      </c>
      <c r="F31" s="170"/>
      <c r="G31" s="970" t="s">
        <v>93</v>
      </c>
      <c r="H31" s="970"/>
      <c r="K31" s="143" t="s">
        <v>1014</v>
      </c>
      <c r="L31" s="142">
        <v>50.01</v>
      </c>
      <c r="M31" s="969" t="s">
        <v>1001</v>
      </c>
      <c r="N31" s="969"/>
      <c r="Q31" s="143" t="s">
        <v>1052</v>
      </c>
      <c r="R31" s="142">
        <v>26</v>
      </c>
      <c r="S31" s="969" t="s">
        <v>1001</v>
      </c>
      <c r="T31" s="969"/>
      <c r="W31"/>
      <c r="Y31" s="944" t="s">
        <v>385</v>
      </c>
      <c r="Z31" s="944"/>
      <c r="AC31" s="142" t="s">
        <v>1090</v>
      </c>
      <c r="AD31" s="142">
        <v>10</v>
      </c>
      <c r="AE31" s="969" t="s">
        <v>1001</v>
      </c>
      <c r="AF31" s="969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3047</v>
      </c>
      <c r="JS31" s="905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 t="s">
        <v>1034</v>
      </c>
      <c r="KD31" s="815" t="s">
        <v>1958</v>
      </c>
      <c r="KE31" s="273">
        <f>SUM(KG6:KG6)</f>
        <v>0</v>
      </c>
      <c r="KF31" s="853" t="s">
        <v>2956</v>
      </c>
      <c r="KG31" s="78"/>
      <c r="KH31" s="896"/>
      <c r="KI31" s="859"/>
    </row>
    <row r="32" spans="1:297">
      <c r="A32" s="944" t="s">
        <v>385</v>
      </c>
      <c r="B32" s="944"/>
      <c r="E32" s="170"/>
      <c r="F32" s="170"/>
      <c r="G32" s="944" t="s">
        <v>385</v>
      </c>
      <c r="H32" s="944"/>
      <c r="K32"/>
      <c r="M32" s="966" t="s">
        <v>243</v>
      </c>
      <c r="N32" s="966"/>
      <c r="Q32" s="143" t="s">
        <v>1051</v>
      </c>
      <c r="R32" s="142">
        <v>55</v>
      </c>
      <c r="S32" s="966" t="s">
        <v>243</v>
      </c>
      <c r="T32" s="966"/>
      <c r="W32" s="243" t="s">
        <v>1072</v>
      </c>
      <c r="X32" s="243">
        <v>0</v>
      </c>
      <c r="Y32" s="969" t="s">
        <v>1001</v>
      </c>
      <c r="Z32" s="969"/>
      <c r="AE32" s="966" t="s">
        <v>243</v>
      </c>
      <c r="AF32" s="96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74" t="s">
        <v>1438</v>
      </c>
      <c r="DP32" s="97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21" t="s">
        <v>2170</v>
      </c>
      <c r="IO32" s="921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88" t="s">
        <v>2854</v>
      </c>
      <c r="KE32" s="273">
        <f>SUM(KG11:KG13)</f>
        <v>66875.360000000001</v>
      </c>
      <c r="KF32" s="9" t="s">
        <v>2196</v>
      </c>
      <c r="KG32" s="534">
        <f>225</f>
        <v>225</v>
      </c>
    </row>
    <row r="33" spans="1:297">
      <c r="A33" s="969" t="s">
        <v>1001</v>
      </c>
      <c r="B33" s="969"/>
      <c r="C33" s="3"/>
      <c r="D33" s="3"/>
      <c r="E33" s="246"/>
      <c r="F33" s="246"/>
      <c r="G33" s="969" t="s">
        <v>1001</v>
      </c>
      <c r="H33" s="969"/>
      <c r="K33" s="243" t="s">
        <v>1021</v>
      </c>
      <c r="L33" s="243"/>
      <c r="M33" s="972" t="s">
        <v>1034</v>
      </c>
      <c r="N33" s="972"/>
      <c r="Q33" s="143" t="s">
        <v>1016</v>
      </c>
      <c r="R33" s="142">
        <v>77.239999999999995</v>
      </c>
      <c r="S33" s="972" t="s">
        <v>1034</v>
      </c>
      <c r="T33" s="972"/>
      <c r="Y33" s="966" t="s">
        <v>243</v>
      </c>
      <c r="Z33" s="966"/>
      <c r="AC33" s="197" t="s">
        <v>1012</v>
      </c>
      <c r="AD33" s="142">
        <v>350</v>
      </c>
      <c r="AE33" s="972" t="s">
        <v>1034</v>
      </c>
      <c r="AF33" s="972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77" t="s">
        <v>1411</v>
      </c>
      <c r="DB33" s="978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61"/>
      <c r="KD33" s="350" t="s">
        <v>1392</v>
      </c>
      <c r="KE33" s="2">
        <f>KG7</f>
        <v>0</v>
      </c>
      <c r="KF33" s="412">
        <v>47.04</v>
      </c>
      <c r="KG33" s="534"/>
      <c r="KH33" s="853" t="s">
        <v>506</v>
      </c>
    </row>
    <row r="34" spans="1:297">
      <c r="A34" s="966" t="s">
        <v>243</v>
      </c>
      <c r="B34" s="966"/>
      <c r="E34" s="170"/>
      <c r="F34" s="170"/>
      <c r="G34" s="966" t="s">
        <v>243</v>
      </c>
      <c r="H34" s="96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72" t="s">
        <v>1034</v>
      </c>
      <c r="Z34" s="972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61"/>
      <c r="KD34" s="346" t="s">
        <v>2165</v>
      </c>
      <c r="KE34" s="2">
        <f>SUM(KG8:KG10)</f>
        <v>0</v>
      </c>
      <c r="KF34" s="386" t="s">
        <v>1411</v>
      </c>
      <c r="KG34" s="408">
        <f>KC19+KE39-KI21</f>
        <v>100</v>
      </c>
      <c r="KH34" s="853" t="s">
        <v>93</v>
      </c>
    </row>
    <row r="35" spans="1:297" ht="14.25" customHeight="1">
      <c r="A35" s="973" t="s">
        <v>342</v>
      </c>
      <c r="B35" s="973"/>
      <c r="E35" s="187" t="s">
        <v>368</v>
      </c>
      <c r="F35" s="170"/>
      <c r="G35" s="973" t="s">
        <v>342</v>
      </c>
      <c r="H35" s="973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48" t="s">
        <v>2985</v>
      </c>
      <c r="KE35" s="2">
        <f>SUM(KG14:KG21)</f>
        <v>260.73</v>
      </c>
      <c r="KF35" s="409">
        <v>10</v>
      </c>
      <c r="KG35" s="816" t="s">
        <v>2901</v>
      </c>
      <c r="KH35" s="853" t="s">
        <v>1034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2164</v>
      </c>
      <c r="KE36" s="2">
        <f>SUM(KG22:KG29)</f>
        <v>209.6</v>
      </c>
      <c r="KF36" s="409">
        <v>50</v>
      </c>
      <c r="KG36" s="543" t="s">
        <v>1828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79" t="s">
        <v>1536</v>
      </c>
      <c r="DT37" s="98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2953</v>
      </c>
      <c r="KA37" s="533">
        <v>10</v>
      </c>
      <c r="KD37" s="337" t="s">
        <v>3047</v>
      </c>
      <c r="KE37" s="905">
        <f>SUM(KG24:KG29)</f>
        <v>209.6</v>
      </c>
      <c r="KF37" s="409">
        <v>10</v>
      </c>
      <c r="KG37" s="543" t="s">
        <v>2219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F38" s="409">
        <v>30</v>
      </c>
      <c r="KG38" s="543" t="s">
        <v>3045</v>
      </c>
      <c r="KH38" s="853" t="s">
        <v>2759</v>
      </c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2934</v>
      </c>
      <c r="KA39" s="533">
        <v>33.03</v>
      </c>
      <c r="KD39" s="341" t="s">
        <v>2964</v>
      </c>
      <c r="KE39" s="910">
        <v>0</v>
      </c>
      <c r="KF39" s="409">
        <v>6</v>
      </c>
      <c r="KG39" s="543" t="s">
        <v>3042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74" t="s">
        <v>1438</v>
      </c>
      <c r="DJ40" s="97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21" t="s">
        <v>2170</v>
      </c>
      <c r="II40" s="921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/>
      <c r="KG40" s="543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754"/>
      <c r="KG41" s="401"/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2938</v>
      </c>
      <c r="KA42" s="533">
        <v>13.15</v>
      </c>
      <c r="KF42" s="754"/>
      <c r="KG42" s="401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2935</v>
      </c>
      <c r="KA43" s="533">
        <v>38.200000000000003</v>
      </c>
      <c r="KB43" s="848"/>
      <c r="KC43" s="868"/>
      <c r="KD43" s="853"/>
      <c r="KE43" s="853"/>
      <c r="KF43" s="754"/>
      <c r="KG43" s="401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2937</v>
      </c>
      <c r="KA44" s="533">
        <v>10.5</v>
      </c>
      <c r="KE44" s="907"/>
      <c r="KF44" s="853" t="s">
        <v>2996</v>
      </c>
      <c r="KG44" s="853">
        <v>324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2977</v>
      </c>
      <c r="KA45" s="61">
        <f>47.8+1.2+2.5+3.2</f>
        <v>54.7</v>
      </c>
      <c r="KE45" s="907"/>
      <c r="KF45" s="853" t="s">
        <v>2597</v>
      </c>
      <c r="KG45" s="407">
        <v>110.1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3047</v>
      </c>
      <c r="JY46" s="2">
        <f>SUM(KA38:KA46)</f>
        <v>301.70999999999998</v>
      </c>
      <c r="JZ46" s="337" t="s">
        <v>2963</v>
      </c>
      <c r="KA46" s="533">
        <v>26.5</v>
      </c>
      <c r="KE46" s="907"/>
      <c r="KF46" s="895" t="s">
        <v>3039</v>
      </c>
      <c r="KG46" s="853">
        <v>37.700000000000003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99"/>
      <c r="KF47" s="895" t="s">
        <v>3038</v>
      </c>
      <c r="KG47" s="853">
        <v>35.25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2956</v>
      </c>
      <c r="KA48" s="78">
        <v>300</v>
      </c>
      <c r="KF48" s="895" t="s">
        <v>3046</v>
      </c>
      <c r="KG48" s="853">
        <v>39.700000000000003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83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98"/>
      <c r="KF49" s="858"/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83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2978</v>
      </c>
      <c r="KE50" s="898"/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83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99"/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83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2979</v>
      </c>
      <c r="KE52" s="899" t="s">
        <v>2880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2964</v>
      </c>
      <c r="JY53" s="353">
        <v>200</v>
      </c>
      <c r="JZ53" s="409">
        <v>25</v>
      </c>
      <c r="KA53" s="543" t="s">
        <v>2901</v>
      </c>
      <c r="KE53" s="899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  <c r="KE55" s="899"/>
      <c r="KG55" s="856"/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2939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2941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2940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2944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2942</v>
      </c>
      <c r="KA62" s="796">
        <v>21.81</v>
      </c>
      <c r="KI62" s="39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2981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2961</v>
      </c>
      <c r="KA67" s="839">
        <v>9.77</v>
      </c>
    </row>
    <row r="68" spans="111:287">
      <c r="IJ68" s="400"/>
      <c r="IP68" s="400"/>
      <c r="JZ68" s="839" t="s">
        <v>2960</v>
      </c>
      <c r="KA68" s="839">
        <v>11.9</v>
      </c>
    </row>
    <row r="69" spans="111:287">
      <c r="HO69" s="390"/>
      <c r="IG69" s="390"/>
      <c r="IJ69" s="400"/>
      <c r="JZ69" s="839" t="s">
        <v>2962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2931</v>
      </c>
      <c r="KA71" s="796">
        <v>8</v>
      </c>
    </row>
    <row r="72" spans="111:287">
      <c r="IJ72" s="400"/>
      <c r="JY72" s="796" t="s">
        <v>2880</v>
      </c>
      <c r="JZ72" s="849" t="s">
        <v>2980</v>
      </c>
      <c r="KA72" s="847">
        <v>29.7</v>
      </c>
    </row>
    <row r="73" spans="111:287">
      <c r="IJ73" s="400"/>
      <c r="JZ73" s="11" t="s">
        <v>2943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6"/>
  <sheetViews>
    <sheetView workbookViewId="0">
      <selection activeCell="J35" sqref="J35"/>
    </sheetView>
  </sheetViews>
  <sheetFormatPr defaultRowHeight="12.75"/>
  <cols>
    <col min="1" max="1" width="1.28515625" customWidth="1"/>
    <col min="2" max="2" width="9.140625" bestFit="1" customWidth="1"/>
    <col min="3" max="3" width="11.28515625" bestFit="1" customWidth="1"/>
    <col min="4" max="4" width="8.140625" style="874" bestFit="1" customWidth="1"/>
    <col min="5" max="5" width="3" style="887" bestFit="1" customWidth="1"/>
    <col min="6" max="6" width="8.7109375" bestFit="1" customWidth="1"/>
    <col min="7" max="7" width="10.7109375" style="879" bestFit="1" customWidth="1"/>
    <col min="8" max="8" width="8.5703125" bestFit="1" customWidth="1"/>
    <col min="9" max="9" width="8" style="881" bestFit="1" customWidth="1"/>
    <col min="10" max="10" width="55.140625" bestFit="1" customWidth="1"/>
  </cols>
  <sheetData>
    <row r="1" spans="1:10" ht="4.5" customHeight="1"/>
    <row r="2" spans="1:10">
      <c r="B2" s="63" t="s">
        <v>3041</v>
      </c>
      <c r="C2" s="63" t="s">
        <v>3000</v>
      </c>
      <c r="D2" s="63" t="s">
        <v>3001</v>
      </c>
      <c r="E2" s="888"/>
      <c r="F2" s="63" t="s">
        <v>2508</v>
      </c>
      <c r="G2" s="878"/>
      <c r="H2" s="211" t="s">
        <v>2999</v>
      </c>
      <c r="I2" s="63" t="s">
        <v>2998</v>
      </c>
      <c r="J2" s="11" t="s">
        <v>2997</v>
      </c>
    </row>
    <row r="3" spans="1:10" s="874" customFormat="1">
      <c r="B3" s="63"/>
      <c r="C3" s="63"/>
      <c r="D3" s="63"/>
      <c r="E3" s="888"/>
      <c r="F3" s="63"/>
      <c r="G3" s="878"/>
      <c r="H3" s="211"/>
      <c r="I3" s="227">
        <v>735000</v>
      </c>
      <c r="J3" s="11"/>
    </row>
    <row r="4" spans="1:10" ht="2.25" customHeight="1">
      <c r="B4" s="63"/>
      <c r="C4" s="219"/>
      <c r="D4" s="219"/>
      <c r="E4" s="889"/>
      <c r="F4" s="891"/>
      <c r="G4" s="878"/>
      <c r="H4" s="211"/>
      <c r="I4" s="884"/>
      <c r="J4" s="11"/>
    </row>
    <row r="5" spans="1:10" s="881" customFormat="1">
      <c r="B5" s="63"/>
      <c r="C5" s="890"/>
      <c r="D5" s="890">
        <f>-F5-C5</f>
        <v>200000</v>
      </c>
      <c r="E5" s="892" t="s">
        <v>3028</v>
      </c>
      <c r="F5" s="891">
        <v>-200000</v>
      </c>
      <c r="G5" s="878">
        <v>45157</v>
      </c>
      <c r="H5" s="211"/>
      <c r="I5" s="883"/>
      <c r="J5" s="11" t="s">
        <v>3022</v>
      </c>
    </row>
    <row r="6" spans="1:10" s="881" customFormat="1">
      <c r="A6" s="207"/>
      <c r="B6" s="227"/>
      <c r="C6" s="890"/>
      <c r="D6" s="890">
        <f>-D5</f>
        <v>-200000</v>
      </c>
      <c r="E6" s="888" t="s">
        <v>3029</v>
      </c>
      <c r="F6" s="891">
        <f>-F5</f>
        <v>200000</v>
      </c>
      <c r="G6" s="878">
        <v>45159</v>
      </c>
      <c r="H6" s="211"/>
      <c r="I6" s="883"/>
      <c r="J6" s="11"/>
    </row>
    <row r="7" spans="1:10" s="881" customFormat="1" ht="2.25" customHeight="1">
      <c r="A7" s="207"/>
      <c r="B7" s="227"/>
      <c r="C7" s="219"/>
      <c r="D7" s="219"/>
      <c r="E7" s="889"/>
      <c r="F7" s="891"/>
      <c r="G7" s="878"/>
      <c r="H7" s="211"/>
      <c r="I7" s="883"/>
      <c r="J7" s="11"/>
    </row>
    <row r="8" spans="1:10" s="881" customFormat="1">
      <c r="B8" s="63"/>
      <c r="C8" s="890"/>
      <c r="D8" s="890">
        <f>-F8-C8</f>
        <v>200000</v>
      </c>
      <c r="E8" s="892" t="s">
        <v>3028</v>
      </c>
      <c r="F8" s="891">
        <v>-200000</v>
      </c>
      <c r="G8" s="919">
        <v>45164</v>
      </c>
      <c r="H8" s="211"/>
      <c r="I8" s="883"/>
      <c r="J8" s="11" t="s">
        <v>3022</v>
      </c>
    </row>
    <row r="9" spans="1:10" s="917" customFormat="1">
      <c r="B9" s="63"/>
      <c r="C9" s="890" t="s">
        <v>3064</v>
      </c>
      <c r="D9" s="890">
        <f>-D8</f>
        <v>-200000</v>
      </c>
      <c r="E9" s="888" t="s">
        <v>3029</v>
      </c>
      <c r="F9" s="891">
        <f>-F8</f>
        <v>200000</v>
      </c>
      <c r="G9" s="984">
        <v>45166</v>
      </c>
      <c r="H9" s="920"/>
      <c r="I9" s="883"/>
      <c r="J9" s="11" t="s">
        <v>3023</v>
      </c>
    </row>
    <row r="10" spans="1:10" s="917" customFormat="1">
      <c r="B10" s="63"/>
      <c r="C10" s="890"/>
      <c r="D10" s="890"/>
      <c r="E10" s="892"/>
      <c r="F10" s="891">
        <v>-135000</v>
      </c>
      <c r="G10" s="985"/>
      <c r="H10" s="920"/>
      <c r="I10" s="883"/>
      <c r="J10" s="902" t="s">
        <v>3033</v>
      </c>
    </row>
    <row r="11" spans="1:10" s="881" customFormat="1">
      <c r="A11" s="207"/>
      <c r="B11" s="227"/>
      <c r="C11" s="63"/>
      <c r="D11" s="63"/>
      <c r="E11" s="63"/>
      <c r="F11" s="63"/>
      <c r="G11" s="987"/>
      <c r="H11" s="885">
        <f>-F10</f>
        <v>135000</v>
      </c>
      <c r="I11" s="883"/>
      <c r="J11" s="901" t="s">
        <v>3068</v>
      </c>
    </row>
    <row r="12" spans="1:10" s="900" customFormat="1" ht="3" customHeight="1">
      <c r="A12" s="207"/>
      <c r="B12" s="227"/>
      <c r="C12" s="890"/>
      <c r="D12" s="890"/>
      <c r="E12" s="888"/>
      <c r="F12" s="891"/>
      <c r="G12" s="878"/>
      <c r="H12" s="211"/>
      <c r="I12" s="883"/>
      <c r="J12" s="11"/>
    </row>
    <row r="13" spans="1:10" s="900" customFormat="1">
      <c r="B13" s="63"/>
      <c r="C13" s="885">
        <f>-F13-D13</f>
        <v>100000</v>
      </c>
      <c r="D13" s="227">
        <v>150000</v>
      </c>
      <c r="E13" s="892" t="s">
        <v>3028</v>
      </c>
      <c r="F13" s="908">
        <v>-250000</v>
      </c>
      <c r="G13" s="916">
        <v>45167</v>
      </c>
      <c r="H13" s="63"/>
      <c r="I13" s="884"/>
      <c r="J13" s="902" t="s">
        <v>3049</v>
      </c>
    </row>
    <row r="14" spans="1:10">
      <c r="B14" s="63"/>
      <c r="C14" s="63"/>
      <c r="D14" s="885">
        <f>-D13</f>
        <v>-150000</v>
      </c>
      <c r="E14" s="889"/>
      <c r="G14" s="984">
        <v>45167</v>
      </c>
      <c r="H14" s="63"/>
      <c r="I14" s="884"/>
      <c r="J14" s="902" t="s">
        <v>3050</v>
      </c>
    </row>
    <row r="15" spans="1:10" s="900" customFormat="1">
      <c r="B15" s="227">
        <f>-D14</f>
        <v>150000</v>
      </c>
      <c r="C15" s="63"/>
      <c r="D15" s="885"/>
      <c r="E15" s="889"/>
      <c r="F15" s="885"/>
      <c r="G15" s="985"/>
      <c r="H15" s="63"/>
      <c r="I15" s="884"/>
      <c r="J15" s="915" t="s">
        <v>3069</v>
      </c>
    </row>
    <row r="16" spans="1:10" s="900" customFormat="1">
      <c r="B16" s="63" t="s">
        <v>3065</v>
      </c>
      <c r="C16" s="885">
        <f>-C13</f>
        <v>-100000</v>
      </c>
      <c r="D16" s="63"/>
      <c r="E16" s="888" t="s">
        <v>3029</v>
      </c>
      <c r="F16" s="885">
        <f>-C16</f>
        <v>100000</v>
      </c>
      <c r="G16" s="985"/>
      <c r="H16" s="63"/>
      <c r="I16" s="884"/>
      <c r="J16" s="900" t="s">
        <v>3063</v>
      </c>
    </row>
    <row r="17" spans="2:10" s="911" customFormat="1">
      <c r="B17" s="63"/>
      <c r="C17" s="63"/>
      <c r="D17" s="885"/>
      <c r="E17" s="889"/>
      <c r="F17" s="885"/>
      <c r="G17" s="913"/>
      <c r="H17" s="63"/>
      <c r="I17" s="884"/>
    </row>
    <row r="18" spans="2:10" s="917" customFormat="1">
      <c r="B18" s="63"/>
      <c r="C18" s="63"/>
      <c r="D18" s="227">
        <f>-F18-C19</f>
        <v>100000</v>
      </c>
      <c r="E18" s="892" t="s">
        <v>3028</v>
      </c>
      <c r="F18" s="891">
        <v>-200000</v>
      </c>
      <c r="G18" s="985">
        <v>45168</v>
      </c>
      <c r="I18" s="884"/>
      <c r="J18" s="320" t="s">
        <v>3066</v>
      </c>
    </row>
    <row r="19" spans="2:10" s="900" customFormat="1">
      <c r="B19" s="63"/>
      <c r="C19" s="890">
        <v>100000</v>
      </c>
      <c r="D19" s="63"/>
      <c r="E19" s="892" t="s">
        <v>3028</v>
      </c>
      <c r="F19" s="63"/>
      <c r="G19" s="987"/>
      <c r="H19" s="63"/>
      <c r="I19" s="884"/>
      <c r="J19" s="918" t="s">
        <v>3067</v>
      </c>
    </row>
    <row r="20" spans="2:10" s="917" customFormat="1">
      <c r="B20" s="63"/>
      <c r="C20" s="890"/>
      <c r="D20" s="63"/>
      <c r="E20" s="892"/>
      <c r="F20" s="891"/>
      <c r="G20" s="913"/>
      <c r="H20" s="63"/>
      <c r="I20" s="884"/>
      <c r="J20" s="918"/>
    </row>
    <row r="21" spans="2:10">
      <c r="B21" s="63"/>
      <c r="C21" s="219"/>
      <c r="D21" s="890">
        <f>-F21-C22</f>
        <v>250000</v>
      </c>
      <c r="E21" s="892" t="s">
        <v>3028</v>
      </c>
      <c r="F21" s="908">
        <v>-250000</v>
      </c>
      <c r="G21" s="986">
        <v>45169</v>
      </c>
      <c r="H21" s="63"/>
      <c r="I21" s="893"/>
      <c r="J21" s="11" t="s">
        <v>3049</v>
      </c>
    </row>
    <row r="22" spans="2:10">
      <c r="B22" s="63"/>
      <c r="C22" s="890">
        <v>0</v>
      </c>
      <c r="D22" s="63"/>
      <c r="E22" s="889"/>
      <c r="F22" s="891"/>
      <c r="G22" s="986"/>
      <c r="H22" s="63"/>
      <c r="I22" s="893"/>
      <c r="J22" s="11" t="s">
        <v>3051</v>
      </c>
    </row>
    <row r="23" spans="2:10" s="900" customFormat="1">
      <c r="B23" s="63"/>
      <c r="C23" s="890"/>
      <c r="D23" s="890">
        <v>-135</v>
      </c>
      <c r="E23" s="889"/>
      <c r="F23" s="891"/>
      <c r="G23" s="986"/>
      <c r="H23" s="63"/>
      <c r="I23" s="893"/>
      <c r="J23" s="902"/>
    </row>
    <row r="24" spans="2:10" s="900" customFormat="1">
      <c r="B24" s="63"/>
      <c r="C24" s="890"/>
      <c r="D24" s="890"/>
      <c r="E24" s="889"/>
      <c r="F24" s="891"/>
      <c r="G24" s="986"/>
      <c r="H24" s="885">
        <f>-D23</f>
        <v>135</v>
      </c>
      <c r="I24" s="893"/>
      <c r="J24" s="901" t="s">
        <v>3057</v>
      </c>
    </row>
    <row r="25" spans="2:10">
      <c r="B25" s="63"/>
      <c r="C25" s="63"/>
      <c r="D25" s="63"/>
      <c r="E25" s="888"/>
      <c r="F25" s="885">
        <v>0</v>
      </c>
      <c r="G25" s="875">
        <v>45170</v>
      </c>
      <c r="H25" s="63"/>
      <c r="I25" s="227">
        <f>I3+SUM(F4:F25)</f>
        <v>0</v>
      </c>
    </row>
    <row r="26" spans="2:10">
      <c r="B26" s="63"/>
      <c r="C26" s="63"/>
      <c r="D26" s="890">
        <f>-F25</f>
        <v>0</v>
      </c>
      <c r="E26" s="888"/>
      <c r="F26" s="885"/>
      <c r="G26" s="875"/>
      <c r="H26" s="211"/>
      <c r="I26" s="884"/>
      <c r="J26" s="11"/>
    </row>
  </sheetData>
  <mergeCells count="4">
    <mergeCell ref="G14:G16"/>
    <mergeCell ref="G21:G24"/>
    <mergeCell ref="G18:G19"/>
    <mergeCell ref="G9:G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2023-07-31T15:06:09Z</cp:lastPrinted>
  <dcterms:created xsi:type="dcterms:W3CDTF">1998-07-18T13:03:51Z</dcterms:created>
  <dcterms:modified xsi:type="dcterms:W3CDTF">2023-08-18T01:55:12Z</dcterms:modified>
</cp:coreProperties>
</file>