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showInkAnnotation="0" autoCompressPictures="0"/>
  <bookViews>
    <workbookView xWindow="0" yWindow="0" windowWidth="24669" windowHeight="14225" tabRatio="500"/>
  </bookViews>
  <sheets>
    <sheet name="Es - summary page" sheetId="3" r:id="rId1"/>
    <sheet name="lookup info" sheetId="4" r:id="rId2"/>
  </sheets>
  <definedNames>
    <definedName name="_xlnm._FilterDatabase" localSheetId="1" hidden="1">'lookup info'!$A$5:$E$5</definedName>
    <definedName name="_xlnm.Print_Area" localSheetId="0">'Es - summary page'!$A$1:$N$79</definedName>
  </definedNames>
  <calcPr calcId="125725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40" i="3"/>
  <c r="D15"/>
  <c r="D61"/>
  <c r="D65"/>
  <c r="N65"/>
  <c r="N61"/>
  <c r="D62"/>
  <c r="N62"/>
  <c r="D63"/>
  <c r="N63"/>
  <c r="D64"/>
  <c r="N64"/>
  <c r="N67"/>
  <c r="D42"/>
  <c r="D49"/>
  <c r="D18"/>
  <c r="D19"/>
  <c r="D21"/>
  <c r="D23"/>
  <c r="D27"/>
  <c r="D30"/>
  <c r="D32"/>
  <c r="D51"/>
  <c r="E21"/>
  <c r="E23"/>
  <c r="E27"/>
  <c r="E30"/>
  <c r="E32"/>
  <c r="E40"/>
  <c r="E42"/>
  <c r="E49"/>
  <c r="E51"/>
  <c r="F21"/>
  <c r="F23"/>
  <c r="F27"/>
  <c r="F30"/>
  <c r="F32"/>
  <c r="F40"/>
  <c r="F42"/>
  <c r="F49"/>
  <c r="F51"/>
  <c r="G21"/>
  <c r="G23"/>
  <c r="G27"/>
  <c r="G30"/>
  <c r="G32"/>
  <c r="G40"/>
  <c r="G42"/>
  <c r="G49"/>
  <c r="G51"/>
  <c r="H21"/>
  <c r="H23"/>
  <c r="H27"/>
  <c r="H30"/>
  <c r="H32"/>
  <c r="H40"/>
  <c r="H42"/>
  <c r="H49"/>
  <c r="H51"/>
  <c r="I21"/>
  <c r="I23"/>
  <c r="I27"/>
  <c r="I30"/>
  <c r="I32"/>
  <c r="I40"/>
  <c r="I42"/>
  <c r="I49"/>
  <c r="I51"/>
  <c r="J21"/>
  <c r="J23"/>
  <c r="J27"/>
  <c r="J30"/>
  <c r="J32"/>
  <c r="J40"/>
  <c r="J42"/>
  <c r="J49"/>
  <c r="J51"/>
  <c r="K21"/>
  <c r="K23"/>
  <c r="K27"/>
  <c r="K30"/>
  <c r="K32"/>
  <c r="K40"/>
  <c r="K42"/>
  <c r="K49"/>
  <c r="K51"/>
  <c r="L21"/>
  <c r="L23"/>
  <c r="L27"/>
  <c r="L30"/>
  <c r="L32"/>
  <c r="L40"/>
  <c r="L42"/>
  <c r="L49"/>
  <c r="L51"/>
  <c r="M21"/>
  <c r="M23"/>
  <c r="M27"/>
  <c r="M30"/>
  <c r="M32"/>
  <c r="M40"/>
  <c r="M42"/>
  <c r="M49"/>
  <c r="M51"/>
  <c r="N51"/>
  <c r="N70"/>
  <c r="E62"/>
  <c r="F15"/>
  <c r="F37"/>
  <c r="F62"/>
  <c r="G37"/>
  <c r="G62"/>
  <c r="H37"/>
  <c r="H62"/>
  <c r="I37"/>
  <c r="I62"/>
  <c r="J37"/>
  <c r="J62"/>
  <c r="K37"/>
  <c r="K62"/>
  <c r="L37"/>
  <c r="L62"/>
  <c r="M37"/>
  <c r="M62"/>
  <c r="E61"/>
  <c r="F61"/>
  <c r="G61"/>
  <c r="H61"/>
  <c r="I61"/>
  <c r="J61"/>
  <c r="K61"/>
  <c r="L61"/>
  <c r="M61"/>
  <c r="E63"/>
  <c r="F63"/>
  <c r="G63"/>
  <c r="H63"/>
  <c r="I63"/>
  <c r="J63"/>
  <c r="K63"/>
  <c r="L63"/>
  <c r="M63"/>
  <c r="E64"/>
  <c r="F64"/>
  <c r="G64"/>
  <c r="H64"/>
  <c r="I64"/>
  <c r="J64"/>
  <c r="K64"/>
  <c r="L64"/>
  <c r="M64"/>
  <c r="E65"/>
  <c r="F65"/>
  <c r="G65"/>
  <c r="H65"/>
  <c r="I65"/>
  <c r="J65"/>
  <c r="K65"/>
  <c r="L65"/>
  <c r="M65"/>
  <c r="M38"/>
  <c r="M15"/>
  <c r="M19"/>
  <c r="M67"/>
  <c r="L38"/>
  <c r="L15"/>
  <c r="L19"/>
  <c r="L67"/>
  <c r="K38"/>
  <c r="K15"/>
  <c r="K19"/>
  <c r="K67"/>
  <c r="J38"/>
  <c r="J15"/>
  <c r="J19"/>
  <c r="J67"/>
  <c r="I18"/>
  <c r="I19"/>
  <c r="I15"/>
  <c r="I38"/>
  <c r="I67"/>
  <c r="H18"/>
  <c r="H19"/>
  <c r="H15"/>
  <c r="H38"/>
  <c r="H67"/>
  <c r="G18"/>
  <c r="G19"/>
  <c r="G15"/>
  <c r="G38"/>
  <c r="G67"/>
  <c r="F18"/>
  <c r="F19"/>
  <c r="F38"/>
  <c r="F67"/>
  <c r="E18"/>
  <c r="E19"/>
  <c r="E15"/>
  <c r="E38"/>
  <c r="E67"/>
  <c r="D67"/>
  <c r="N21"/>
  <c r="N40"/>
  <c r="O40"/>
  <c r="M47"/>
  <c r="O47"/>
  <c r="M24"/>
  <c r="M44"/>
  <c r="M45"/>
  <c r="L24"/>
  <c r="L44"/>
  <c r="L45"/>
  <c r="K24"/>
  <c r="K44"/>
  <c r="K45"/>
  <c r="J24"/>
  <c r="J44"/>
  <c r="J45"/>
  <c r="I24"/>
  <c r="I44"/>
  <c r="I45"/>
  <c r="H24"/>
  <c r="H44"/>
  <c r="H45"/>
  <c r="G24"/>
  <c r="G44"/>
  <c r="G45"/>
  <c r="F24"/>
  <c r="F44"/>
  <c r="F45"/>
  <c r="E24"/>
  <c r="E44"/>
  <c r="E45"/>
  <c r="D24"/>
  <c r="D44"/>
  <c r="D45"/>
  <c r="M41"/>
  <c r="L41"/>
  <c r="K41"/>
  <c r="J41"/>
  <c r="I41"/>
  <c r="H41"/>
  <c r="G41"/>
  <c r="F41"/>
  <c r="E41"/>
  <c r="D41"/>
  <c r="M43"/>
  <c r="L43"/>
  <c r="K43"/>
  <c r="J43"/>
  <c r="I43"/>
  <c r="H43"/>
  <c r="G43"/>
  <c r="F43"/>
  <c r="E43"/>
  <c r="D43"/>
  <c r="I52"/>
  <c r="E46"/>
  <c r="E47"/>
  <c r="E75"/>
  <c r="L47"/>
  <c r="L75"/>
  <c r="J47"/>
  <c r="J75"/>
  <c r="G47"/>
  <c r="H47"/>
  <c r="I47"/>
  <c r="K47"/>
  <c r="E74"/>
  <c r="K75"/>
  <c r="I75"/>
  <c r="H75"/>
  <c r="G75"/>
  <c r="J74"/>
  <c r="L74"/>
  <c r="K74"/>
  <c r="I74"/>
  <c r="H74"/>
  <c r="G74"/>
  <c r="F47"/>
  <c r="F74"/>
  <c r="F75"/>
  <c r="N30"/>
  <c r="N24"/>
  <c r="N23"/>
  <c r="M74"/>
  <c r="N32"/>
  <c r="M75"/>
  <c r="D46"/>
  <c r="D47"/>
  <c r="D74"/>
  <c r="N74"/>
  <c r="N49"/>
  <c r="N44"/>
  <c r="N54"/>
  <c r="N42"/>
  <c r="D75"/>
  <c r="N75"/>
  <c r="N77"/>
  <c r="N53"/>
  <c r="N79"/>
</calcChain>
</file>

<file path=xl/sharedStrings.xml><?xml version="1.0" encoding="utf-8"?>
<sst xmlns="http://schemas.openxmlformats.org/spreadsheetml/2006/main" count="116" uniqueCount="89">
  <si>
    <t>Life Cycle Cost Analysis</t>
  </si>
  <si>
    <t>Key Variable Data</t>
  </si>
  <si>
    <t>Unit Cost of Electricity</t>
  </si>
  <si>
    <t>Operational Hours per Day</t>
  </si>
  <si>
    <t>Operational Days per Year</t>
  </si>
  <si>
    <t>hours</t>
  </si>
  <si>
    <t>days</t>
  </si>
  <si>
    <t>Ballast/driver loss</t>
  </si>
  <si>
    <t>Product Description</t>
  </si>
  <si>
    <t>Quantity</t>
  </si>
  <si>
    <t>Power Rating (Watts)</t>
  </si>
  <si>
    <t>Number of Replacements Per Annum</t>
  </si>
  <si>
    <t>Total Replacement Cost Per Annum</t>
  </si>
  <si>
    <t>TOTAL ANNUAL COST</t>
  </si>
  <si>
    <t>Total Annual Power Consumption (kWhr)</t>
  </si>
  <si>
    <t>Bulb Life to L70 (hours)</t>
  </si>
  <si>
    <t>Current "fluorescent" Specification</t>
  </si>
  <si>
    <t>Proposed LED specification</t>
  </si>
  <si>
    <t>Expected Fitting Life to L70 (years)</t>
  </si>
  <si>
    <t>LIFE CYCLE COST COMPARISON (calculated over LED lifespan TO L70)</t>
  </si>
  <si>
    <t>FORECAST COST SAVING OVER PERIOD OF LED LIFE EXPECTANCY</t>
  </si>
  <si>
    <t>Total Energy Cost Per Annum (£'s)</t>
  </si>
  <si>
    <t>TOTAL ANNUAL SAVING (£'s)</t>
  </si>
  <si>
    <t>TOTALS OVER 5 YEAR PERIOD</t>
  </si>
  <si>
    <t>Carbon Saving (Tonnes)</t>
  </si>
  <si>
    <t>Cost Saving (£'s)</t>
  </si>
  <si>
    <t xml:space="preserve">per kWh </t>
  </si>
  <si>
    <t>Current Specification</t>
  </si>
  <si>
    <t>Proposed LED Specification</t>
  </si>
  <si>
    <t>PRODUCT COST</t>
  </si>
  <si>
    <t>price per unit</t>
  </si>
  <si>
    <t>total cost</t>
  </si>
  <si>
    <t>Proposed LED specification (supply only)</t>
  </si>
  <si>
    <t>liteRAFT600</t>
  </si>
  <si>
    <t>Luminaire Quantity</t>
  </si>
  <si>
    <t>Lamps per Luminaire</t>
  </si>
  <si>
    <t>Total Lamp Quantity</t>
  </si>
  <si>
    <t>Power Rating (Watts per Lamp)</t>
  </si>
  <si>
    <t>Actual power consumption (Watts per Lamp)</t>
  </si>
  <si>
    <t>Ballast / Driver Type</t>
  </si>
  <si>
    <t>Total Carbon used Per Annum (KG)</t>
  </si>
  <si>
    <t>Lamp Life to L70 (hours)</t>
  </si>
  <si>
    <t>Maintenance Cost (all in hourly rate)</t>
  </si>
  <si>
    <t>per hour</t>
  </si>
  <si>
    <t>Lamp Replacement Cost</t>
  </si>
  <si>
    <t>Lamp Replacement Time (hrs)</t>
  </si>
  <si>
    <t>Name</t>
  </si>
  <si>
    <t>litePIPE1500</t>
  </si>
  <si>
    <t>litePIPE600</t>
  </si>
  <si>
    <t>litePIPE1200</t>
  </si>
  <si>
    <t>litePIPE1800</t>
  </si>
  <si>
    <t>liteRAFT1200</t>
  </si>
  <si>
    <t>VAPOURlite1200</t>
  </si>
  <si>
    <t>VAPOURlite1500</t>
  </si>
  <si>
    <t>Power (W)</t>
  </si>
  <si>
    <t>LifeSpan (hrs)</t>
  </si>
  <si>
    <t>Lumens</t>
  </si>
  <si>
    <t>not used</t>
  </si>
  <si>
    <t>PRODUCTS</t>
  </si>
  <si>
    <t>BALLAST TYPE</t>
  </si>
  <si>
    <t>Switch Start</t>
  </si>
  <si>
    <t>High Frequency</t>
  </si>
  <si>
    <t>Non Used</t>
  </si>
  <si>
    <t>Price</t>
  </si>
  <si>
    <t>FORECAST REDUCTION IN CARBON USE OVER PERIOD OF LED LIFE EXPECTANCY (KG)</t>
  </si>
  <si>
    <t>litePANEL</t>
  </si>
  <si>
    <t>SPOTlite</t>
  </si>
  <si>
    <t>Return on Investment in Years</t>
  </si>
  <si>
    <t>G4S</t>
  </si>
  <si>
    <t>Gloucester Rugby Club</t>
  </si>
  <si>
    <t>600 x 600 fitting - T8 2ft Tube</t>
  </si>
  <si>
    <t>T8 6ft Twin fitting</t>
  </si>
  <si>
    <t>T8 6ft tube</t>
  </si>
  <si>
    <t>MR16</t>
  </si>
  <si>
    <t>Downlight - 2 x 18w PL Lamp</t>
  </si>
  <si>
    <t>Downlight - 2 x 24w PL Lamp</t>
  </si>
  <si>
    <t>600 x 600 fitting - 2G11 PL Lamp</t>
  </si>
  <si>
    <t xml:space="preserve">2D </t>
  </si>
  <si>
    <t>DOWNlite20</t>
  </si>
  <si>
    <t>DOWNlite30</t>
  </si>
  <si>
    <t>2D</t>
  </si>
  <si>
    <t>rebates</t>
  </si>
  <si>
    <t>Installation</t>
  </si>
  <si>
    <t>Supply Only</t>
  </si>
  <si>
    <t>Emergency Equipment &amp; Control</t>
  </si>
  <si>
    <t>TOTALS</t>
  </si>
  <si>
    <t>5% installation Contingency due to budget status</t>
  </si>
  <si>
    <t>Unit Price</t>
  </si>
  <si>
    <t>Survey Allowance</t>
  </si>
</sst>
</file>

<file path=xl/styles.xml><?xml version="1.0" encoding="utf-8"?>
<styleSheet xmlns="http://schemas.openxmlformats.org/spreadsheetml/2006/main">
  <numFmts count="4">
    <numFmt numFmtId="164" formatCode="&quot;£&quot;#,##0.00"/>
    <numFmt numFmtId="165" formatCode="0.0"/>
    <numFmt numFmtId="166" formatCode="[$IDR]\ #,##0.00"/>
    <numFmt numFmtId="167" formatCode="&quot;£&quot;#,##0"/>
  </numFmts>
  <fonts count="14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0"/>
      <name val="Arial"/>
      <family val="2"/>
    </font>
    <font>
      <b/>
      <sz val="12"/>
      <color theme="1"/>
      <name val="Trebuchet MS"/>
      <family val="2"/>
    </font>
    <font>
      <sz val="12"/>
      <color theme="1"/>
      <name val="Trebuchet MS"/>
      <family val="2"/>
    </font>
    <font>
      <sz val="12"/>
      <name val="Trebuchet MS"/>
      <family val="2"/>
    </font>
    <font>
      <b/>
      <sz val="12"/>
      <color theme="9" tint="-0.249977111117893"/>
      <name val="Trebuchet MS"/>
      <family val="2"/>
    </font>
    <font>
      <b/>
      <sz val="12"/>
      <name val="Trebuchet MS"/>
      <family val="2"/>
    </font>
    <font>
      <b/>
      <sz val="12"/>
      <color rgb="FF008000"/>
      <name val="Trebuchet MS"/>
      <family val="2"/>
    </font>
    <font>
      <sz val="12"/>
      <color rgb="FFFF6600"/>
      <name val="Trebuchet MS"/>
      <family val="2"/>
    </font>
    <font>
      <sz val="12"/>
      <color rgb="FF008000"/>
      <name val="Trebuchet MS"/>
      <family val="2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</fills>
  <borders count="23">
    <border>
      <left/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double">
        <color auto="1"/>
      </bottom>
      <diagonal/>
    </border>
    <border>
      <left/>
      <right/>
      <top style="medium">
        <color auto="1"/>
      </top>
      <bottom style="double">
        <color auto="1"/>
      </bottom>
      <diagonal/>
    </border>
    <border>
      <left/>
      <right style="medium">
        <color auto="1"/>
      </right>
      <top style="medium">
        <color auto="1"/>
      </top>
      <bottom style="double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double">
        <color auto="1"/>
      </bottom>
      <diagonal/>
    </border>
    <border>
      <left/>
      <right style="medium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 style="thin">
        <color auto="1"/>
      </top>
      <bottom/>
      <diagonal/>
    </border>
  </borders>
  <cellStyleXfs count="15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32">
    <xf numFmtId="0" fontId="0" fillId="0" borderId="0" xfId="0"/>
    <xf numFmtId="0" fontId="4" fillId="0" borderId="0" xfId="0" applyFont="1"/>
    <xf numFmtId="0" fontId="5" fillId="0" borderId="0" xfId="0" applyFont="1"/>
    <xf numFmtId="2" fontId="5" fillId="0" borderId="0" xfId="0" applyNumberFormat="1" applyFont="1"/>
    <xf numFmtId="0" fontId="4" fillId="0" borderId="1" xfId="0" applyNumberFormat="1" applyFont="1" applyBorder="1" applyAlignment="1">
      <alignment horizontal="right" wrapText="1"/>
    </xf>
    <xf numFmtId="164" fontId="7" fillId="0" borderId="0" xfId="0" applyNumberFormat="1" applyFont="1" applyBorder="1"/>
    <xf numFmtId="0" fontId="1" fillId="0" borderId="0" xfId="47"/>
    <xf numFmtId="0" fontId="4" fillId="0" borderId="6" xfId="0" applyFont="1" applyBorder="1"/>
    <xf numFmtId="0" fontId="5" fillId="0" borderId="0" xfId="0" applyFont="1" applyBorder="1"/>
    <xf numFmtId="0" fontId="5" fillId="0" borderId="7" xfId="0" applyFont="1" applyBorder="1"/>
    <xf numFmtId="0" fontId="10" fillId="0" borderId="6" xfId="0" applyFont="1" applyBorder="1"/>
    <xf numFmtId="0" fontId="11" fillId="0" borderId="6" xfId="0" applyFont="1" applyBorder="1"/>
    <xf numFmtId="0" fontId="5" fillId="0" borderId="6" xfId="0" applyFont="1" applyBorder="1"/>
    <xf numFmtId="0" fontId="4" fillId="2" borderId="8" xfId="0" applyFont="1" applyFill="1" applyBorder="1"/>
    <xf numFmtId="0" fontId="4" fillId="2" borderId="10" xfId="0" applyFont="1" applyFill="1" applyBorder="1"/>
    <xf numFmtId="0" fontId="5" fillId="2" borderId="11" xfId="0" applyFont="1" applyFill="1" applyBorder="1"/>
    <xf numFmtId="0" fontId="4" fillId="2" borderId="3" xfId="0" applyFont="1" applyFill="1" applyBorder="1"/>
    <xf numFmtId="0" fontId="5" fillId="2" borderId="4" xfId="0" applyFont="1" applyFill="1" applyBorder="1"/>
    <xf numFmtId="0" fontId="5" fillId="2" borderId="5" xfId="0" applyFont="1" applyFill="1" applyBorder="1"/>
    <xf numFmtId="0" fontId="4" fillId="0" borderId="13" xfId="0" applyFont="1" applyBorder="1"/>
    <xf numFmtId="0" fontId="5" fillId="0" borderId="14" xfId="0" applyFont="1" applyBorder="1"/>
    <xf numFmtId="0" fontId="5" fillId="0" borderId="15" xfId="0" applyFont="1" applyBorder="1"/>
    <xf numFmtId="0" fontId="8" fillId="0" borderId="8" xfId="0" applyNumberFormat="1" applyFont="1" applyBorder="1" applyAlignment="1">
      <alignment wrapText="1"/>
    </xf>
    <xf numFmtId="0" fontId="4" fillId="0" borderId="9" xfId="0" applyFont="1" applyBorder="1"/>
    <xf numFmtId="0" fontId="6" fillId="0" borderId="6" xfId="0" applyFont="1" applyBorder="1"/>
    <xf numFmtId="0" fontId="3" fillId="0" borderId="0" xfId="0" applyFont="1" applyBorder="1" applyAlignment="1">
      <alignment horizontal="right"/>
    </xf>
    <xf numFmtId="9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2" fontId="5" fillId="0" borderId="16" xfId="0" applyNumberFormat="1" applyFont="1" applyBorder="1"/>
    <xf numFmtId="0" fontId="5" fillId="0" borderId="7" xfId="0" applyFont="1" applyBorder="1" applyAlignment="1">
      <alignment horizontal="right"/>
    </xf>
    <xf numFmtId="0" fontId="7" fillId="0" borderId="6" xfId="0" applyFont="1" applyBorder="1"/>
    <xf numFmtId="164" fontId="7" fillId="0" borderId="7" xfId="0" applyNumberFormat="1" applyFont="1" applyBorder="1" applyAlignment="1">
      <alignment horizontal="right"/>
    </xf>
    <xf numFmtId="0" fontId="7" fillId="0" borderId="8" xfId="0" applyFont="1" applyBorder="1"/>
    <xf numFmtId="0" fontId="4" fillId="0" borderId="9" xfId="0" applyFont="1" applyBorder="1" applyAlignment="1">
      <alignment horizontal="right"/>
    </xf>
    <xf numFmtId="0" fontId="6" fillId="0" borderId="0" xfId="0" applyFont="1" applyBorder="1" applyAlignment="1">
      <alignment horizontal="right"/>
    </xf>
    <xf numFmtId="0" fontId="6" fillId="0" borderId="7" xfId="0" applyFont="1" applyBorder="1" applyAlignment="1">
      <alignment horizontal="right"/>
    </xf>
    <xf numFmtId="2" fontId="6" fillId="0" borderId="16" xfId="0" applyNumberFormat="1" applyFont="1" applyBorder="1"/>
    <xf numFmtId="0" fontId="9" fillId="0" borderId="6" xfId="0" applyFont="1" applyBorder="1"/>
    <xf numFmtId="165" fontId="6" fillId="0" borderId="0" xfId="0" applyNumberFormat="1" applyFont="1" applyBorder="1" applyAlignment="1">
      <alignment horizontal="right"/>
    </xf>
    <xf numFmtId="0" fontId="9" fillId="0" borderId="8" xfId="0" applyFont="1" applyBorder="1"/>
    <xf numFmtId="0" fontId="4" fillId="3" borderId="13" xfId="0" applyFont="1" applyFill="1" applyBorder="1"/>
    <xf numFmtId="0" fontId="4" fillId="3" borderId="14" xfId="0" applyFont="1" applyFill="1" applyBorder="1"/>
    <xf numFmtId="0" fontId="5" fillId="3" borderId="18" xfId="0" applyFont="1" applyFill="1" applyBorder="1"/>
    <xf numFmtId="0" fontId="4" fillId="3" borderId="19" xfId="0" applyFont="1" applyFill="1" applyBorder="1"/>
    <xf numFmtId="0" fontId="5" fillId="3" borderId="19" xfId="0" applyFont="1" applyFill="1" applyBorder="1"/>
    <xf numFmtId="0" fontId="8" fillId="2" borderId="10" xfId="0" applyFont="1" applyFill="1" applyBorder="1"/>
    <xf numFmtId="0" fontId="6" fillId="0" borderId="0" xfId="0" applyFont="1"/>
    <xf numFmtId="0" fontId="4" fillId="0" borderId="14" xfId="0" applyFont="1" applyBorder="1"/>
    <xf numFmtId="0" fontId="8" fillId="0" borderId="1" xfId="0" applyNumberFormat="1" applyFont="1" applyBorder="1" applyAlignment="1">
      <alignment wrapText="1"/>
    </xf>
    <xf numFmtId="0" fontId="6" fillId="0" borderId="0" xfId="0" applyFont="1" applyBorder="1"/>
    <xf numFmtId="2" fontId="5" fillId="0" borderId="2" xfId="0" applyNumberFormat="1" applyFont="1" applyBorder="1"/>
    <xf numFmtId="0" fontId="7" fillId="0" borderId="0" xfId="0" applyFont="1" applyBorder="1"/>
    <xf numFmtId="0" fontId="7" fillId="0" borderId="1" xfId="0" applyFont="1" applyBorder="1"/>
    <xf numFmtId="0" fontId="4" fillId="0" borderId="0" xfId="0" applyFont="1" applyBorder="1"/>
    <xf numFmtId="2" fontId="6" fillId="0" borderId="2" xfId="0" applyNumberFormat="1" applyFont="1" applyBorder="1"/>
    <xf numFmtId="0" fontId="9" fillId="0" borderId="0" xfId="0" applyFont="1" applyBorder="1"/>
    <xf numFmtId="0" fontId="9" fillId="0" borderId="1" xfId="0" applyFont="1" applyBorder="1"/>
    <xf numFmtId="0" fontId="8" fillId="2" borderId="11" xfId="0" applyFont="1" applyFill="1" applyBorder="1"/>
    <xf numFmtId="0" fontId="4" fillId="2" borderId="4" xfId="0" applyFont="1" applyFill="1" applyBorder="1"/>
    <xf numFmtId="0" fontId="10" fillId="0" borderId="0" xfId="0" applyFont="1" applyBorder="1"/>
    <xf numFmtId="0" fontId="11" fillId="0" borderId="0" xfId="0" applyFont="1" applyBorder="1"/>
    <xf numFmtId="0" fontId="4" fillId="2" borderId="1" xfId="0" applyFont="1" applyFill="1" applyBorder="1"/>
    <xf numFmtId="0" fontId="4" fillId="2" borderId="11" xfId="0" applyFont="1" applyFill="1" applyBorder="1"/>
    <xf numFmtId="0" fontId="4" fillId="4" borderId="3" xfId="0" applyFont="1" applyFill="1" applyBorder="1"/>
    <xf numFmtId="0" fontId="4" fillId="4" borderId="4" xfId="0" applyFont="1" applyFill="1" applyBorder="1"/>
    <xf numFmtId="0" fontId="5" fillId="4" borderId="4" xfId="0" applyFont="1" applyFill="1" applyBorder="1"/>
    <xf numFmtId="0" fontId="5" fillId="4" borderId="5" xfId="0" applyFont="1" applyFill="1" applyBorder="1"/>
    <xf numFmtId="166" fontId="6" fillId="0" borderId="0" xfId="0" applyNumberFormat="1" applyFont="1" applyBorder="1" applyAlignment="1">
      <alignment horizontal="right"/>
    </xf>
    <xf numFmtId="166" fontId="6" fillId="0" borderId="7" xfId="0" applyNumberFormat="1" applyFont="1" applyBorder="1" applyAlignment="1">
      <alignment horizontal="right"/>
    </xf>
    <xf numFmtId="0" fontId="6" fillId="0" borderId="7" xfId="0" applyFont="1" applyBorder="1"/>
    <xf numFmtId="0" fontId="4" fillId="4" borderId="8" xfId="0" applyFont="1" applyFill="1" applyBorder="1"/>
    <xf numFmtId="0" fontId="4" fillId="4" borderId="1" xfId="0" applyFont="1" applyFill="1" applyBorder="1"/>
    <xf numFmtId="0" fontId="5" fillId="4" borderId="1" xfId="0" applyFont="1" applyFill="1" applyBorder="1"/>
    <xf numFmtId="164" fontId="6" fillId="0" borderId="0" xfId="0" applyNumberFormat="1" applyFont="1"/>
    <xf numFmtId="164" fontId="0" fillId="0" borderId="0" xfId="0" applyNumberFormat="1" applyBorder="1"/>
    <xf numFmtId="164" fontId="5" fillId="0" borderId="7" xfId="0" applyNumberFormat="1" applyFont="1" applyBorder="1"/>
    <xf numFmtId="164" fontId="5" fillId="0" borderId="0" xfId="0" applyNumberFormat="1" applyFont="1" applyBorder="1"/>
    <xf numFmtId="164" fontId="5" fillId="0" borderId="0" xfId="0" applyNumberFormat="1" applyFont="1"/>
    <xf numFmtId="164" fontId="4" fillId="3" borderId="14" xfId="0" applyNumberFormat="1" applyFont="1" applyFill="1" applyBorder="1"/>
    <xf numFmtId="164" fontId="6" fillId="0" borderId="0" xfId="0" applyNumberFormat="1" applyFont="1" applyBorder="1"/>
    <xf numFmtId="164" fontId="6" fillId="0" borderId="7" xfId="0" applyNumberFormat="1" applyFont="1" applyBorder="1"/>
    <xf numFmtId="164" fontId="10" fillId="0" borderId="0" xfId="0" applyNumberFormat="1" applyFont="1" applyBorder="1"/>
    <xf numFmtId="164" fontId="10" fillId="0" borderId="7" xfId="0" applyNumberFormat="1" applyFont="1" applyBorder="1"/>
    <xf numFmtId="164" fontId="11" fillId="0" borderId="0" xfId="0" applyNumberFormat="1" applyFont="1" applyBorder="1"/>
    <xf numFmtId="164" fontId="11" fillId="0" borderId="7" xfId="0" applyNumberFormat="1" applyFont="1" applyBorder="1"/>
    <xf numFmtId="164" fontId="5" fillId="2" borderId="1" xfId="0" applyNumberFormat="1" applyFont="1" applyFill="1" applyBorder="1"/>
    <xf numFmtId="164" fontId="4" fillId="2" borderId="9" xfId="0" applyNumberFormat="1" applyFont="1" applyFill="1" applyBorder="1"/>
    <xf numFmtId="3" fontId="7" fillId="0" borderId="0" xfId="0" applyNumberFormat="1" applyFont="1" applyBorder="1" applyAlignment="1">
      <alignment horizontal="right"/>
    </xf>
    <xf numFmtId="165" fontId="0" fillId="0" borderId="0" xfId="0" applyNumberFormat="1" applyBorder="1" applyAlignment="1">
      <alignment horizontal="right"/>
    </xf>
    <xf numFmtId="0" fontId="12" fillId="0" borderId="0" xfId="0" applyFont="1"/>
    <xf numFmtId="9" fontId="0" fillId="0" borderId="0" xfId="0" applyNumberFormat="1"/>
    <xf numFmtId="3" fontId="7" fillId="0" borderId="7" xfId="0" applyNumberFormat="1" applyFont="1" applyBorder="1" applyAlignment="1">
      <alignment horizontal="right"/>
    </xf>
    <xf numFmtId="3" fontId="9" fillId="0" borderId="7" xfId="0" applyNumberFormat="1" applyFont="1" applyBorder="1" applyAlignment="1">
      <alignment horizontal="right"/>
    </xf>
    <xf numFmtId="0" fontId="5" fillId="0" borderId="21" xfId="0" applyNumberFormat="1" applyFont="1" applyBorder="1" applyAlignment="1">
      <alignment horizontal="right" wrapText="1"/>
    </xf>
    <xf numFmtId="3" fontId="4" fillId="2" borderId="12" xfId="0" applyNumberFormat="1" applyFont="1" applyFill="1" applyBorder="1"/>
    <xf numFmtId="164" fontId="8" fillId="0" borderId="7" xfId="0" applyNumberFormat="1" applyFont="1" applyBorder="1"/>
    <xf numFmtId="0" fontId="4" fillId="4" borderId="1" xfId="0" applyFont="1" applyFill="1" applyBorder="1" applyAlignment="1">
      <alignment horizontal="right"/>
    </xf>
    <xf numFmtId="165" fontId="4" fillId="4" borderId="9" xfId="0" applyNumberFormat="1" applyFont="1" applyFill="1" applyBorder="1"/>
    <xf numFmtId="3" fontId="5" fillId="0" borderId="2" xfId="0" applyNumberFormat="1" applyFont="1" applyBorder="1" applyAlignment="1">
      <alignment horizontal="right"/>
    </xf>
    <xf numFmtId="3" fontId="5" fillId="0" borderId="17" xfId="0" applyNumberFormat="1" applyFont="1" applyBorder="1" applyAlignment="1">
      <alignment horizontal="right"/>
    </xf>
    <xf numFmtId="167" fontId="7" fillId="0" borderId="0" xfId="0" applyNumberFormat="1" applyFont="1" applyBorder="1" applyAlignment="1">
      <alignment horizontal="right"/>
    </xf>
    <xf numFmtId="167" fontId="7" fillId="0" borderId="7" xfId="0" applyNumberFormat="1" applyFont="1" applyBorder="1" applyAlignment="1">
      <alignment horizontal="right"/>
    </xf>
    <xf numFmtId="167" fontId="7" fillId="0" borderId="7" xfId="0" applyNumberFormat="1" applyFont="1" applyBorder="1"/>
    <xf numFmtId="167" fontId="7" fillId="0" borderId="1" xfId="0" applyNumberFormat="1" applyFont="1" applyBorder="1"/>
    <xf numFmtId="167" fontId="7" fillId="0" borderId="9" xfId="0" applyNumberFormat="1" applyFont="1" applyBorder="1" applyAlignment="1">
      <alignment horizontal="right"/>
    </xf>
    <xf numFmtId="3" fontId="6" fillId="0" borderId="2" xfId="0" applyNumberFormat="1" applyFont="1" applyBorder="1" applyAlignment="1">
      <alignment horizontal="right"/>
    </xf>
    <xf numFmtId="3" fontId="6" fillId="0" borderId="17" xfId="0" applyNumberFormat="1" applyFont="1" applyBorder="1" applyAlignment="1">
      <alignment horizontal="right"/>
    </xf>
    <xf numFmtId="167" fontId="9" fillId="0" borderId="0" xfId="0" applyNumberFormat="1" applyFont="1" applyBorder="1" applyAlignment="1">
      <alignment horizontal="right"/>
    </xf>
    <xf numFmtId="167" fontId="9" fillId="0" borderId="7" xfId="0" applyNumberFormat="1" applyFont="1" applyBorder="1" applyAlignment="1">
      <alignment horizontal="right"/>
    </xf>
    <xf numFmtId="3" fontId="9" fillId="0" borderId="0" xfId="0" applyNumberFormat="1" applyFont="1" applyBorder="1" applyAlignment="1">
      <alignment horizontal="right"/>
    </xf>
    <xf numFmtId="167" fontId="9" fillId="0" borderId="1" xfId="0" applyNumberFormat="1" applyFont="1" applyBorder="1" applyAlignment="1">
      <alignment horizontal="right"/>
    </xf>
    <xf numFmtId="167" fontId="9" fillId="0" borderId="9" xfId="0" applyNumberFormat="1" applyFont="1" applyBorder="1" applyAlignment="1">
      <alignment horizontal="right"/>
    </xf>
    <xf numFmtId="167" fontId="8" fillId="2" borderId="11" xfId="0" applyNumberFormat="1" applyFont="1" applyFill="1" applyBorder="1" applyAlignment="1">
      <alignment horizontal="right"/>
    </xf>
    <xf numFmtId="167" fontId="8" fillId="2" borderId="12" xfId="0" applyNumberFormat="1" applyFont="1" applyFill="1" applyBorder="1" applyAlignment="1">
      <alignment horizontal="right"/>
    </xf>
    <xf numFmtId="3" fontId="4" fillId="3" borderId="20" xfId="0" applyNumberFormat="1" applyFont="1" applyFill="1" applyBorder="1"/>
    <xf numFmtId="0" fontId="5" fillId="0" borderId="1" xfId="0" applyNumberFormat="1" applyFont="1" applyBorder="1" applyAlignment="1">
      <alignment horizontal="right" wrapText="1"/>
    </xf>
    <xf numFmtId="164" fontId="4" fillId="3" borderId="15" xfId="0" applyNumberFormat="1" applyFont="1" applyFill="1" applyBorder="1"/>
    <xf numFmtId="167" fontId="6" fillId="0" borderId="0" xfId="0" applyNumberFormat="1" applyFont="1" applyBorder="1" applyAlignment="1">
      <alignment horizontal="right"/>
    </xf>
    <xf numFmtId="164" fontId="8" fillId="0" borderId="22" xfId="0" applyNumberFormat="1" applyFont="1" applyBorder="1"/>
    <xf numFmtId="164" fontId="4" fillId="3" borderId="14" xfId="0" applyNumberFormat="1" applyFont="1" applyFill="1" applyBorder="1" applyAlignment="1">
      <alignment horizontal="right"/>
    </xf>
    <xf numFmtId="0" fontId="4" fillId="3" borderId="19" xfId="0" applyFont="1" applyFill="1" applyBorder="1" applyAlignment="1">
      <alignment horizontal="right"/>
    </xf>
    <xf numFmtId="164" fontId="6" fillId="0" borderId="6" xfId="0" applyNumberFormat="1" applyFont="1" applyFill="1" applyBorder="1" applyAlignment="1">
      <alignment horizontal="right"/>
    </xf>
    <xf numFmtId="164" fontId="6" fillId="0" borderId="7" xfId="0" applyNumberFormat="1" applyFont="1" applyFill="1" applyBorder="1" applyAlignment="1">
      <alignment horizontal="right"/>
    </xf>
    <xf numFmtId="164" fontId="6" fillId="0" borderId="0" xfId="0" applyNumberFormat="1" applyFont="1" applyFill="1" applyBorder="1" applyAlignment="1">
      <alignment horizontal="right"/>
    </xf>
    <xf numFmtId="164" fontId="6" fillId="0" borderId="0" xfId="0" applyNumberFormat="1" applyFont="1" applyBorder="1" applyAlignment="1">
      <alignment horizontal="right"/>
    </xf>
    <xf numFmtId="164" fontId="6" fillId="5" borderId="0" xfId="0" applyNumberFormat="1" applyFont="1" applyFill="1" applyBorder="1"/>
    <xf numFmtId="167" fontId="9" fillId="5" borderId="0" xfId="0" applyNumberFormat="1" applyFont="1" applyFill="1" applyBorder="1" applyAlignment="1">
      <alignment horizontal="right"/>
    </xf>
    <xf numFmtId="167" fontId="7" fillId="5" borderId="0" xfId="0" applyNumberFormat="1" applyFont="1" applyFill="1" applyBorder="1"/>
    <xf numFmtId="3" fontId="6" fillId="5" borderId="0" xfId="0" applyNumberFormat="1" applyFont="1" applyFill="1" applyBorder="1" applyAlignment="1">
      <alignment horizontal="right"/>
    </xf>
    <xf numFmtId="2" fontId="6" fillId="0" borderId="0" xfId="0" applyNumberFormat="1" applyFont="1" applyBorder="1" applyAlignment="1">
      <alignment horizontal="right"/>
    </xf>
    <xf numFmtId="2" fontId="6" fillId="0" borderId="0" xfId="0" applyNumberFormat="1" applyFont="1" applyBorder="1"/>
    <xf numFmtId="0" fontId="8" fillId="0" borderId="0" xfId="0" applyFont="1" applyBorder="1"/>
  </cellXfs>
  <cellStyles count="15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495300</xdr:colOff>
      <xdr:row>0</xdr:row>
      <xdr:rowOff>0</xdr:rowOff>
    </xdr:from>
    <xdr:to>
      <xdr:col>13</xdr:col>
      <xdr:colOff>1785937</xdr:colOff>
      <xdr:row>6</xdr:row>
      <xdr:rowOff>152400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833100" y="0"/>
          <a:ext cx="129540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sheetPr enableFormatConditionsCalculation="0">
    <pageSetUpPr fitToPage="1"/>
  </sheetPr>
  <dimension ref="A1:P80"/>
  <sheetViews>
    <sheetView tabSelected="1" zoomScale="75" zoomScaleNormal="75" zoomScalePageLayoutView="75" workbookViewId="0">
      <pane xSplit="3" ySplit="12" topLeftCell="D22" activePane="bottomRight" state="frozen"/>
      <selection pane="topRight" activeCell="D1" sqref="D1"/>
      <selection pane="bottomLeft" activeCell="A13" sqref="A13"/>
      <selection pane="bottomRight" activeCell="D30" sqref="D30"/>
    </sheetView>
  </sheetViews>
  <sheetFormatPr defaultColWidth="10.77734375" defaultRowHeight="17.45"/>
  <cols>
    <col min="1" max="1" width="41.44140625" style="2" customWidth="1"/>
    <col min="2" max="3" width="10.109375" style="2" customWidth="1"/>
    <col min="4" max="4" width="19.44140625" style="2" customWidth="1"/>
    <col min="5" max="11" width="19.33203125" style="2" customWidth="1"/>
    <col min="12" max="12" width="19.44140625" style="2" customWidth="1"/>
    <col min="13" max="13" width="19.33203125" style="2" customWidth="1"/>
    <col min="14" max="14" width="23.44140625" style="2" customWidth="1"/>
    <col min="15" max="16384" width="10.77734375" style="2"/>
  </cols>
  <sheetData>
    <row r="1" spans="1:14">
      <c r="A1" s="1" t="s">
        <v>68</v>
      </c>
      <c r="B1" s="1"/>
      <c r="C1" s="1"/>
    </row>
    <row r="2" spans="1:14">
      <c r="A2" s="1" t="s">
        <v>69</v>
      </c>
      <c r="B2" s="1"/>
      <c r="C2" s="1"/>
    </row>
    <row r="3" spans="1:14">
      <c r="A3" s="1" t="s">
        <v>0</v>
      </c>
      <c r="B3" s="1"/>
      <c r="C3" s="1"/>
    </row>
    <row r="4" spans="1:14">
      <c r="A4" s="1"/>
      <c r="B4" s="1"/>
      <c r="C4" s="1"/>
    </row>
    <row r="5" spans="1:14">
      <c r="A5" s="1" t="s">
        <v>1</v>
      </c>
      <c r="B5" s="1"/>
      <c r="C5" s="1"/>
      <c r="N5" s="6"/>
    </row>
    <row r="6" spans="1:14">
      <c r="A6" s="2" t="s">
        <v>2</v>
      </c>
      <c r="B6" s="73">
        <v>0.12</v>
      </c>
      <c r="C6" s="2" t="s">
        <v>26</v>
      </c>
    </row>
    <row r="7" spans="1:14">
      <c r="A7" s="2" t="s">
        <v>3</v>
      </c>
      <c r="B7" s="46">
        <v>9</v>
      </c>
      <c r="C7" s="2" t="s">
        <v>5</v>
      </c>
    </row>
    <row r="8" spans="1:14">
      <c r="A8" s="2" t="s">
        <v>4</v>
      </c>
      <c r="B8" s="46">
        <v>240</v>
      </c>
      <c r="C8" s="2" t="s">
        <v>6</v>
      </c>
    </row>
    <row r="9" spans="1:14">
      <c r="A9" s="2" t="s">
        <v>42</v>
      </c>
      <c r="B9" s="73">
        <v>35</v>
      </c>
      <c r="C9" s="2" t="s">
        <v>43</v>
      </c>
    </row>
    <row r="10" spans="1:14" ht="18.2" thickBot="1"/>
    <row r="11" spans="1:14">
      <c r="A11" s="19" t="s">
        <v>27</v>
      </c>
      <c r="B11" s="47"/>
      <c r="C11" s="47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1"/>
    </row>
    <row r="12" spans="1:14" ht="35.65" thickBot="1">
      <c r="A12" s="22" t="s">
        <v>8</v>
      </c>
      <c r="B12" s="48"/>
      <c r="C12" s="48"/>
      <c r="D12" s="4" t="s">
        <v>70</v>
      </c>
      <c r="E12" s="4" t="s">
        <v>70</v>
      </c>
      <c r="F12" s="4" t="s">
        <v>71</v>
      </c>
      <c r="G12" s="4" t="s">
        <v>72</v>
      </c>
      <c r="H12" s="4" t="s">
        <v>72</v>
      </c>
      <c r="I12" s="4" t="s">
        <v>73</v>
      </c>
      <c r="J12" s="4" t="s">
        <v>76</v>
      </c>
      <c r="K12" s="4" t="s">
        <v>74</v>
      </c>
      <c r="L12" s="4" t="s">
        <v>77</v>
      </c>
      <c r="M12" s="4" t="s">
        <v>75</v>
      </c>
      <c r="N12" s="23"/>
    </row>
    <row r="13" spans="1:14" ht="18.2" thickTop="1">
      <c r="A13" s="24" t="s">
        <v>34</v>
      </c>
      <c r="B13" s="49"/>
      <c r="C13" s="49"/>
      <c r="D13" s="25">
        <v>15</v>
      </c>
      <c r="E13" s="25">
        <v>161</v>
      </c>
      <c r="F13" s="25">
        <v>12</v>
      </c>
      <c r="G13" s="25">
        <v>32</v>
      </c>
      <c r="H13" s="25">
        <v>84</v>
      </c>
      <c r="I13" s="25">
        <v>178</v>
      </c>
      <c r="J13" s="25">
        <v>60</v>
      </c>
      <c r="K13" s="25">
        <v>50</v>
      </c>
      <c r="L13" s="25">
        <v>1</v>
      </c>
      <c r="M13" s="25">
        <v>45</v>
      </c>
      <c r="N13" s="9"/>
    </row>
    <row r="14" spans="1:14">
      <c r="A14" s="24" t="s">
        <v>35</v>
      </c>
      <c r="B14" s="49"/>
      <c r="C14" s="49"/>
      <c r="D14" s="25">
        <v>4</v>
      </c>
      <c r="E14" s="25">
        <v>4</v>
      </c>
      <c r="F14" s="25">
        <v>2</v>
      </c>
      <c r="G14" s="25">
        <v>1</v>
      </c>
      <c r="H14" s="25">
        <v>1</v>
      </c>
      <c r="I14" s="25">
        <v>1</v>
      </c>
      <c r="J14" s="25">
        <v>2</v>
      </c>
      <c r="K14" s="25">
        <v>2</v>
      </c>
      <c r="L14" s="25">
        <v>1</v>
      </c>
      <c r="M14" s="25">
        <v>2</v>
      </c>
      <c r="N14" s="9"/>
    </row>
    <row r="15" spans="1:14">
      <c r="A15" s="24" t="s">
        <v>36</v>
      </c>
      <c r="B15" s="49"/>
      <c r="C15" s="49"/>
      <c r="D15" s="25">
        <f>D13*D14</f>
        <v>60</v>
      </c>
      <c r="E15" s="25">
        <f>E13*E14</f>
        <v>644</v>
      </c>
      <c r="F15" s="25">
        <f t="shared" ref="F15:L15" si="0">F13*F14</f>
        <v>24</v>
      </c>
      <c r="G15" s="25">
        <f t="shared" si="0"/>
        <v>32</v>
      </c>
      <c r="H15" s="25">
        <f t="shared" si="0"/>
        <v>84</v>
      </c>
      <c r="I15" s="25">
        <f t="shared" si="0"/>
        <v>178</v>
      </c>
      <c r="J15" s="25">
        <f t="shared" si="0"/>
        <v>120</v>
      </c>
      <c r="K15" s="25">
        <f t="shared" si="0"/>
        <v>100</v>
      </c>
      <c r="L15" s="25">
        <f t="shared" si="0"/>
        <v>1</v>
      </c>
      <c r="M15" s="25">
        <f>M13*M14</f>
        <v>90</v>
      </c>
      <c r="N15" s="9"/>
    </row>
    <row r="16" spans="1:14">
      <c r="A16" s="24" t="s">
        <v>37</v>
      </c>
      <c r="B16" s="49"/>
      <c r="C16" s="49"/>
      <c r="D16" s="25">
        <v>36</v>
      </c>
      <c r="E16" s="25">
        <v>18</v>
      </c>
      <c r="F16" s="25">
        <v>70</v>
      </c>
      <c r="G16" s="25">
        <v>70</v>
      </c>
      <c r="H16" s="25">
        <v>70</v>
      </c>
      <c r="I16" s="25">
        <v>50</v>
      </c>
      <c r="J16" s="25">
        <v>55</v>
      </c>
      <c r="K16" s="25">
        <v>18</v>
      </c>
      <c r="L16" s="25">
        <v>28</v>
      </c>
      <c r="M16" s="25">
        <v>24</v>
      </c>
      <c r="N16" s="9"/>
    </row>
    <row r="17" spans="1:14">
      <c r="A17" s="24" t="s">
        <v>39</v>
      </c>
      <c r="B17" s="49"/>
      <c r="C17" s="49"/>
      <c r="D17" s="25" t="s">
        <v>61</v>
      </c>
      <c r="E17" s="25" t="s">
        <v>60</v>
      </c>
      <c r="F17" s="25" t="s">
        <v>60</v>
      </c>
      <c r="G17" s="25" t="s">
        <v>60</v>
      </c>
      <c r="H17" s="25" t="s">
        <v>60</v>
      </c>
      <c r="I17" s="25" t="s">
        <v>62</v>
      </c>
      <c r="J17" s="25" t="s">
        <v>60</v>
      </c>
      <c r="K17" s="25" t="s">
        <v>60</v>
      </c>
      <c r="L17" s="25" t="s">
        <v>60</v>
      </c>
      <c r="M17" s="25" t="s">
        <v>60</v>
      </c>
      <c r="N17" s="9"/>
    </row>
    <row r="18" spans="1:14">
      <c r="A18" s="24" t="s">
        <v>7</v>
      </c>
      <c r="B18" s="49"/>
      <c r="C18" s="49"/>
      <c r="D18" s="26">
        <f>VLOOKUP(D17,'lookup info'!$A23:$B25,2,FALSE)</f>
        <v>0.11</v>
      </c>
      <c r="E18" s="26">
        <f>VLOOKUP(E17,'lookup info'!$A23:$B25,2,FALSE)</f>
        <v>0.2</v>
      </c>
      <c r="F18" s="26">
        <f>VLOOKUP(F17,'lookup info'!$A23:$B25,2,FALSE)</f>
        <v>0.2</v>
      </c>
      <c r="G18" s="26">
        <f>VLOOKUP(G17,'lookup info'!$A23:$B25,2,FALSE)</f>
        <v>0.2</v>
      </c>
      <c r="H18" s="26">
        <f>VLOOKUP(H17,'lookup info'!$A23:$B25,2,FALSE)</f>
        <v>0.2</v>
      </c>
      <c r="I18" s="26">
        <f>VLOOKUP(I17,'lookup info'!$A23:$B25,2,FALSE)</f>
        <v>0</v>
      </c>
      <c r="J18" s="26">
        <v>0.2</v>
      </c>
      <c r="K18" s="26">
        <v>0.2</v>
      </c>
      <c r="L18" s="26">
        <v>0.2</v>
      </c>
      <c r="M18" s="26">
        <v>0.2</v>
      </c>
      <c r="N18" s="9"/>
    </row>
    <row r="19" spans="1:14">
      <c r="A19" s="24" t="s">
        <v>38</v>
      </c>
      <c r="B19" s="49"/>
      <c r="C19" s="49"/>
      <c r="D19" s="27">
        <f>D16*D18+D16</f>
        <v>39.96</v>
      </c>
      <c r="E19" s="27">
        <f>E16*E18+E16</f>
        <v>21.6</v>
      </c>
      <c r="F19" s="27">
        <f t="shared" ref="F19:L19" si="1">F16*F18+F16</f>
        <v>84</v>
      </c>
      <c r="G19" s="27">
        <f t="shared" si="1"/>
        <v>84</v>
      </c>
      <c r="H19" s="27">
        <f t="shared" si="1"/>
        <v>84</v>
      </c>
      <c r="I19" s="27">
        <f t="shared" si="1"/>
        <v>50</v>
      </c>
      <c r="J19" s="27">
        <f t="shared" si="1"/>
        <v>66</v>
      </c>
      <c r="K19" s="27">
        <f t="shared" si="1"/>
        <v>21.6</v>
      </c>
      <c r="L19" s="27">
        <f t="shared" si="1"/>
        <v>33.6</v>
      </c>
      <c r="M19" s="27">
        <f>M16*M18+M16</f>
        <v>28.8</v>
      </c>
      <c r="N19" s="9"/>
    </row>
    <row r="20" spans="1:14">
      <c r="A20" s="12"/>
      <c r="B20" s="8"/>
      <c r="C20" s="8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9"/>
    </row>
    <row r="21" spans="1:14" s="3" customFormat="1">
      <c r="A21" s="28" t="s">
        <v>14</v>
      </c>
      <c r="B21" s="50"/>
      <c r="C21" s="50"/>
      <c r="D21" s="98">
        <f>SUM($B$7*$B$8*D15*D19)/1000</f>
        <v>5178.8159999999998</v>
      </c>
      <c r="E21" s="98">
        <f>SUM($B$7*$B$8*E15*E19)/1000</f>
        <v>30046.464000000004</v>
      </c>
      <c r="F21" s="98">
        <f>SUM($B$7*$B$8*F15*F19)/1000</f>
        <v>4354.5600000000004</v>
      </c>
      <c r="G21" s="98">
        <f t="shared" ref="G21:K21" si="2">SUM($B$7*$B$8*G15*G19)/1000</f>
        <v>5806.08</v>
      </c>
      <c r="H21" s="98">
        <f t="shared" si="2"/>
        <v>15240.96</v>
      </c>
      <c r="I21" s="98">
        <f t="shared" si="2"/>
        <v>19224</v>
      </c>
      <c r="J21" s="98">
        <f t="shared" ref="J21" si="3">SUM($B$7*$B$8*J15*J19)/1000</f>
        <v>17107.2</v>
      </c>
      <c r="K21" s="98">
        <f t="shared" si="2"/>
        <v>4665.6000000000004</v>
      </c>
      <c r="L21" s="98">
        <f t="shared" ref="L21" si="4">SUM($B$7*$B$8*L15*L19)/1000</f>
        <v>72.575999999999993</v>
      </c>
      <c r="M21" s="98">
        <f>SUM($B$7*$B$8*M15*M19)/1000</f>
        <v>5598.72</v>
      </c>
      <c r="N21" s="99">
        <f>SUM(D21:M21)</f>
        <v>107294.97600000001</v>
      </c>
    </row>
    <row r="22" spans="1:14">
      <c r="A22" s="12"/>
      <c r="B22" s="8"/>
      <c r="C22" s="8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9"/>
    </row>
    <row r="23" spans="1:14">
      <c r="A23" s="30" t="s">
        <v>21</v>
      </c>
      <c r="B23" s="51"/>
      <c r="C23" s="51"/>
      <c r="D23" s="100">
        <f>D21*$B$6</f>
        <v>621.45791999999994</v>
      </c>
      <c r="E23" s="100">
        <f>E21*$B$6</f>
        <v>3605.5756800000004</v>
      </c>
      <c r="F23" s="100">
        <f t="shared" ref="F23:K23" si="5">F21*$B$6</f>
        <v>522.54719999999998</v>
      </c>
      <c r="G23" s="100">
        <f t="shared" si="5"/>
        <v>696.7296</v>
      </c>
      <c r="H23" s="100">
        <f t="shared" si="5"/>
        <v>1828.9151999999999</v>
      </c>
      <c r="I23" s="100">
        <f t="shared" si="5"/>
        <v>2306.88</v>
      </c>
      <c r="J23" s="100">
        <f t="shared" ref="J23" si="6">J21*$B$6</f>
        <v>2052.864</v>
      </c>
      <c r="K23" s="100">
        <f t="shared" si="5"/>
        <v>559.87200000000007</v>
      </c>
      <c r="L23" s="100">
        <f t="shared" ref="L23" si="7">L21*$B$6</f>
        <v>8.7091199999999986</v>
      </c>
      <c r="M23" s="100">
        <f>M21*$B$6</f>
        <v>671.84640000000002</v>
      </c>
      <c r="N23" s="101">
        <f>N21*$B$6</f>
        <v>12875.397120000001</v>
      </c>
    </row>
    <row r="24" spans="1:14">
      <c r="A24" s="30" t="s">
        <v>40</v>
      </c>
      <c r="B24" s="51"/>
      <c r="C24" s="51"/>
      <c r="D24" s="87">
        <f>D21*0.54522</f>
        <v>2823.59405952</v>
      </c>
      <c r="E24" s="87">
        <f>E21*0.54522</f>
        <v>16381.933102080004</v>
      </c>
      <c r="F24" s="87">
        <f t="shared" ref="F24:K24" si="8">F21*0.54522</f>
        <v>2374.1932032000004</v>
      </c>
      <c r="G24" s="87">
        <f t="shared" si="8"/>
        <v>3165.5909376</v>
      </c>
      <c r="H24" s="87">
        <f t="shared" si="8"/>
        <v>8309.6762111999997</v>
      </c>
      <c r="I24" s="87">
        <f t="shared" si="8"/>
        <v>10481.309280000001</v>
      </c>
      <c r="J24" s="87">
        <f t="shared" ref="J24" si="9">J21*0.54522</f>
        <v>9327.1875840000012</v>
      </c>
      <c r="K24" s="87">
        <f t="shared" si="8"/>
        <v>2543.7784320000005</v>
      </c>
      <c r="L24" s="87">
        <f t="shared" ref="L24" si="10">L21*0.54522</f>
        <v>39.56988672</v>
      </c>
      <c r="M24" s="87">
        <f>M21*0.54522</f>
        <v>3052.5341184000004</v>
      </c>
      <c r="N24" s="91">
        <f>N21*0.54522</f>
        <v>58499.366814720008</v>
      </c>
    </row>
    <row r="25" spans="1:14">
      <c r="A25" s="12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9"/>
    </row>
    <row r="26" spans="1:14">
      <c r="A26" s="12" t="s">
        <v>41</v>
      </c>
      <c r="B26" s="8"/>
      <c r="C26" s="8"/>
      <c r="D26" s="8">
        <v>20000</v>
      </c>
      <c r="E26" s="8">
        <v>20000</v>
      </c>
      <c r="F26" s="8">
        <v>20000</v>
      </c>
      <c r="G26" s="8">
        <v>20000</v>
      </c>
      <c r="H26" s="8">
        <v>20000</v>
      </c>
      <c r="I26" s="8">
        <v>1000</v>
      </c>
      <c r="J26" s="8">
        <v>10000</v>
      </c>
      <c r="K26" s="8">
        <v>6000</v>
      </c>
      <c r="L26" s="8">
        <v>15000</v>
      </c>
      <c r="M26" s="8">
        <v>6000</v>
      </c>
      <c r="N26" s="9"/>
    </row>
    <row r="27" spans="1:14">
      <c r="A27" s="12" t="s">
        <v>11</v>
      </c>
      <c r="B27" s="8"/>
      <c r="C27" s="8"/>
      <c r="D27" s="8">
        <f>SUM($B$7*$B$8)/D26*D15</f>
        <v>6.4799999999999995</v>
      </c>
      <c r="E27" s="8">
        <f>SUM($B$7*$B$8)/E26*E15</f>
        <v>69.551999999999992</v>
      </c>
      <c r="F27" s="8">
        <f t="shared" ref="F27:L27" si="11">SUM($B$7*$B$8)/F26*F15</f>
        <v>2.5920000000000001</v>
      </c>
      <c r="G27" s="8">
        <f t="shared" si="11"/>
        <v>3.456</v>
      </c>
      <c r="H27" s="8">
        <f t="shared" si="11"/>
        <v>9.0719999999999992</v>
      </c>
      <c r="I27" s="8">
        <f t="shared" si="11"/>
        <v>384.48</v>
      </c>
      <c r="J27" s="8">
        <f t="shared" si="11"/>
        <v>25.919999999999998</v>
      </c>
      <c r="K27" s="8">
        <f t="shared" si="11"/>
        <v>36</v>
      </c>
      <c r="L27" s="8">
        <f t="shared" si="11"/>
        <v>0.14399999999999999</v>
      </c>
      <c r="M27" s="8">
        <f>SUM($B$7*$B$8)/M26*M15</f>
        <v>32.4</v>
      </c>
      <c r="N27" s="9"/>
    </row>
    <row r="28" spans="1:14">
      <c r="A28" s="12" t="s">
        <v>44</v>
      </c>
      <c r="B28" s="8"/>
      <c r="C28" s="8"/>
      <c r="D28" s="74">
        <v>5</v>
      </c>
      <c r="E28" s="74">
        <v>5</v>
      </c>
      <c r="F28" s="74">
        <v>7</v>
      </c>
      <c r="G28" s="74">
        <v>7</v>
      </c>
      <c r="H28" s="74">
        <v>7</v>
      </c>
      <c r="I28" s="74">
        <v>5</v>
      </c>
      <c r="J28" s="74">
        <v>6</v>
      </c>
      <c r="K28" s="74">
        <v>5</v>
      </c>
      <c r="L28" s="74">
        <v>8</v>
      </c>
      <c r="M28" s="74">
        <v>6</v>
      </c>
      <c r="N28" s="75"/>
    </row>
    <row r="29" spans="1:14">
      <c r="A29" s="12" t="s">
        <v>45</v>
      </c>
      <c r="B29" s="8"/>
      <c r="C29" s="8"/>
      <c r="D29" s="88">
        <v>0.5</v>
      </c>
      <c r="E29" s="88">
        <v>0.5</v>
      </c>
      <c r="F29" s="88">
        <v>0.5</v>
      </c>
      <c r="G29" s="88">
        <v>0.5</v>
      </c>
      <c r="H29" s="88">
        <v>0.5</v>
      </c>
      <c r="I29" s="88">
        <v>0.5</v>
      </c>
      <c r="J29" s="88">
        <v>0.5</v>
      </c>
      <c r="K29" s="88">
        <v>0.5</v>
      </c>
      <c r="L29" s="88">
        <v>0.5</v>
      </c>
      <c r="M29" s="88">
        <v>0.5</v>
      </c>
      <c r="N29" s="75"/>
    </row>
    <row r="30" spans="1:14">
      <c r="A30" s="30" t="s">
        <v>12</v>
      </c>
      <c r="B30" s="51"/>
      <c r="C30" s="51"/>
      <c r="D30" s="127">
        <f>D28*D27+(D29*D27*$B$9)</f>
        <v>145.79999999999998</v>
      </c>
      <c r="E30" s="127">
        <f>E28*E27+(E29*E27*$B$9)</f>
        <v>1564.9199999999998</v>
      </c>
      <c r="F30" s="127">
        <f t="shared" ref="F30:L30" si="12">F28*F27+(F29*F27*$B$9)</f>
        <v>63.504000000000005</v>
      </c>
      <c r="G30" s="127">
        <f t="shared" si="12"/>
        <v>84.671999999999997</v>
      </c>
      <c r="H30" s="127">
        <f t="shared" si="12"/>
        <v>222.26399999999998</v>
      </c>
      <c r="I30" s="127">
        <f t="shared" si="12"/>
        <v>8650.8000000000011</v>
      </c>
      <c r="J30" s="127">
        <f t="shared" si="12"/>
        <v>609.11999999999989</v>
      </c>
      <c r="K30" s="127">
        <f t="shared" si="12"/>
        <v>810</v>
      </c>
      <c r="L30" s="127">
        <f t="shared" si="12"/>
        <v>3.6719999999999997</v>
      </c>
      <c r="M30" s="127">
        <f>M28*M27+(M29*M27*$B$9)</f>
        <v>761.4</v>
      </c>
      <c r="N30" s="102">
        <f>SUM(D30:M30)</f>
        <v>12916.152000000002</v>
      </c>
    </row>
    <row r="31" spans="1:14">
      <c r="A31" s="12"/>
      <c r="B31" s="8"/>
      <c r="C31" s="8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5"/>
    </row>
    <row r="32" spans="1:14" ht="18.2" thickBot="1">
      <c r="A32" s="32" t="s">
        <v>13</v>
      </c>
      <c r="B32" s="52"/>
      <c r="C32" s="52"/>
      <c r="D32" s="103">
        <f>D23+D30</f>
        <v>767.2579199999999</v>
      </c>
      <c r="E32" s="103">
        <f>E23+E30</f>
        <v>5170.49568</v>
      </c>
      <c r="F32" s="103">
        <f t="shared" ref="F32:K32" si="13">F23+F30</f>
        <v>586.05119999999999</v>
      </c>
      <c r="G32" s="103">
        <f t="shared" si="13"/>
        <v>781.40160000000003</v>
      </c>
      <c r="H32" s="103">
        <f t="shared" si="13"/>
        <v>2051.1792</v>
      </c>
      <c r="I32" s="103">
        <f t="shared" si="13"/>
        <v>10957.68</v>
      </c>
      <c r="J32" s="103">
        <f t="shared" ref="J32" si="14">J23+J30</f>
        <v>2661.9839999999999</v>
      </c>
      <c r="K32" s="103">
        <f t="shared" si="13"/>
        <v>1369.8720000000001</v>
      </c>
      <c r="L32" s="103">
        <f t="shared" ref="L32" si="15">L23+L30</f>
        <v>12.381119999999999</v>
      </c>
      <c r="M32" s="103">
        <f>M23+M30</f>
        <v>1433.2464</v>
      </c>
      <c r="N32" s="104">
        <f>SUM(D32:M32)</f>
        <v>25791.54912</v>
      </c>
    </row>
    <row r="33" spans="1:15" ht="18.2" thickTop="1">
      <c r="A33" s="30"/>
      <c r="B33" s="51"/>
      <c r="C33" s="51"/>
      <c r="D33" s="5"/>
      <c r="E33" s="5"/>
      <c r="F33" s="5"/>
      <c r="G33" s="5"/>
      <c r="H33" s="5"/>
      <c r="I33" s="5"/>
      <c r="J33" s="5"/>
      <c r="K33" s="5"/>
      <c r="L33" s="5"/>
      <c r="M33" s="5"/>
      <c r="N33" s="31"/>
    </row>
    <row r="34" spans="1:15">
      <c r="A34" s="12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9"/>
    </row>
    <row r="35" spans="1:15">
      <c r="A35" s="7" t="s">
        <v>28</v>
      </c>
      <c r="B35" s="53"/>
      <c r="C35" s="53"/>
      <c r="D35" s="8"/>
      <c r="E35" s="8"/>
      <c r="F35" s="8"/>
      <c r="G35" s="8"/>
      <c r="H35" s="8"/>
      <c r="I35" s="8"/>
      <c r="J35" s="8"/>
      <c r="K35" s="8"/>
      <c r="L35" s="8"/>
      <c r="M35" s="8"/>
      <c r="N35" s="9"/>
    </row>
    <row r="36" spans="1:15" ht="26" customHeight="1" thickBot="1">
      <c r="A36" s="22" t="s">
        <v>8</v>
      </c>
      <c r="B36" s="48"/>
      <c r="C36" s="48"/>
      <c r="D36" s="115" t="s">
        <v>49</v>
      </c>
      <c r="E36" s="115" t="s">
        <v>65</v>
      </c>
      <c r="F36" s="115" t="s">
        <v>50</v>
      </c>
      <c r="G36" s="115" t="s">
        <v>50</v>
      </c>
      <c r="H36" s="115" t="s">
        <v>52</v>
      </c>
      <c r="I36" s="115" t="s">
        <v>66</v>
      </c>
      <c r="J36" s="115" t="s">
        <v>65</v>
      </c>
      <c r="K36" s="115" t="s">
        <v>78</v>
      </c>
      <c r="L36" s="115" t="s">
        <v>80</v>
      </c>
      <c r="M36" s="115" t="s">
        <v>65</v>
      </c>
      <c r="N36" s="33"/>
    </row>
    <row r="37" spans="1:15" ht="18.2" thickTop="1">
      <c r="A37" s="24" t="s">
        <v>9</v>
      </c>
      <c r="B37" s="49"/>
      <c r="C37" s="49"/>
      <c r="D37" s="34">
        <v>60</v>
      </c>
      <c r="E37" s="34">
        <v>161</v>
      </c>
      <c r="F37" s="34">
        <f>F15</f>
        <v>24</v>
      </c>
      <c r="G37" s="34">
        <f>G13</f>
        <v>32</v>
      </c>
      <c r="H37" s="34">
        <f>H13</f>
        <v>84</v>
      </c>
      <c r="I37" s="34">
        <f>I13</f>
        <v>178</v>
      </c>
      <c r="J37" s="34">
        <f>J13</f>
        <v>60</v>
      </c>
      <c r="K37" s="34">
        <f>K13</f>
        <v>50</v>
      </c>
      <c r="L37" s="34">
        <f t="shared" ref="L37" si="16">L13</f>
        <v>1</v>
      </c>
      <c r="M37" s="34">
        <f>M13</f>
        <v>45</v>
      </c>
      <c r="N37" s="35"/>
    </row>
    <row r="38" spans="1:15">
      <c r="A38" s="24" t="s">
        <v>10</v>
      </c>
      <c r="B38" s="49"/>
      <c r="C38" s="49"/>
      <c r="D38" s="34">
        <v>16</v>
      </c>
      <c r="E38" s="34">
        <f>VLOOKUP(E36,'lookup info'!$A$5:$E$19,2,FALSE)</f>
        <v>35</v>
      </c>
      <c r="F38" s="34">
        <f>VLOOKUP(F36,'lookup info'!$A$5:$E$19,2,FALSE)</f>
        <v>24</v>
      </c>
      <c r="G38" s="34">
        <f>VLOOKUP(G36,'lookup info'!$A$5:$E$19,2,FALSE)</f>
        <v>24</v>
      </c>
      <c r="H38" s="34">
        <f>VLOOKUP(H36,'lookup info'!$A$5:$E$19,2,FALSE)</f>
        <v>40</v>
      </c>
      <c r="I38" s="34">
        <f>VLOOKUP(I36,'lookup info'!$A$5:$E$19,2,FALSE)</f>
        <v>6</v>
      </c>
      <c r="J38" s="34">
        <f>VLOOKUP(J36,'lookup info'!$A$5:$E$19,2,FALSE)</f>
        <v>35</v>
      </c>
      <c r="K38" s="34">
        <f>VLOOKUP(K36,'lookup info'!$A$5:$E$19,2,FALSE)</f>
        <v>23</v>
      </c>
      <c r="L38" s="34">
        <f>VLOOKUP(L36,'lookup info'!$A$5:$E$19,2,FALSE)</f>
        <v>18.5</v>
      </c>
      <c r="M38" s="34">
        <f>VLOOKUP(M36,'lookup info'!$A$5:$E$19,2,FALSE)</f>
        <v>35</v>
      </c>
      <c r="N38" s="35"/>
    </row>
    <row r="39" spans="1:15">
      <c r="A39" s="24"/>
      <c r="B39" s="49"/>
      <c r="C39" s="49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5"/>
    </row>
    <row r="40" spans="1:15">
      <c r="A40" s="36" t="s">
        <v>14</v>
      </c>
      <c r="B40" s="54"/>
      <c r="C40" s="54"/>
      <c r="D40" s="105">
        <f>SUM($B$7*$B$8*D37*D38)/1000</f>
        <v>2073.6</v>
      </c>
      <c r="E40" s="105">
        <f>SUM($B$7*$B$8*E37*E38)/1000</f>
        <v>12171.6</v>
      </c>
      <c r="F40" s="105">
        <f>SUM($B$7*$B$8*F37*F38)/1000</f>
        <v>1244.1600000000001</v>
      </c>
      <c r="G40" s="105">
        <f t="shared" ref="G40:K40" si="17">SUM($B$7*$B$8*G37*G38)/1000</f>
        <v>1658.88</v>
      </c>
      <c r="H40" s="105">
        <f t="shared" si="17"/>
        <v>7257.6</v>
      </c>
      <c r="I40" s="105">
        <f t="shared" si="17"/>
        <v>2306.88</v>
      </c>
      <c r="J40" s="105">
        <f t="shared" ref="J40" si="18">SUM($B$7*$B$8*J37*J38)/1000</f>
        <v>4536</v>
      </c>
      <c r="K40" s="105">
        <f t="shared" si="17"/>
        <v>2484</v>
      </c>
      <c r="L40" s="105">
        <f t="shared" ref="L40" si="19">SUM($B$7*$B$8*L37*L38)/1000</f>
        <v>39.96</v>
      </c>
      <c r="M40" s="105">
        <f>SUM($B$7*$B$8*M37*M38)/1000</f>
        <v>3402</v>
      </c>
      <c r="N40" s="106">
        <f>SUM(D40:M40)</f>
        <v>37174.68</v>
      </c>
      <c r="O40" s="3">
        <f>N21-N40</f>
        <v>70120.296000000002</v>
      </c>
    </row>
    <row r="41" spans="1:15">
      <c r="A41" s="24"/>
      <c r="B41" s="49"/>
      <c r="C41" s="49"/>
      <c r="D41" s="128">
        <f>D21-D40</f>
        <v>3105.2159999999999</v>
      </c>
      <c r="E41" s="128">
        <f t="shared" ref="E41:M41" si="20">E21-E40</f>
        <v>17874.864000000001</v>
      </c>
      <c r="F41" s="128">
        <f t="shared" si="20"/>
        <v>3110.4000000000005</v>
      </c>
      <c r="G41" s="128">
        <f t="shared" si="20"/>
        <v>4147.2</v>
      </c>
      <c r="H41" s="128">
        <f t="shared" si="20"/>
        <v>7983.3599999999988</v>
      </c>
      <c r="I41" s="128">
        <f t="shared" si="20"/>
        <v>16917.12</v>
      </c>
      <c r="J41" s="128">
        <f t="shared" si="20"/>
        <v>12571.2</v>
      </c>
      <c r="K41" s="128">
        <f t="shared" si="20"/>
        <v>2181.6000000000004</v>
      </c>
      <c r="L41" s="128">
        <f t="shared" si="20"/>
        <v>32.615999999999993</v>
      </c>
      <c r="M41" s="128">
        <f t="shared" si="20"/>
        <v>2196.7200000000003</v>
      </c>
      <c r="N41" s="35"/>
    </row>
    <row r="42" spans="1:15">
      <c r="A42" s="37" t="s">
        <v>21</v>
      </c>
      <c r="B42" s="55"/>
      <c r="C42" s="55"/>
      <c r="D42" s="107">
        <f>D40*$B$6</f>
        <v>248.83199999999999</v>
      </c>
      <c r="E42" s="107">
        <f>E40*$B$6</f>
        <v>1460.5920000000001</v>
      </c>
      <c r="F42" s="107">
        <f>F40*$B$6</f>
        <v>149.29920000000001</v>
      </c>
      <c r="G42" s="107">
        <f t="shared" ref="G42:K42" si="21">G40*$B$6</f>
        <v>199.06560000000002</v>
      </c>
      <c r="H42" s="107">
        <f t="shared" si="21"/>
        <v>870.91200000000003</v>
      </c>
      <c r="I42" s="107">
        <f t="shared" si="21"/>
        <v>276.82560000000001</v>
      </c>
      <c r="J42" s="107">
        <f t="shared" ref="J42" si="22">J40*$B$6</f>
        <v>544.31999999999994</v>
      </c>
      <c r="K42" s="107">
        <f t="shared" si="21"/>
        <v>298.08</v>
      </c>
      <c r="L42" s="107">
        <f>L40*$B$6</f>
        <v>4.7952000000000004</v>
      </c>
      <c r="M42" s="107">
        <f>M40*$B$6</f>
        <v>408.24</v>
      </c>
      <c r="N42" s="108">
        <f>N40*$B$6</f>
        <v>4460.9615999999996</v>
      </c>
    </row>
    <row r="43" spans="1:15">
      <c r="A43" s="37"/>
      <c r="B43" s="55"/>
      <c r="C43" s="55"/>
      <c r="D43" s="126">
        <f>D23-D42</f>
        <v>372.62591999999995</v>
      </c>
      <c r="E43" s="126">
        <f t="shared" ref="E43:M43" si="23">E23-E42</f>
        <v>2144.9836800000003</v>
      </c>
      <c r="F43" s="126">
        <f t="shared" si="23"/>
        <v>373.24799999999993</v>
      </c>
      <c r="G43" s="126">
        <f t="shared" si="23"/>
        <v>497.66399999999999</v>
      </c>
      <c r="H43" s="126">
        <f t="shared" si="23"/>
        <v>958.00319999999988</v>
      </c>
      <c r="I43" s="126">
        <f t="shared" si="23"/>
        <v>2030.0544</v>
      </c>
      <c r="J43" s="126">
        <f t="shared" si="23"/>
        <v>1508.5440000000001</v>
      </c>
      <c r="K43" s="126">
        <f t="shared" si="23"/>
        <v>261.79200000000009</v>
      </c>
      <c r="L43" s="126">
        <f t="shared" si="23"/>
        <v>3.9139199999999983</v>
      </c>
      <c r="M43" s="126">
        <f t="shared" si="23"/>
        <v>263.60640000000001</v>
      </c>
      <c r="N43" s="108"/>
    </row>
    <row r="44" spans="1:15">
      <c r="A44" s="37" t="s">
        <v>40</v>
      </c>
      <c r="B44" s="55"/>
      <c r="C44" s="55"/>
      <c r="D44" s="109">
        <f>D40*0.54522</f>
        <v>1130.568192</v>
      </c>
      <c r="E44" s="109">
        <f>E40*0.54522</f>
        <v>6636.1997520000004</v>
      </c>
      <c r="F44" s="109">
        <f>F40*0.54522</f>
        <v>678.34091520000004</v>
      </c>
      <c r="G44" s="109">
        <f t="shared" ref="G44:K44" si="24">G40*0.54522</f>
        <v>904.45455360000017</v>
      </c>
      <c r="H44" s="109">
        <f t="shared" si="24"/>
        <v>3956.9886720000004</v>
      </c>
      <c r="I44" s="109">
        <f t="shared" si="24"/>
        <v>1257.7571136000001</v>
      </c>
      <c r="J44" s="109">
        <f t="shared" ref="J44" si="25">J40*0.54522</f>
        <v>2473.1179200000001</v>
      </c>
      <c r="K44" s="109">
        <f t="shared" si="24"/>
        <v>1354.3264800000002</v>
      </c>
      <c r="L44" s="109">
        <f t="shared" ref="L44" si="26">L40*0.54522</f>
        <v>21.786991200000003</v>
      </c>
      <c r="M44" s="109">
        <f>M40*0.54522</f>
        <v>1854.8384400000002</v>
      </c>
      <c r="N44" s="92">
        <f>N40*0.54522</f>
        <v>20268.379029600001</v>
      </c>
    </row>
    <row r="45" spans="1:15">
      <c r="A45" s="24"/>
      <c r="B45" s="49"/>
      <c r="C45" s="49"/>
      <c r="D45" s="128">
        <f>D24-D44</f>
        <v>1693.02586752</v>
      </c>
      <c r="E45" s="128">
        <f t="shared" ref="E45:M45" si="27">E24-E44</f>
        <v>9745.7333500800032</v>
      </c>
      <c r="F45" s="128">
        <f t="shared" si="27"/>
        <v>1695.8522880000005</v>
      </c>
      <c r="G45" s="128">
        <f t="shared" si="27"/>
        <v>2261.1363839999999</v>
      </c>
      <c r="H45" s="128">
        <f t="shared" si="27"/>
        <v>4352.6875391999993</v>
      </c>
      <c r="I45" s="128">
        <f t="shared" si="27"/>
        <v>9223.5521664000007</v>
      </c>
      <c r="J45" s="128">
        <f t="shared" si="27"/>
        <v>6854.0696640000006</v>
      </c>
      <c r="K45" s="128">
        <f t="shared" si="27"/>
        <v>1189.4519520000003</v>
      </c>
      <c r="L45" s="128">
        <f t="shared" si="27"/>
        <v>17.782895519999997</v>
      </c>
      <c r="M45" s="128">
        <f t="shared" si="27"/>
        <v>1197.6956784000001</v>
      </c>
      <c r="N45" s="35"/>
    </row>
    <row r="46" spans="1:15">
      <c r="A46" s="24" t="s">
        <v>15</v>
      </c>
      <c r="B46" s="49"/>
      <c r="C46" s="49"/>
      <c r="D46" s="34">
        <f>VLOOKUP(D36,'lookup info'!A5:E19,3,FALSE)</f>
        <v>50000</v>
      </c>
      <c r="E46" s="34">
        <f>VLOOKUP(E36,'lookup info'!A5:F19,3,FALSE)</f>
        <v>50000</v>
      </c>
      <c r="F46" s="34">
        <v>50000</v>
      </c>
      <c r="G46" s="34">
        <v>50000</v>
      </c>
      <c r="H46" s="34">
        <v>50000</v>
      </c>
      <c r="I46" s="34">
        <v>50000</v>
      </c>
      <c r="J46" s="34">
        <v>50000</v>
      </c>
      <c r="K46" s="34">
        <v>50000</v>
      </c>
      <c r="L46" s="34">
        <v>50000</v>
      </c>
      <c r="M46" s="34">
        <v>50000</v>
      </c>
      <c r="N46" s="35"/>
    </row>
    <row r="47" spans="1:15">
      <c r="A47" s="24" t="s">
        <v>18</v>
      </c>
      <c r="B47" s="49"/>
      <c r="C47" s="49"/>
      <c r="D47" s="38">
        <f>D46/SUM($B$8*$B$7)</f>
        <v>23.148148148148149</v>
      </c>
      <c r="E47" s="38">
        <f>E46/SUM($B$8*$B$7)</f>
        <v>23.148148148148149</v>
      </c>
      <c r="F47" s="38">
        <f>F46/SUM($B$8*$B$7)</f>
        <v>23.148148148148149</v>
      </c>
      <c r="G47" s="38">
        <f t="shared" ref="G47:L47" si="28">G46/SUM($B$8*$B$7)</f>
        <v>23.148148148148149</v>
      </c>
      <c r="H47" s="38">
        <f t="shared" si="28"/>
        <v>23.148148148148149</v>
      </c>
      <c r="I47" s="38">
        <f t="shared" si="28"/>
        <v>23.148148148148149</v>
      </c>
      <c r="J47" s="38">
        <f t="shared" si="28"/>
        <v>23.148148148148149</v>
      </c>
      <c r="K47" s="38">
        <f t="shared" si="28"/>
        <v>23.148148148148149</v>
      </c>
      <c r="L47" s="38">
        <f t="shared" si="28"/>
        <v>23.148148148148149</v>
      </c>
      <c r="M47" s="38">
        <f>M46/SUM($B$8*$B$7)</f>
        <v>23.148148148148149</v>
      </c>
      <c r="N47" s="35"/>
      <c r="O47" s="2">
        <f>O40*M47</f>
        <v>1623155</v>
      </c>
    </row>
    <row r="48" spans="1:15">
      <c r="A48" s="24"/>
      <c r="B48" s="49"/>
      <c r="C48" s="49"/>
      <c r="D48" s="34"/>
      <c r="E48" s="34"/>
      <c r="F48" s="34"/>
      <c r="G48" s="34"/>
      <c r="H48" s="34"/>
      <c r="I48" s="117"/>
      <c r="J48" s="34"/>
      <c r="K48" s="34"/>
      <c r="L48" s="34"/>
      <c r="M48" s="34"/>
      <c r="N48" s="35"/>
    </row>
    <row r="49" spans="1:16" ht="22" customHeight="1" thickBot="1">
      <c r="A49" s="39" t="s">
        <v>13</v>
      </c>
      <c r="B49" s="56"/>
      <c r="C49" s="56"/>
      <c r="D49" s="110">
        <f>D42</f>
        <v>248.83199999999999</v>
      </c>
      <c r="E49" s="110">
        <f>E42</f>
        <v>1460.5920000000001</v>
      </c>
      <c r="F49" s="110">
        <f t="shared" ref="F49:K49" si="29">F42</f>
        <v>149.29920000000001</v>
      </c>
      <c r="G49" s="110">
        <f t="shared" si="29"/>
        <v>199.06560000000002</v>
      </c>
      <c r="H49" s="110">
        <f t="shared" si="29"/>
        <v>870.91200000000003</v>
      </c>
      <c r="I49" s="110">
        <f t="shared" si="29"/>
        <v>276.82560000000001</v>
      </c>
      <c r="J49" s="110">
        <f t="shared" ref="J49" si="30">J42</f>
        <v>544.31999999999994</v>
      </c>
      <c r="K49" s="110">
        <f t="shared" si="29"/>
        <v>298.08</v>
      </c>
      <c r="L49" s="110">
        <f t="shared" ref="L49" si="31">L42</f>
        <v>4.7952000000000004</v>
      </c>
      <c r="M49" s="110">
        <f>M42</f>
        <v>408.24</v>
      </c>
      <c r="N49" s="111">
        <f>SUM(D49:M49)</f>
        <v>4460.9615999999996</v>
      </c>
    </row>
    <row r="50" spans="1:16" ht="22" customHeight="1" thickTop="1" thickBot="1">
      <c r="A50" s="39"/>
      <c r="B50" s="56"/>
      <c r="C50" s="56"/>
      <c r="D50" s="110"/>
      <c r="E50" s="110"/>
      <c r="F50" s="110"/>
      <c r="G50" s="110"/>
      <c r="H50" s="110"/>
      <c r="I50" s="110"/>
      <c r="J50" s="110"/>
      <c r="K50" s="110"/>
      <c r="L50" s="110"/>
      <c r="M50" s="110"/>
      <c r="N50" s="111"/>
    </row>
    <row r="51" spans="1:16" ht="29.1" customHeight="1" thickTop="1" thickBot="1">
      <c r="A51" s="45" t="s">
        <v>22</v>
      </c>
      <c r="B51" s="57"/>
      <c r="C51" s="57"/>
      <c r="D51" s="112">
        <f>D32-D49</f>
        <v>518.42591999999991</v>
      </c>
      <c r="E51" s="112">
        <f>E32-E49</f>
        <v>3709.9036799999999</v>
      </c>
      <c r="F51" s="112">
        <f t="shared" ref="F51:K51" si="32">F32-F49</f>
        <v>436.75199999999995</v>
      </c>
      <c r="G51" s="112">
        <f t="shared" si="32"/>
        <v>582.33600000000001</v>
      </c>
      <c r="H51" s="112">
        <f t="shared" si="32"/>
        <v>1180.2672</v>
      </c>
      <c r="I51" s="112">
        <f t="shared" si="32"/>
        <v>10680.8544</v>
      </c>
      <c r="J51" s="112">
        <f t="shared" ref="J51" si="33">J32-J49</f>
        <v>2117.6639999999998</v>
      </c>
      <c r="K51" s="112">
        <f t="shared" si="32"/>
        <v>1071.7920000000001</v>
      </c>
      <c r="L51" s="112">
        <f t="shared" ref="L51" si="34">L32-L49</f>
        <v>7.5859199999999989</v>
      </c>
      <c r="M51" s="112">
        <f>M32-M49</f>
        <v>1025.0064</v>
      </c>
      <c r="N51" s="113">
        <f>SUM(D51:M51)</f>
        <v>21330.587520000001</v>
      </c>
    </row>
    <row r="52" spans="1:16" ht="18.2" thickBot="1">
      <c r="D52" s="77"/>
      <c r="E52" s="77"/>
      <c r="F52" s="77"/>
      <c r="G52" s="77"/>
      <c r="H52" s="77"/>
      <c r="I52" s="77">
        <f>I23-I42</f>
        <v>2030.0544</v>
      </c>
      <c r="J52" s="77"/>
      <c r="K52" s="77"/>
      <c r="L52" s="77"/>
      <c r="M52" s="77"/>
      <c r="N52" s="77"/>
    </row>
    <row r="53" spans="1:16">
      <c r="A53" s="40" t="s">
        <v>23</v>
      </c>
      <c r="B53" s="41"/>
      <c r="C53" s="41"/>
      <c r="D53" s="78"/>
      <c r="E53" s="78"/>
      <c r="F53" s="78"/>
      <c r="G53" s="78"/>
      <c r="H53" s="78"/>
      <c r="I53" s="78"/>
      <c r="J53" s="78"/>
      <c r="K53" s="78"/>
      <c r="L53" s="78"/>
      <c r="M53" s="119" t="s">
        <v>25</v>
      </c>
      <c r="N53" s="116">
        <f>N51*5</f>
        <v>106652.9376</v>
      </c>
    </row>
    <row r="54" spans="1:16" ht="18.2" thickBot="1">
      <c r="A54" s="42"/>
      <c r="B54" s="44"/>
      <c r="C54" s="44"/>
      <c r="D54" s="43"/>
      <c r="E54" s="43"/>
      <c r="F54" s="43"/>
      <c r="G54" s="43"/>
      <c r="H54" s="43"/>
      <c r="I54" s="43"/>
      <c r="J54" s="43"/>
      <c r="K54" s="43"/>
      <c r="L54" s="43"/>
      <c r="M54" s="120" t="s">
        <v>24</v>
      </c>
      <c r="N54" s="114">
        <f>(N24-N44)*5</f>
        <v>191154.93892560003</v>
      </c>
      <c r="P54" s="77"/>
    </row>
    <row r="55" spans="1:16" ht="18.2" thickBot="1"/>
    <row r="56" spans="1:16" ht="18.2" thickBot="1">
      <c r="A56" s="63" t="s">
        <v>29</v>
      </c>
      <c r="B56" s="64"/>
      <c r="C56" s="64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6"/>
    </row>
    <row r="57" spans="1:16" ht="18.2" thickTop="1">
      <c r="A57" s="7"/>
      <c r="B57" s="53"/>
      <c r="C57" s="53"/>
      <c r="D57" s="8"/>
      <c r="E57" s="8"/>
      <c r="F57" s="8"/>
      <c r="G57" s="8"/>
      <c r="H57" s="8"/>
      <c r="I57" s="8"/>
      <c r="J57" s="8"/>
      <c r="K57" s="8"/>
      <c r="L57" s="8"/>
      <c r="M57" s="8"/>
      <c r="N57" s="9"/>
    </row>
    <row r="58" spans="1:16">
      <c r="A58" s="24" t="s">
        <v>32</v>
      </c>
      <c r="B58" s="49"/>
      <c r="C58" s="49"/>
      <c r="D58" s="67" t="s">
        <v>30</v>
      </c>
      <c r="E58" s="67"/>
      <c r="F58" s="67"/>
      <c r="G58" s="67"/>
      <c r="H58" s="67"/>
      <c r="I58" s="67"/>
      <c r="J58" s="67"/>
      <c r="K58" s="67"/>
      <c r="L58" s="67"/>
      <c r="M58" s="67"/>
      <c r="N58" s="68" t="s">
        <v>31</v>
      </c>
    </row>
    <row r="59" spans="1:16">
      <c r="A59" s="49"/>
      <c r="B59" s="49" t="s">
        <v>88</v>
      </c>
      <c r="C59" s="49"/>
      <c r="D59" s="67"/>
      <c r="E59" s="67"/>
      <c r="F59" s="67"/>
      <c r="G59" s="67"/>
      <c r="H59" s="67"/>
      <c r="I59" s="67"/>
      <c r="J59" s="67"/>
      <c r="K59" s="67"/>
      <c r="L59" s="67"/>
      <c r="M59" s="67"/>
      <c r="N59" s="80">
        <v>3200</v>
      </c>
    </row>
    <row r="60" spans="1:16" hidden="1">
      <c r="A60" s="93"/>
      <c r="B60" s="2" t="s">
        <v>87</v>
      </c>
      <c r="C60" s="49"/>
      <c r="D60" s="121">
        <v>30</v>
      </c>
      <c r="E60" s="122">
        <v>140</v>
      </c>
      <c r="F60" s="121">
        <v>60</v>
      </c>
      <c r="G60" s="123">
        <v>60</v>
      </c>
      <c r="H60" s="122">
        <v>90</v>
      </c>
      <c r="I60" s="123">
        <v>35</v>
      </c>
      <c r="J60" s="121">
        <v>140</v>
      </c>
      <c r="K60" s="123">
        <v>146</v>
      </c>
      <c r="L60" s="123">
        <v>145</v>
      </c>
      <c r="M60" s="123">
        <v>140</v>
      </c>
      <c r="N60" s="80"/>
    </row>
    <row r="61" spans="1:16">
      <c r="A61" s="93"/>
      <c r="B61" s="34" t="s">
        <v>83</v>
      </c>
      <c r="C61" s="49"/>
      <c r="D61" s="124">
        <f t="shared" ref="D61:M61" si="35">SUM(D60*D37)</f>
        <v>1800</v>
      </c>
      <c r="E61" s="124">
        <f t="shared" si="35"/>
        <v>22540</v>
      </c>
      <c r="F61" s="124">
        <f t="shared" si="35"/>
        <v>1440</v>
      </c>
      <c r="G61" s="124">
        <f t="shared" si="35"/>
        <v>1920</v>
      </c>
      <c r="H61" s="124">
        <f t="shared" si="35"/>
        <v>7560</v>
      </c>
      <c r="I61" s="124">
        <f t="shared" si="35"/>
        <v>6230</v>
      </c>
      <c r="J61" s="124">
        <f t="shared" si="35"/>
        <v>8400</v>
      </c>
      <c r="K61" s="124">
        <f t="shared" si="35"/>
        <v>7300</v>
      </c>
      <c r="L61" s="124">
        <f t="shared" si="35"/>
        <v>145</v>
      </c>
      <c r="M61" s="124">
        <f t="shared" si="35"/>
        <v>6300</v>
      </c>
      <c r="N61" s="80">
        <f>SUM(D61:M61)</f>
        <v>63635</v>
      </c>
    </row>
    <row r="62" spans="1:16">
      <c r="A62" s="93"/>
      <c r="B62" s="34" t="s">
        <v>84</v>
      </c>
      <c r="C62" s="49"/>
      <c r="D62" s="124">
        <f>6800/995*D37</f>
        <v>410.0502512562814</v>
      </c>
      <c r="E62" s="124">
        <f t="shared" ref="E62:M62" si="36">6800/995*E37</f>
        <v>1100.3015075376884</v>
      </c>
      <c r="F62" s="124">
        <f t="shared" si="36"/>
        <v>164.02010050251258</v>
      </c>
      <c r="G62" s="124">
        <f t="shared" si="36"/>
        <v>218.69346733668343</v>
      </c>
      <c r="H62" s="124">
        <f t="shared" si="36"/>
        <v>574.070351758794</v>
      </c>
      <c r="I62" s="124">
        <f t="shared" si="36"/>
        <v>1216.4824120603016</v>
      </c>
      <c r="J62" s="124">
        <f t="shared" si="36"/>
        <v>410.0502512562814</v>
      </c>
      <c r="K62" s="124">
        <f t="shared" si="36"/>
        <v>341.70854271356785</v>
      </c>
      <c r="L62" s="124">
        <f t="shared" si="36"/>
        <v>6.8341708542713571</v>
      </c>
      <c r="M62" s="124">
        <f t="shared" si="36"/>
        <v>307.53768844221105</v>
      </c>
      <c r="N62" s="80">
        <f>SUM(D62:M62)</f>
        <v>4749.7487437185937</v>
      </c>
      <c r="O62" s="77"/>
    </row>
    <row r="63" spans="1:16">
      <c r="A63" s="93"/>
      <c r="B63" s="34" t="s">
        <v>82</v>
      </c>
      <c r="C63" s="49"/>
      <c r="D63" s="124">
        <f>D37*$B9*0.3+(D61*5%)</f>
        <v>720</v>
      </c>
      <c r="E63" s="124">
        <f>(E37*$B9*0.5)+(E61*5%)</f>
        <v>3944.5</v>
      </c>
      <c r="F63" s="124">
        <f>F37*$B9*0.3+(F61*5%)</f>
        <v>324</v>
      </c>
      <c r="G63" s="124">
        <f>G37*$B9*0.3+(G61*5%)</f>
        <v>432</v>
      </c>
      <c r="H63" s="124">
        <f>H37*$B9*0.5+(H61*5%)</f>
        <v>1848</v>
      </c>
      <c r="I63" s="124">
        <f>I37*$B9*0.5+(I61*5%)</f>
        <v>3426.5</v>
      </c>
      <c r="J63" s="124">
        <f>J37*$B9*0.5+(J61*5%)</f>
        <v>1470</v>
      </c>
      <c r="K63" s="124">
        <f>K37*$B9*0.5+(K61*5%)</f>
        <v>1240</v>
      </c>
      <c r="L63" s="124">
        <f>L37*$B9*1+(L61*5%)</f>
        <v>42.25</v>
      </c>
      <c r="M63" s="124">
        <f>M37*$B9*0.5+(M61*5%)</f>
        <v>1102.5</v>
      </c>
      <c r="N63" s="80">
        <f>SUM(D63:M63)</f>
        <v>14549.75</v>
      </c>
    </row>
    <row r="64" spans="1:16">
      <c r="A64" s="93"/>
      <c r="B64" s="34" t="s">
        <v>86</v>
      </c>
      <c r="C64" s="49"/>
      <c r="D64" s="124">
        <f>D61*5%</f>
        <v>90</v>
      </c>
      <c r="E64" s="124">
        <f t="shared" ref="E64:M64" si="37">E61*5%</f>
        <v>1127</v>
      </c>
      <c r="F64" s="124">
        <f t="shared" si="37"/>
        <v>72</v>
      </c>
      <c r="G64" s="124">
        <f t="shared" si="37"/>
        <v>96</v>
      </c>
      <c r="H64" s="124">
        <f t="shared" si="37"/>
        <v>378</v>
      </c>
      <c r="I64" s="124">
        <f t="shared" si="37"/>
        <v>311.5</v>
      </c>
      <c r="J64" s="124">
        <f t="shared" si="37"/>
        <v>420</v>
      </c>
      <c r="K64" s="124">
        <f t="shared" si="37"/>
        <v>365</v>
      </c>
      <c r="L64" s="124">
        <f t="shared" si="37"/>
        <v>7.25</v>
      </c>
      <c r="M64" s="124">
        <f t="shared" si="37"/>
        <v>315</v>
      </c>
      <c r="N64" s="80">
        <f>SUM(D64:M64)</f>
        <v>3181.75</v>
      </c>
    </row>
    <row r="65" spans="1:14">
      <c r="A65" s="93"/>
      <c r="B65" s="34" t="s">
        <v>81</v>
      </c>
      <c r="C65" s="49"/>
      <c r="D65" s="124">
        <f>D61*10%</f>
        <v>180</v>
      </c>
      <c r="E65" s="124">
        <f t="shared" ref="E65:M65" si="38">E61*10%</f>
        <v>2254</v>
      </c>
      <c r="F65" s="124">
        <f t="shared" si="38"/>
        <v>144</v>
      </c>
      <c r="G65" s="124">
        <f t="shared" si="38"/>
        <v>192</v>
      </c>
      <c r="H65" s="124">
        <f t="shared" si="38"/>
        <v>756</v>
      </c>
      <c r="I65" s="124">
        <f t="shared" si="38"/>
        <v>623</v>
      </c>
      <c r="J65" s="124">
        <f t="shared" si="38"/>
        <v>840</v>
      </c>
      <c r="K65" s="124">
        <f t="shared" si="38"/>
        <v>730</v>
      </c>
      <c r="L65" s="124">
        <f t="shared" si="38"/>
        <v>14.5</v>
      </c>
      <c r="M65" s="124">
        <f t="shared" si="38"/>
        <v>630</v>
      </c>
      <c r="N65" s="80">
        <f>SUM(D65:M65)</f>
        <v>6363.5</v>
      </c>
    </row>
    <row r="66" spans="1:14">
      <c r="A66" s="24"/>
      <c r="B66" s="49"/>
      <c r="C66" s="4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95"/>
    </row>
    <row r="67" spans="1:14">
      <c r="A67" s="24"/>
      <c r="B67" s="131" t="s">
        <v>85</v>
      </c>
      <c r="C67" s="49"/>
      <c r="D67" s="125">
        <f>SUM(D61:D66)</f>
        <v>3200.0502512562816</v>
      </c>
      <c r="E67" s="125">
        <f t="shared" ref="E67:M67" si="39">SUM(E61:E66)</f>
        <v>30965.80150753769</v>
      </c>
      <c r="F67" s="125">
        <f t="shared" si="39"/>
        <v>2144.0201005025128</v>
      </c>
      <c r="G67" s="125">
        <f t="shared" si="39"/>
        <v>2858.6934673366836</v>
      </c>
      <c r="H67" s="125">
        <f t="shared" si="39"/>
        <v>11116.070351758794</v>
      </c>
      <c r="I67" s="125">
        <f t="shared" si="39"/>
        <v>11807.482412060301</v>
      </c>
      <c r="J67" s="125">
        <f t="shared" si="39"/>
        <v>11540.050251256282</v>
      </c>
      <c r="K67" s="125">
        <f t="shared" si="39"/>
        <v>9976.708542713568</v>
      </c>
      <c r="L67" s="125">
        <f t="shared" si="39"/>
        <v>215.83417085427135</v>
      </c>
      <c r="M67" s="125">
        <f t="shared" si="39"/>
        <v>8655.0376884422112</v>
      </c>
      <c r="N67" s="118">
        <f>SUM(N59:N66)</f>
        <v>95679.748743718592</v>
      </c>
    </row>
    <row r="68" spans="1:14">
      <c r="A68" s="24"/>
      <c r="B68" s="49"/>
      <c r="C68" s="49"/>
      <c r="D68" s="129"/>
      <c r="E68" s="129"/>
      <c r="F68" s="129"/>
      <c r="G68" s="129"/>
      <c r="H68" s="129"/>
      <c r="I68" s="129"/>
      <c r="J68" s="129"/>
      <c r="K68" s="129"/>
      <c r="L68" s="129"/>
      <c r="M68" s="129"/>
      <c r="N68" s="95"/>
    </row>
    <row r="69" spans="1:14">
      <c r="A69" s="24"/>
      <c r="B69" s="49"/>
      <c r="C69" s="49"/>
      <c r="D69" s="130"/>
      <c r="E69" s="130"/>
      <c r="F69" s="130"/>
      <c r="G69" s="130"/>
      <c r="H69" s="130"/>
      <c r="I69" s="130"/>
      <c r="J69" s="130"/>
      <c r="K69" s="130"/>
      <c r="L69" s="130"/>
      <c r="M69" s="130"/>
      <c r="N69" s="69"/>
    </row>
    <row r="70" spans="1:14" ht="18.2" thickBot="1">
      <c r="A70" s="70"/>
      <c r="B70" s="71"/>
      <c r="C70" s="71"/>
      <c r="D70" s="72"/>
      <c r="E70" s="72"/>
      <c r="F70" s="72"/>
      <c r="G70" s="72"/>
      <c r="H70" s="72"/>
      <c r="I70" s="72"/>
      <c r="J70" s="72"/>
      <c r="K70" s="72"/>
      <c r="L70" s="72"/>
      <c r="M70" s="96" t="s">
        <v>67</v>
      </c>
      <c r="N70" s="97">
        <f>N67/N51</f>
        <v>4.4855655595049724</v>
      </c>
    </row>
    <row r="71" spans="1:14" ht="18.95" thickTop="1" thickBot="1"/>
    <row r="72" spans="1:14" ht="18.2" thickBot="1">
      <c r="A72" s="16" t="s">
        <v>19</v>
      </c>
      <c r="B72" s="58"/>
      <c r="C72" s="58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8"/>
    </row>
    <row r="73" spans="1:14" ht="18.2" thickTop="1">
      <c r="A73" s="7"/>
      <c r="B73" s="53"/>
      <c r="C73" s="53"/>
      <c r="D73" s="8"/>
      <c r="E73" s="8"/>
      <c r="F73" s="8"/>
      <c r="G73" s="8"/>
      <c r="H73" s="8"/>
      <c r="I73" s="8"/>
      <c r="J73" s="8"/>
      <c r="K73" s="8"/>
      <c r="L73" s="8"/>
      <c r="M73" s="8"/>
      <c r="N73" s="9"/>
    </row>
    <row r="74" spans="1:14">
      <c r="A74" s="10" t="s">
        <v>16</v>
      </c>
      <c r="B74" s="59"/>
      <c r="C74" s="59"/>
      <c r="D74" s="81">
        <f t="shared" ref="D74:M74" si="40">D32*D47</f>
        <v>17760.599999999999</v>
      </c>
      <c r="E74" s="81">
        <f t="shared" si="40"/>
        <v>119687.40000000001</v>
      </c>
      <c r="F74" s="81">
        <f t="shared" si="40"/>
        <v>13566</v>
      </c>
      <c r="G74" s="81">
        <f t="shared" si="40"/>
        <v>18088</v>
      </c>
      <c r="H74" s="81">
        <f t="shared" si="40"/>
        <v>47481</v>
      </c>
      <c r="I74" s="81">
        <f t="shared" si="40"/>
        <v>253650</v>
      </c>
      <c r="J74" s="81">
        <f t="shared" si="40"/>
        <v>61620</v>
      </c>
      <c r="K74" s="81">
        <f t="shared" si="40"/>
        <v>31710.000000000004</v>
      </c>
      <c r="L74" s="81">
        <f t="shared" si="40"/>
        <v>286.59999999999997</v>
      </c>
      <c r="M74" s="81">
        <f t="shared" si="40"/>
        <v>33177</v>
      </c>
      <c r="N74" s="82">
        <f>SUM(D74:M74)</f>
        <v>597026.6</v>
      </c>
    </row>
    <row r="75" spans="1:14">
      <c r="A75" s="11" t="s">
        <v>17</v>
      </c>
      <c r="B75" s="60"/>
      <c r="C75" s="60"/>
      <c r="D75" s="83">
        <f t="shared" ref="D75:M75" si="41">D49*D47</f>
        <v>5760</v>
      </c>
      <c r="E75" s="83">
        <f t="shared" si="41"/>
        <v>33810</v>
      </c>
      <c r="F75" s="83">
        <f t="shared" si="41"/>
        <v>3456.0000000000005</v>
      </c>
      <c r="G75" s="83">
        <f t="shared" si="41"/>
        <v>4608.0000000000009</v>
      </c>
      <c r="H75" s="83">
        <f t="shared" si="41"/>
        <v>20160</v>
      </c>
      <c r="I75" s="83">
        <f t="shared" si="41"/>
        <v>6408</v>
      </c>
      <c r="J75" s="83">
        <f t="shared" si="41"/>
        <v>12599.999999999998</v>
      </c>
      <c r="K75" s="83">
        <f t="shared" si="41"/>
        <v>6900</v>
      </c>
      <c r="L75" s="83">
        <f t="shared" si="41"/>
        <v>111.00000000000001</v>
      </c>
      <c r="M75" s="83">
        <f t="shared" si="41"/>
        <v>9450</v>
      </c>
      <c r="N75" s="84">
        <f>SUM(D75:M75)</f>
        <v>103263</v>
      </c>
    </row>
    <row r="76" spans="1:14">
      <c r="A76" s="12"/>
      <c r="B76" s="8"/>
      <c r="C76" s="8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5"/>
    </row>
    <row r="77" spans="1:14" ht="18.2" thickBot="1">
      <c r="A77" s="13" t="s">
        <v>20</v>
      </c>
      <c r="B77" s="61"/>
      <c r="C77" s="61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6">
        <f>N74-N75</f>
        <v>493763.6</v>
      </c>
    </row>
    <row r="78" spans="1:14" ht="18.2" thickTop="1">
      <c r="A78" s="12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9"/>
    </row>
    <row r="79" spans="1:14" ht="18.2" thickBot="1">
      <c r="A79" s="14" t="s">
        <v>64</v>
      </c>
      <c r="B79" s="62"/>
      <c r="C79" s="62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94">
        <f>(N24-N44)*D47</f>
        <v>884976.5691000002</v>
      </c>
    </row>
    <row r="80" spans="1:14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</row>
  </sheetData>
  <phoneticPr fontId="13" type="noConversion"/>
  <dataValidations count="1">
    <dataValidation type="list" allowBlank="1" showInputMessage="1" showErrorMessage="1" sqref="I36:K36 F36:G36">
      <formula1>$A$6:$A$19</formula1>
    </dataValidation>
  </dataValidations>
  <pageMargins left="0.75000000000000011" right="0.75000000000000011" top="1" bottom="1" header="0.5" footer="0.5"/>
  <pageSetup paperSize="9" scale="35" orientation="landscape" horizontalDpi="4294967292" verticalDpi="4294967292"/>
  <rowBreaks count="1" manualBreakCount="1">
    <brk id="79" max="16383" man="1"/>
  </rowBreaks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'lookup info'!$A$6:$A$19</xm:f>
          </x14:formula1>
          <xm:sqref>D36:E36 L36:M36 H36 A60:A65</xm:sqref>
        </x14:dataValidation>
        <x14:dataValidation type="list" allowBlank="1" showInputMessage="1" showErrorMessage="1">
          <x14:formula1>
            <xm:f>'lookup info'!$A$23:$A$25</xm:f>
          </x14:formula1>
          <xm:sqref>D17:M17</xm:sqref>
        </x14:dataValidation>
      </x14:dataValidations>
    </ext>
    <ext xmlns:mx="http://schemas.microsoft.com/office/mac/excel/2008/main" uri="{64002731-A6B0-56B0-2670-7721B7C09600}">
      <mx:PLV Mode="0" OnePage="0" WScale="43"/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dimension ref="A4:E25"/>
  <sheetViews>
    <sheetView workbookViewId="0">
      <selection activeCell="D18" sqref="D18"/>
    </sheetView>
  </sheetViews>
  <sheetFormatPr defaultColWidth="11" defaultRowHeight="16.75"/>
  <cols>
    <col min="1" max="1" width="14.77734375" bestFit="1" customWidth="1"/>
    <col min="3" max="3" width="12.33203125" bestFit="1" customWidth="1"/>
  </cols>
  <sheetData>
    <row r="4" spans="1:5">
      <c r="A4" s="89" t="s">
        <v>58</v>
      </c>
    </row>
    <row r="5" spans="1:5">
      <c r="A5" t="s">
        <v>46</v>
      </c>
      <c r="B5" t="s">
        <v>54</v>
      </c>
      <c r="C5" t="s">
        <v>55</v>
      </c>
      <c r="D5" t="s">
        <v>56</v>
      </c>
      <c r="E5" t="s">
        <v>63</v>
      </c>
    </row>
    <row r="6" spans="1:5">
      <c r="A6" t="s">
        <v>57</v>
      </c>
      <c r="B6">
        <v>0</v>
      </c>
      <c r="C6">
        <v>0</v>
      </c>
      <c r="D6">
        <v>0</v>
      </c>
      <c r="E6">
        <v>0</v>
      </c>
    </row>
    <row r="7" spans="1:5">
      <c r="A7" t="s">
        <v>80</v>
      </c>
      <c r="B7">
        <v>18.5</v>
      </c>
      <c r="C7">
        <v>50000</v>
      </c>
      <c r="E7">
        <v>145</v>
      </c>
    </row>
    <row r="8" spans="1:5">
      <c r="A8" t="s">
        <v>78</v>
      </c>
      <c r="B8">
        <v>23</v>
      </c>
      <c r="C8">
        <v>50000</v>
      </c>
      <c r="E8">
        <v>146</v>
      </c>
    </row>
    <row r="9" spans="1:5">
      <c r="A9" t="s">
        <v>79</v>
      </c>
      <c r="B9">
        <v>33</v>
      </c>
      <c r="C9">
        <v>50000</v>
      </c>
      <c r="E9">
        <v>218</v>
      </c>
    </row>
    <row r="10" spans="1:5">
      <c r="A10" t="s">
        <v>48</v>
      </c>
      <c r="B10">
        <v>9</v>
      </c>
      <c r="C10">
        <v>50000</v>
      </c>
      <c r="E10">
        <v>28.5</v>
      </c>
    </row>
    <row r="11" spans="1:5">
      <c r="A11" t="s">
        <v>49</v>
      </c>
      <c r="B11">
        <v>16</v>
      </c>
      <c r="C11">
        <v>50000</v>
      </c>
      <c r="E11">
        <v>39.5</v>
      </c>
    </row>
    <row r="12" spans="1:5">
      <c r="A12" t="s">
        <v>47</v>
      </c>
      <c r="B12">
        <v>20</v>
      </c>
      <c r="C12">
        <v>50000</v>
      </c>
      <c r="E12">
        <v>45</v>
      </c>
    </row>
    <row r="13" spans="1:5">
      <c r="A13" t="s">
        <v>50</v>
      </c>
      <c r="B13">
        <v>24</v>
      </c>
      <c r="C13">
        <v>50000</v>
      </c>
      <c r="E13">
        <v>52</v>
      </c>
    </row>
    <row r="14" spans="1:5">
      <c r="A14" t="s">
        <v>33</v>
      </c>
      <c r="B14">
        <v>20</v>
      </c>
      <c r="C14">
        <v>70000</v>
      </c>
      <c r="E14">
        <v>199</v>
      </c>
    </row>
    <row r="15" spans="1:5">
      <c r="A15" t="s">
        <v>51</v>
      </c>
      <c r="B15">
        <v>40</v>
      </c>
      <c r="C15">
        <v>70000</v>
      </c>
      <c r="E15">
        <v>199</v>
      </c>
    </row>
    <row r="16" spans="1:5">
      <c r="A16" t="s">
        <v>65</v>
      </c>
      <c r="B16">
        <v>35</v>
      </c>
      <c r="C16">
        <v>50000</v>
      </c>
      <c r="E16">
        <v>120</v>
      </c>
    </row>
    <row r="17" spans="1:5">
      <c r="A17" t="s">
        <v>66</v>
      </c>
      <c r="B17">
        <v>6</v>
      </c>
      <c r="C17">
        <v>50000</v>
      </c>
      <c r="E17">
        <v>30</v>
      </c>
    </row>
    <row r="18" spans="1:5">
      <c r="A18" t="s">
        <v>52</v>
      </c>
      <c r="B18">
        <v>40</v>
      </c>
      <c r="C18">
        <v>50000</v>
      </c>
      <c r="E18">
        <v>80</v>
      </c>
    </row>
    <row r="19" spans="1:5">
      <c r="A19" t="s">
        <v>53</v>
      </c>
      <c r="B19">
        <v>50</v>
      </c>
      <c r="C19">
        <v>50000</v>
      </c>
      <c r="E19">
        <v>90</v>
      </c>
    </row>
    <row r="22" spans="1:5">
      <c r="A22" s="89" t="s">
        <v>59</v>
      </c>
    </row>
    <row r="23" spans="1:5">
      <c r="A23" t="s">
        <v>60</v>
      </c>
      <c r="B23" s="90">
        <v>0.2</v>
      </c>
    </row>
    <row r="24" spans="1:5">
      <c r="A24" t="s">
        <v>61</v>
      </c>
      <c r="B24" s="90">
        <v>0.11</v>
      </c>
    </row>
    <row r="25" spans="1:5">
      <c r="A25" t="s">
        <v>62</v>
      </c>
      <c r="B25" s="90"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Es - summary page</vt:lpstr>
      <vt:lpstr>lookup info</vt:lpstr>
      <vt:lpstr>'Es - summary page'!Print_Area</vt:lpstr>
    </vt:vector>
  </TitlesOfParts>
  <Company>This is LED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This is LED</dc:creator>
  <cp:lastModifiedBy>Joshua Woodyatt</cp:lastModifiedBy>
  <cp:lastPrinted>2013-04-05T16:10:53Z</cp:lastPrinted>
  <dcterms:created xsi:type="dcterms:W3CDTF">2011-05-05T09:15:33Z</dcterms:created>
  <dcterms:modified xsi:type="dcterms:W3CDTF">2013-04-11T16:03:40Z</dcterms:modified>
</cp:coreProperties>
</file>