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4669" windowHeight="14225" tabRatio="500"/>
  </bookViews>
  <sheets>
    <sheet name="Es - summary page" sheetId="3" r:id="rId1"/>
    <sheet name="lookup info" sheetId="4" r:id="rId2"/>
  </sheets>
  <definedNames>
    <definedName name="_xlnm._FilterDatabase" localSheetId="1" hidden="1">'lookup info'!$A$5:$E$5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3"/>
  <c r="D43"/>
  <c r="D24"/>
  <c r="D58"/>
  <c r="D45"/>
  <c r="D38"/>
  <c r="D15"/>
  <c r="D37"/>
  <c r="B58"/>
  <c r="B8"/>
  <c r="D40"/>
  <c r="E38"/>
  <c r="E40"/>
  <c r="F40"/>
  <c r="F43"/>
  <c r="E19"/>
  <c r="E21"/>
  <c r="E24"/>
  <c r="E43"/>
  <c r="D18"/>
  <c r="D19"/>
  <c r="D21"/>
  <c r="F21"/>
  <c r="F24"/>
  <c r="D27"/>
  <c r="D23"/>
  <c r="D46"/>
  <c r="F75"/>
  <c r="D32"/>
  <c r="D70"/>
  <c r="E23"/>
  <c r="E27"/>
  <c r="E30"/>
  <c r="E32"/>
  <c r="E46"/>
  <c r="E70"/>
  <c r="F70"/>
  <c r="D42"/>
  <c r="D48"/>
  <c r="D71"/>
  <c r="E42"/>
  <c r="E48"/>
  <c r="E71"/>
  <c r="F71"/>
  <c r="F73"/>
  <c r="F58"/>
  <c r="D50"/>
  <c r="E50"/>
  <c r="F50"/>
  <c r="F53"/>
  <c r="F52"/>
  <c r="F48"/>
  <c r="F42"/>
  <c r="F32"/>
  <c r="F30"/>
  <c r="F23"/>
</calcChain>
</file>

<file path=xl/comments1.xml><?xml version="1.0" encoding="utf-8"?>
<comments xmlns="http://schemas.openxmlformats.org/spreadsheetml/2006/main">
  <authors>
    <author>Joshua Woodyatt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Client project?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>do you have a different logo or company name to use?</t>
        </r>
      </text>
    </comment>
    <comment ref="C8" authorId="0">
      <text>
        <r>
          <rPr>
            <b/>
            <sz val="9"/>
            <color indexed="81"/>
            <rFont val="Tahoma"/>
            <charset val="1"/>
          </rPr>
          <t>this isn't on in the images but I assume it is still required.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this info will be inputted manually?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second column not used?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What is this? It isn't included in image 3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Relates to percentage below.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Looks Up D17 (above) on the lookup info sheet between A18 and B20</t>
        </r>
      </text>
    </comment>
    <comment ref="D24" authorId="0">
      <text>
        <r>
          <rPr>
            <b/>
            <sz val="9"/>
            <color indexed="81"/>
            <rFont val="Tahoma"/>
            <charset val="1"/>
          </rPr>
          <t>What is 0.54522?</t>
        </r>
      </text>
    </comment>
    <comment ref="D26" authorId="0">
      <text>
        <r>
          <rPr>
            <b/>
            <sz val="9"/>
            <color indexed="81"/>
            <rFont val="Tahoma"/>
            <charset val="1"/>
          </rPr>
          <t>lamp life will be different depending on the lamp the client currently has.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Lamp cost will be different depending on the lamp the client currently has.</t>
        </r>
      </text>
    </comment>
    <comment ref="D29" authorId="0">
      <text>
        <r>
          <rPr>
            <b/>
            <sz val="9"/>
            <color indexed="81"/>
            <rFont val="Tahoma"/>
            <charset val="1"/>
          </rPr>
          <t>Will lamp replacement time will be different depending on the lamp the client currently has?</t>
        </r>
      </text>
    </comment>
    <comment ref="D43" authorId="0">
      <text>
        <r>
          <rPr>
            <b/>
            <sz val="9"/>
            <color indexed="81"/>
            <rFont val="Tahoma"/>
            <charset val="1"/>
          </rPr>
          <t>What is 0.54522?</t>
        </r>
      </text>
    </comment>
  </commentList>
</comments>
</file>

<file path=xl/sharedStrings.xml><?xml version="1.0" encoding="utf-8"?>
<sst xmlns="http://schemas.openxmlformats.org/spreadsheetml/2006/main" count="80" uniqueCount="70">
  <si>
    <t>Life Cycle Cost Analysis</t>
  </si>
  <si>
    <t>Key Variable Data</t>
  </si>
  <si>
    <t>Unit Cost of Electricity</t>
  </si>
  <si>
    <t>Operational Hours per Day</t>
  </si>
  <si>
    <t>Operational Days per Year</t>
  </si>
  <si>
    <t>hours</t>
  </si>
  <si>
    <t>days</t>
  </si>
  <si>
    <t>Ballast/driver loss</t>
  </si>
  <si>
    <t>Product Description</t>
  </si>
  <si>
    <t>Quantity</t>
  </si>
  <si>
    <t>Power Rating (Watts)</t>
  </si>
  <si>
    <t>Number of Replacements Per Annum</t>
  </si>
  <si>
    <t>Total Replacement Cost Per Annum</t>
  </si>
  <si>
    <t>TOTAL ANNUAL COST</t>
  </si>
  <si>
    <t>Total Annual Power Consumption (kWhr)</t>
  </si>
  <si>
    <t>Bulb Life to L70 (hours)</t>
  </si>
  <si>
    <t>Current "fluorescent" Specification</t>
  </si>
  <si>
    <t>Proposed LED specification</t>
  </si>
  <si>
    <t>Expected Fitting Life to L70 (years)</t>
  </si>
  <si>
    <t>LIFE CYCLE COST COMPARISON (calculated over LED lifespan TO L70)</t>
  </si>
  <si>
    <t>FORECAST COST SAVING OVER PERIOD OF LED LIFE EXPECTANCY</t>
  </si>
  <si>
    <t>Total Energy Cost Per Annum (£'s)</t>
  </si>
  <si>
    <t>TOTAL ANNUAL SAVING (£'s)</t>
  </si>
  <si>
    <t>TOTALS OVER 5 YEAR PERIOD</t>
  </si>
  <si>
    <t>Carbon Saving (Tonnes)</t>
  </si>
  <si>
    <t>Cost Saving (£'s)</t>
  </si>
  <si>
    <t xml:space="preserve">per kWh </t>
  </si>
  <si>
    <t>Current Specification</t>
  </si>
  <si>
    <t>Proposed LED Specification</t>
  </si>
  <si>
    <t>PRODUCT COST</t>
  </si>
  <si>
    <t>@</t>
  </si>
  <si>
    <t>price per unit</t>
  </si>
  <si>
    <t>total cost</t>
  </si>
  <si>
    <t>Proposed LED specification (supply only)</t>
  </si>
  <si>
    <t>liteRAFT600</t>
  </si>
  <si>
    <t>Luminaire Quantity</t>
  </si>
  <si>
    <t>Lamps per Luminaire</t>
  </si>
  <si>
    <t>Total Lamp Quantity</t>
  </si>
  <si>
    <t>Power Rating (Watts per Lamp)</t>
  </si>
  <si>
    <t>Actual power consumption (Watts per Lamp)</t>
  </si>
  <si>
    <t>Ballast / Driver Type</t>
  </si>
  <si>
    <t>Total Carbon used Per Annum (KG)</t>
  </si>
  <si>
    <t>Lamp Life to L70 (hours)</t>
  </si>
  <si>
    <t>Maintenance Cost (all in hourly rate)</t>
  </si>
  <si>
    <t>per hour</t>
  </si>
  <si>
    <t>Lamp Replacement Cost</t>
  </si>
  <si>
    <t>Lamp Replacement Time (hrs)</t>
  </si>
  <si>
    <t>Name</t>
  </si>
  <si>
    <t>litePIPE1500</t>
  </si>
  <si>
    <t>litePIPE600</t>
  </si>
  <si>
    <t>litePIPE1200</t>
  </si>
  <si>
    <t>litePIPE1800</t>
  </si>
  <si>
    <t>liteRAFT1200</t>
  </si>
  <si>
    <t>VAPOURlite1200</t>
  </si>
  <si>
    <t>VAPOURlite1500</t>
  </si>
  <si>
    <t>Power (W)</t>
  </si>
  <si>
    <t>LifeSpan (hrs)</t>
  </si>
  <si>
    <t>Lumens</t>
  </si>
  <si>
    <t>not used</t>
  </si>
  <si>
    <t>[lamp type here]</t>
  </si>
  <si>
    <t>[CLIENT]</t>
  </si>
  <si>
    <t>[PROJECT]</t>
  </si>
  <si>
    <t>PRODUCTS</t>
  </si>
  <si>
    <t>BALLAST TYPE</t>
  </si>
  <si>
    <t>Switch Start</t>
  </si>
  <si>
    <t>High Frequency</t>
  </si>
  <si>
    <t>Non Used</t>
  </si>
  <si>
    <t>T8 1200 x 600 luminaire</t>
  </si>
  <si>
    <t>Price</t>
  </si>
  <si>
    <t>FORECAST REDUCTION IN CARBON USE OVER PERIOD OF LED LIFE EXPECTANCY (KG)</t>
  </si>
</sst>
</file>

<file path=xl/styles.xml><?xml version="1.0" encoding="utf-8"?>
<styleSheet xmlns="http://schemas.openxmlformats.org/spreadsheetml/2006/main">
  <numFmts count="4">
    <numFmt numFmtId="164" formatCode="&quot;£&quot;#,##0.00"/>
    <numFmt numFmtId="165" formatCode="0.0"/>
    <numFmt numFmtId="167" formatCode="[$IDR]\ #,##0.00"/>
    <numFmt numFmtId="168" formatCode="&quot;£&quot;#,##0"/>
  </numFmts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Trebuchet MS"/>
      <family val="2"/>
    </font>
    <font>
      <sz val="12"/>
      <color theme="1"/>
      <name val="Trebuchet MS"/>
      <family val="2"/>
    </font>
    <font>
      <sz val="12"/>
      <name val="Trebuchet MS"/>
      <family val="2"/>
    </font>
    <font>
      <b/>
      <sz val="12"/>
      <color theme="9" tint="-0.249977111117893"/>
      <name val="Trebuchet MS"/>
      <family val="2"/>
    </font>
    <font>
      <b/>
      <sz val="12"/>
      <name val="Trebuchet MS"/>
      <family val="2"/>
    </font>
    <font>
      <b/>
      <sz val="12"/>
      <color rgb="FF008000"/>
      <name val="Trebuchet MS"/>
      <family val="2"/>
    </font>
    <font>
      <sz val="12"/>
      <color rgb="FFFF6600"/>
      <name val="Trebuchet MS"/>
      <family val="2"/>
    </font>
    <font>
      <sz val="12"/>
      <color rgb="FF008000"/>
      <name val="Trebuchet MS"/>
      <family val="2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0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0">
    <xf numFmtId="0" fontId="0" fillId="0" borderId="0" xfId="0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4" fillId="0" borderId="1" xfId="0" applyNumberFormat="1" applyFont="1" applyBorder="1" applyAlignment="1">
      <alignment horizontal="right" wrapText="1"/>
    </xf>
    <xf numFmtId="164" fontId="7" fillId="0" borderId="0" xfId="0" applyNumberFormat="1" applyFont="1" applyBorder="1"/>
    <xf numFmtId="2" fontId="5" fillId="0" borderId="2" xfId="0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1" fillId="0" borderId="0" xfId="47"/>
    <xf numFmtId="0" fontId="4" fillId="0" borderId="6" xfId="0" applyFont="1" applyBorder="1"/>
    <xf numFmtId="0" fontId="5" fillId="0" borderId="0" xfId="0" applyFont="1" applyBorder="1"/>
    <xf numFmtId="0" fontId="5" fillId="0" borderId="7" xfId="0" applyFont="1" applyBorder="1"/>
    <xf numFmtId="0" fontId="10" fillId="0" borderId="6" xfId="0" applyFont="1" applyBorder="1"/>
    <xf numFmtId="0" fontId="11" fillId="0" borderId="6" xfId="0" applyFont="1" applyBorder="1"/>
    <xf numFmtId="0" fontId="5" fillId="0" borderId="6" xfId="0" applyFont="1" applyBorder="1"/>
    <xf numFmtId="0" fontId="4" fillId="2" borderId="8" xfId="0" applyFont="1" applyFill="1" applyBorder="1"/>
    <xf numFmtId="0" fontId="4" fillId="2" borderId="10" xfId="0" applyFont="1" applyFill="1" applyBorder="1"/>
    <xf numFmtId="0" fontId="5" fillId="2" borderId="11" xfId="0" applyFont="1" applyFill="1" applyBorder="1"/>
    <xf numFmtId="0" fontId="4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4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8" fillId="0" borderId="8" xfId="0" applyNumberFormat="1" applyFont="1" applyBorder="1" applyAlignment="1">
      <alignment wrapText="1"/>
    </xf>
    <xf numFmtId="0" fontId="4" fillId="0" borderId="9" xfId="0" applyFont="1" applyBorder="1"/>
    <xf numFmtId="0" fontId="6" fillId="0" borderId="6" xfId="0" applyFont="1" applyBorder="1"/>
    <xf numFmtId="0" fontId="3" fillId="0" borderId="0" xfId="0" applyFont="1" applyBorder="1" applyAlignment="1">
      <alignment horizontal="right"/>
    </xf>
    <xf numFmtId="9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2" fontId="5" fillId="0" borderId="16" xfId="0" applyNumberFormat="1" applyFont="1" applyBorder="1"/>
    <xf numFmtId="0" fontId="5" fillId="0" borderId="7" xfId="0" applyFont="1" applyBorder="1" applyAlignment="1">
      <alignment horizontal="right"/>
    </xf>
    <xf numFmtId="0" fontId="7" fillId="0" borderId="6" xfId="0" applyFont="1" applyBorder="1"/>
    <xf numFmtId="164" fontId="7" fillId="0" borderId="7" xfId="0" applyNumberFormat="1" applyFont="1" applyBorder="1" applyAlignment="1">
      <alignment horizontal="right"/>
    </xf>
    <xf numFmtId="0" fontId="7" fillId="0" borderId="8" xfId="0" applyFont="1" applyBorder="1"/>
    <xf numFmtId="0" fontId="4" fillId="0" borderId="9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2" fontId="6" fillId="0" borderId="16" xfId="0" applyNumberFormat="1" applyFont="1" applyBorder="1"/>
    <xf numFmtId="0" fontId="9" fillId="0" borderId="6" xfId="0" applyFont="1" applyBorder="1"/>
    <xf numFmtId="165" fontId="6" fillId="0" borderId="0" xfId="0" applyNumberFormat="1" applyFont="1" applyBorder="1" applyAlignment="1">
      <alignment horizontal="right"/>
    </xf>
    <xf numFmtId="0" fontId="9" fillId="0" borderId="8" xfId="0" applyFont="1" applyBorder="1"/>
    <xf numFmtId="164" fontId="9" fillId="0" borderId="9" xfId="0" applyNumberFormat="1" applyFont="1" applyBorder="1" applyAlignment="1">
      <alignment horizontal="right"/>
    </xf>
    <xf numFmtId="0" fontId="4" fillId="3" borderId="13" xfId="0" applyFont="1" applyFill="1" applyBorder="1"/>
    <xf numFmtId="0" fontId="4" fillId="3" borderId="14" xfId="0" applyFont="1" applyFill="1" applyBorder="1"/>
    <xf numFmtId="0" fontId="5" fillId="3" borderId="18" xfId="0" applyFont="1" applyFill="1" applyBorder="1"/>
    <xf numFmtId="0" fontId="4" fillId="3" borderId="19" xfId="0" applyFont="1" applyFill="1" applyBorder="1"/>
    <xf numFmtId="0" fontId="5" fillId="3" borderId="19" xfId="0" applyFont="1" applyFill="1" applyBorder="1"/>
    <xf numFmtId="0" fontId="8" fillId="2" borderId="10" xfId="0" applyFont="1" applyFill="1" applyBorder="1"/>
    <xf numFmtId="0" fontId="6" fillId="0" borderId="0" xfId="0" applyFont="1"/>
    <xf numFmtId="0" fontId="4" fillId="0" borderId="14" xfId="0" applyFont="1" applyBorder="1"/>
    <xf numFmtId="0" fontId="8" fillId="0" borderId="1" xfId="0" applyNumberFormat="1" applyFont="1" applyBorder="1" applyAlignment="1">
      <alignment wrapText="1"/>
    </xf>
    <xf numFmtId="0" fontId="6" fillId="0" borderId="0" xfId="0" applyFont="1" applyBorder="1"/>
    <xf numFmtId="2" fontId="5" fillId="0" borderId="2" xfId="0" applyNumberFormat="1" applyFont="1" applyBorder="1"/>
    <xf numFmtId="0" fontId="7" fillId="0" borderId="0" xfId="0" applyFont="1" applyBorder="1"/>
    <xf numFmtId="0" fontId="7" fillId="0" borderId="1" xfId="0" applyFont="1" applyBorder="1"/>
    <xf numFmtId="0" fontId="4" fillId="0" borderId="0" xfId="0" applyFont="1" applyBorder="1"/>
    <xf numFmtId="2" fontId="6" fillId="0" borderId="2" xfId="0" applyNumberFormat="1" applyFont="1" applyBorder="1"/>
    <xf numFmtId="0" fontId="9" fillId="0" borderId="0" xfId="0" applyFont="1" applyBorder="1"/>
    <xf numFmtId="0" fontId="9" fillId="0" borderId="1" xfId="0" applyFont="1" applyBorder="1"/>
    <xf numFmtId="0" fontId="8" fillId="2" borderId="11" xfId="0" applyFont="1" applyFill="1" applyBorder="1"/>
    <xf numFmtId="0" fontId="4" fillId="2" borderId="4" xfId="0" applyFont="1" applyFill="1" applyBorder="1"/>
    <xf numFmtId="0" fontId="10" fillId="0" borderId="0" xfId="0" applyFont="1" applyBorder="1"/>
    <xf numFmtId="0" fontId="11" fillId="0" borderId="0" xfId="0" applyFont="1" applyBorder="1"/>
    <xf numFmtId="0" fontId="4" fillId="2" borderId="1" xfId="0" applyFont="1" applyFill="1" applyBorder="1"/>
    <xf numFmtId="0" fontId="4" fillId="2" borderId="11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5" fillId="4" borderId="4" xfId="0" applyFont="1" applyFill="1" applyBorder="1"/>
    <xf numFmtId="0" fontId="5" fillId="4" borderId="5" xfId="0" applyFont="1" applyFill="1" applyBorder="1"/>
    <xf numFmtId="167" fontId="6" fillId="0" borderId="0" xfId="0" applyNumberFormat="1" applyFont="1" applyBorder="1" applyAlignment="1">
      <alignment horizontal="right"/>
    </xf>
    <xf numFmtId="167" fontId="6" fillId="0" borderId="7" xfId="0" applyNumberFormat="1" applyFont="1" applyBorder="1" applyAlignment="1">
      <alignment horizontal="right"/>
    </xf>
    <xf numFmtId="0" fontId="6" fillId="0" borderId="7" xfId="0" applyFont="1" applyBorder="1"/>
    <xf numFmtId="165" fontId="6" fillId="0" borderId="7" xfId="0" applyNumberFormat="1" applyFont="1" applyBorder="1"/>
    <xf numFmtId="0" fontId="4" fillId="4" borderId="8" xfId="0" applyFont="1" applyFill="1" applyBorder="1"/>
    <xf numFmtId="0" fontId="4" fillId="4" borderId="1" xfId="0" applyFont="1" applyFill="1" applyBorder="1"/>
    <xf numFmtId="0" fontId="5" fillId="4" borderId="1" xfId="0" applyFont="1" applyFill="1" applyBorder="1"/>
    <xf numFmtId="167" fontId="4" fillId="4" borderId="9" xfId="0" applyNumberFormat="1" applyFont="1" applyFill="1" applyBorder="1"/>
    <xf numFmtId="164" fontId="6" fillId="0" borderId="0" xfId="0" applyNumberFormat="1" applyFont="1"/>
    <xf numFmtId="164" fontId="0" fillId="0" borderId="0" xfId="0" applyNumberFormat="1" applyBorder="1"/>
    <xf numFmtId="164" fontId="5" fillId="0" borderId="7" xfId="0" applyNumberFormat="1" applyFont="1" applyBorder="1"/>
    <xf numFmtId="164" fontId="5" fillId="0" borderId="0" xfId="0" applyNumberFormat="1" applyFont="1" applyBorder="1"/>
    <xf numFmtId="164" fontId="5" fillId="0" borderId="0" xfId="0" applyNumberFormat="1" applyFont="1"/>
    <xf numFmtId="164" fontId="4" fillId="3" borderId="14" xfId="0" applyNumberFormat="1" applyFont="1" applyFill="1" applyBorder="1"/>
    <xf numFmtId="164" fontId="6" fillId="0" borderId="0" xfId="0" applyNumberFormat="1" applyFont="1" applyBorder="1"/>
    <xf numFmtId="164" fontId="6" fillId="0" borderId="7" xfId="0" applyNumberFormat="1" applyFont="1" applyBorder="1"/>
    <xf numFmtId="164" fontId="5" fillId="2" borderId="1" xfId="0" applyNumberFormat="1" applyFont="1" applyFill="1" applyBorder="1"/>
    <xf numFmtId="3" fontId="7" fillId="0" borderId="0" xfId="0" applyNumberFormat="1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12" fillId="0" borderId="0" xfId="0" applyFont="1"/>
    <xf numFmtId="9" fontId="0" fillId="0" borderId="0" xfId="0" applyNumberFormat="1"/>
    <xf numFmtId="3" fontId="7" fillId="0" borderId="7" xfId="0" applyNumberFormat="1" applyFont="1" applyBorder="1" applyAlignment="1">
      <alignment horizontal="right"/>
    </xf>
    <xf numFmtId="3" fontId="9" fillId="0" borderId="7" xfId="0" applyNumberFormat="1" applyFont="1" applyBorder="1" applyAlignment="1">
      <alignment horizontal="right"/>
    </xf>
    <xf numFmtId="0" fontId="5" fillId="0" borderId="21" xfId="0" applyNumberFormat="1" applyFont="1" applyBorder="1" applyAlignment="1">
      <alignment horizontal="right" wrapText="1"/>
    </xf>
    <xf numFmtId="3" fontId="4" fillId="2" borderId="12" xfId="0" applyNumberFormat="1" applyFont="1" applyFill="1" applyBorder="1"/>
    <xf numFmtId="1" fontId="5" fillId="0" borderId="2" xfId="0" applyNumberFormat="1" applyFont="1" applyBorder="1" applyAlignment="1">
      <alignment horizontal="right"/>
    </xf>
    <xf numFmtId="168" fontId="7" fillId="0" borderId="0" xfId="0" applyNumberFormat="1" applyFont="1" applyBorder="1"/>
    <xf numFmtId="168" fontId="7" fillId="0" borderId="1" xfId="0" applyNumberFormat="1" applyFont="1" applyBorder="1"/>
    <xf numFmtId="1" fontId="6" fillId="0" borderId="2" xfId="0" applyNumberFormat="1" applyFont="1" applyBorder="1" applyAlignment="1">
      <alignment horizontal="right"/>
    </xf>
    <xf numFmtId="168" fontId="9" fillId="0" borderId="0" xfId="0" applyNumberFormat="1" applyFont="1" applyBorder="1" applyAlignment="1">
      <alignment horizontal="right"/>
    </xf>
    <xf numFmtId="3" fontId="9" fillId="0" borderId="0" xfId="0" applyNumberFormat="1" applyFont="1" applyBorder="1" applyAlignment="1">
      <alignment horizontal="right"/>
    </xf>
    <xf numFmtId="168" fontId="9" fillId="0" borderId="1" xfId="0" applyNumberFormat="1" applyFont="1" applyBorder="1" applyAlignment="1">
      <alignment horizontal="right"/>
    </xf>
    <xf numFmtId="168" fontId="8" fillId="2" borderId="11" xfId="0" applyNumberFormat="1" applyFont="1" applyFill="1" applyBorder="1" applyAlignment="1">
      <alignment horizontal="right"/>
    </xf>
    <xf numFmtId="168" fontId="7" fillId="0" borderId="0" xfId="0" applyNumberFormat="1" applyFont="1" applyBorder="1" applyAlignment="1">
      <alignment horizontal="right"/>
    </xf>
    <xf numFmtId="1" fontId="9" fillId="0" borderId="0" xfId="0" applyNumberFormat="1" applyFont="1" applyBorder="1" applyAlignment="1">
      <alignment horizontal="right"/>
    </xf>
    <xf numFmtId="168" fontId="10" fillId="0" borderId="0" xfId="0" applyNumberFormat="1" applyFont="1" applyBorder="1"/>
    <xf numFmtId="168" fontId="10" fillId="0" borderId="7" xfId="0" applyNumberFormat="1" applyFont="1" applyBorder="1"/>
    <xf numFmtId="168" fontId="11" fillId="0" borderId="0" xfId="0" applyNumberFormat="1" applyFont="1" applyBorder="1"/>
    <xf numFmtId="168" fontId="11" fillId="0" borderId="7" xfId="0" applyNumberFormat="1" applyFont="1" applyBorder="1"/>
    <xf numFmtId="168" fontId="4" fillId="2" borderId="9" xfId="0" applyNumberFormat="1" applyFont="1" applyFill="1" applyBorder="1"/>
    <xf numFmtId="168" fontId="4" fillId="3" borderId="15" xfId="0" applyNumberFormat="1" applyFont="1" applyFill="1" applyBorder="1"/>
    <xf numFmtId="168" fontId="8" fillId="2" borderId="12" xfId="0" applyNumberFormat="1" applyFont="1" applyFill="1" applyBorder="1" applyAlignment="1">
      <alignment horizontal="right"/>
    </xf>
    <xf numFmtId="168" fontId="9" fillId="0" borderId="9" xfId="0" applyNumberFormat="1" applyFont="1" applyBorder="1" applyAlignment="1">
      <alignment horizontal="right"/>
    </xf>
    <xf numFmtId="1" fontId="4" fillId="3" borderId="20" xfId="0" applyNumberFormat="1" applyFont="1" applyFill="1" applyBorder="1"/>
    <xf numFmtId="168" fontId="9" fillId="0" borderId="7" xfId="0" applyNumberFormat="1" applyFont="1" applyBorder="1" applyAlignment="1">
      <alignment horizontal="right"/>
    </xf>
    <xf numFmtId="1" fontId="6" fillId="0" borderId="17" xfId="0" applyNumberFormat="1" applyFont="1" applyBorder="1" applyAlignment="1">
      <alignment horizontal="right"/>
    </xf>
    <xf numFmtId="168" fontId="7" fillId="0" borderId="9" xfId="0" applyNumberFormat="1" applyFont="1" applyBorder="1" applyAlignment="1">
      <alignment horizontal="right"/>
    </xf>
    <xf numFmtId="168" fontId="7" fillId="0" borderId="7" xfId="0" applyNumberFormat="1" applyFont="1" applyBorder="1"/>
    <xf numFmtId="168" fontId="7" fillId="0" borderId="7" xfId="0" applyNumberFormat="1" applyFont="1" applyBorder="1" applyAlignment="1">
      <alignment horizontal="right"/>
    </xf>
    <xf numFmtId="1" fontId="5" fillId="0" borderId="17" xfId="0" applyNumberFormat="1" applyFont="1" applyBorder="1" applyAlignment="1">
      <alignment horizontal="right"/>
    </xf>
  </cellXfs>
  <cellStyles count="10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0</xdr:rowOff>
    </xdr:from>
    <xdr:to>
      <xdr:col>6</xdr:col>
      <xdr:colOff>0</xdr:colOff>
      <xdr:row>6</xdr:row>
      <xdr:rowOff>152400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0"/>
          <a:ext cx="12954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"/>
  <sheetViews>
    <sheetView tabSelected="1" topLeftCell="A3" workbookViewId="0">
      <selection activeCell="D30" sqref="D30"/>
    </sheetView>
  </sheetViews>
  <sheetFormatPr defaultColWidth="10.77734375" defaultRowHeight="17.45"/>
  <cols>
    <col min="1" max="1" width="41.44140625" style="2" customWidth="1"/>
    <col min="2" max="2" width="13.6640625" style="2" bestFit="1" customWidth="1"/>
    <col min="3" max="3" width="10.109375" style="2" customWidth="1"/>
    <col min="4" max="5" width="35.109375" style="2" customWidth="1"/>
    <col min="6" max="6" width="23.44140625" style="2" customWidth="1"/>
    <col min="7" max="16384" width="10.77734375" style="2"/>
  </cols>
  <sheetData>
    <row r="1" spans="1:6">
      <c r="A1" s="1" t="s">
        <v>60</v>
      </c>
      <c r="B1" s="1"/>
      <c r="C1" s="1"/>
    </row>
    <row r="2" spans="1:6">
      <c r="A2" s="1" t="s">
        <v>61</v>
      </c>
      <c r="B2" s="1"/>
      <c r="C2" s="1"/>
    </row>
    <row r="3" spans="1:6">
      <c r="A3" s="1" t="s">
        <v>0</v>
      </c>
      <c r="B3" s="1"/>
      <c r="C3" s="1"/>
    </row>
    <row r="4" spans="1:6">
      <c r="A4" s="1"/>
      <c r="B4" s="1"/>
      <c r="C4" s="1"/>
    </row>
    <row r="5" spans="1:6">
      <c r="A5" s="1" t="s">
        <v>1</v>
      </c>
      <c r="B5" s="1"/>
      <c r="C5" s="1"/>
      <c r="F5" s="8"/>
    </row>
    <row r="6" spans="1:6">
      <c r="A6" s="2" t="s">
        <v>2</v>
      </c>
      <c r="B6" s="78">
        <v>0.12</v>
      </c>
      <c r="C6" s="2" t="s">
        <v>26</v>
      </c>
    </row>
    <row r="7" spans="1:6">
      <c r="A7" s="2" t="s">
        <v>3</v>
      </c>
      <c r="B7" s="49">
        <v>9</v>
      </c>
      <c r="C7" s="2" t="s">
        <v>5</v>
      </c>
    </row>
    <row r="8" spans="1:6">
      <c r="A8" s="2" t="s">
        <v>4</v>
      </c>
      <c r="B8" s="49">
        <f>12*20</f>
        <v>240</v>
      </c>
      <c r="C8" s="2" t="s">
        <v>6</v>
      </c>
    </row>
    <row r="9" spans="1:6">
      <c r="A9" s="2" t="s">
        <v>43</v>
      </c>
      <c r="B9" s="78">
        <v>35</v>
      </c>
      <c r="C9" s="2" t="s">
        <v>44</v>
      </c>
    </row>
    <row r="10" spans="1:6" ht="18.2" thickBot="1"/>
    <row r="11" spans="1:6">
      <c r="A11" s="21" t="s">
        <v>27</v>
      </c>
      <c r="B11" s="50"/>
      <c r="C11" s="50"/>
      <c r="D11" s="22"/>
      <c r="E11" s="22"/>
      <c r="F11" s="23"/>
    </row>
    <row r="12" spans="1:6" ht="22" customHeight="1" thickBot="1">
      <c r="A12" s="24" t="s">
        <v>8</v>
      </c>
      <c r="B12" s="51"/>
      <c r="C12" s="51"/>
      <c r="D12" s="4" t="s">
        <v>67</v>
      </c>
      <c r="E12" s="4" t="s">
        <v>59</v>
      </c>
      <c r="F12" s="25"/>
    </row>
    <row r="13" spans="1:6" ht="18.2" thickTop="1">
      <c r="A13" s="26" t="s">
        <v>35</v>
      </c>
      <c r="B13" s="52"/>
      <c r="C13" s="52"/>
      <c r="D13" s="27">
        <v>15</v>
      </c>
      <c r="E13" s="27">
        <v>0</v>
      </c>
      <c r="F13" s="11"/>
    </row>
    <row r="14" spans="1:6">
      <c r="A14" s="26" t="s">
        <v>36</v>
      </c>
      <c r="B14" s="52"/>
      <c r="C14" s="52"/>
      <c r="D14" s="27">
        <v>4</v>
      </c>
      <c r="E14" s="27"/>
      <c r="F14" s="11"/>
    </row>
    <row r="15" spans="1:6">
      <c r="A15" s="26" t="s">
        <v>37</v>
      </c>
      <c r="B15" s="52"/>
      <c r="C15" s="52"/>
      <c r="D15" s="27">
        <f>D13*D14</f>
        <v>60</v>
      </c>
      <c r="E15" s="27"/>
      <c r="F15" s="11"/>
    </row>
    <row r="16" spans="1:6">
      <c r="A16" s="26" t="s">
        <v>38</v>
      </c>
      <c r="B16" s="52"/>
      <c r="C16" s="52"/>
      <c r="D16" s="27">
        <v>36</v>
      </c>
      <c r="E16" s="27">
        <v>0</v>
      </c>
      <c r="F16" s="11"/>
    </row>
    <row r="17" spans="1:6">
      <c r="A17" s="26" t="s">
        <v>40</v>
      </c>
      <c r="B17" s="52"/>
      <c r="C17" s="52"/>
      <c r="D17" s="27" t="s">
        <v>65</v>
      </c>
      <c r="E17" s="27"/>
      <c r="F17" s="11"/>
    </row>
    <row r="18" spans="1:6">
      <c r="A18" s="26" t="s">
        <v>7</v>
      </c>
      <c r="B18" s="52"/>
      <c r="C18" s="52"/>
      <c r="D18" s="28">
        <f>VLOOKUP(D17,'lookup info'!A18:B20,2,FALSE)</f>
        <v>0.11</v>
      </c>
      <c r="E18" s="28">
        <v>0.11</v>
      </c>
      <c r="F18" s="11"/>
    </row>
    <row r="19" spans="1:6">
      <c r="A19" s="26" t="s">
        <v>39</v>
      </c>
      <c r="B19" s="52"/>
      <c r="C19" s="52"/>
      <c r="D19" s="29">
        <f>D16*D18+D16</f>
        <v>39.96</v>
      </c>
      <c r="E19" s="29">
        <f>E16*E18+E16</f>
        <v>0</v>
      </c>
      <c r="F19" s="11"/>
    </row>
    <row r="20" spans="1:6">
      <c r="A20" s="14"/>
      <c r="B20" s="10"/>
      <c r="C20" s="10"/>
      <c r="D20" s="29"/>
      <c r="E20" s="29"/>
      <c r="F20" s="11"/>
    </row>
    <row r="21" spans="1:6" s="3" customFormat="1">
      <c r="A21" s="30" t="s">
        <v>14</v>
      </c>
      <c r="B21" s="53"/>
      <c r="C21" s="53"/>
      <c r="D21" s="95">
        <f>SUM($B$7*$B$8*D15*D19)/1000</f>
        <v>5178.8159999999998</v>
      </c>
      <c r="E21" s="6">
        <f>SUM($B$7*$B$8*E13*E19)/1000</f>
        <v>0</v>
      </c>
      <c r="F21" s="119">
        <f>SUM(D21:E21)</f>
        <v>5178.8159999999998</v>
      </c>
    </row>
    <row r="22" spans="1:6">
      <c r="A22" s="14"/>
      <c r="B22" s="10"/>
      <c r="C22" s="10"/>
      <c r="D22" s="29"/>
      <c r="E22" s="29"/>
      <c r="F22" s="31"/>
    </row>
    <row r="23" spans="1:6">
      <c r="A23" s="32" t="s">
        <v>21</v>
      </c>
      <c r="B23" s="54"/>
      <c r="C23" s="54"/>
      <c r="D23" s="103">
        <f>D21*$B$6</f>
        <v>621.45791999999994</v>
      </c>
      <c r="E23" s="103">
        <f>E21*$B$6</f>
        <v>0</v>
      </c>
      <c r="F23" s="118">
        <f>F21*$B$6</f>
        <v>621.45791999999994</v>
      </c>
    </row>
    <row r="24" spans="1:6">
      <c r="A24" s="32" t="s">
        <v>41</v>
      </c>
      <c r="B24" s="54"/>
      <c r="C24" s="54"/>
      <c r="D24" s="87">
        <f>D21*0.54522</f>
        <v>2823.59405952</v>
      </c>
      <c r="E24" s="87">
        <f>E21*0.54522</f>
        <v>0</v>
      </c>
      <c r="F24" s="91">
        <f>F21*0.54522</f>
        <v>2823.59405952</v>
      </c>
    </row>
    <row r="25" spans="1:6">
      <c r="A25" s="14"/>
      <c r="B25" s="10"/>
      <c r="C25" s="10"/>
      <c r="D25" s="10"/>
      <c r="E25" s="10"/>
      <c r="F25" s="11"/>
    </row>
    <row r="26" spans="1:6">
      <c r="A26" s="14" t="s">
        <v>42</v>
      </c>
      <c r="B26" s="10"/>
      <c r="C26" s="10"/>
      <c r="D26" s="10">
        <v>20000</v>
      </c>
      <c r="E26" s="10">
        <v>20000</v>
      </c>
      <c r="F26" s="11"/>
    </row>
    <row r="27" spans="1:6">
      <c r="A27" s="14" t="s">
        <v>11</v>
      </c>
      <c r="B27" s="10"/>
      <c r="C27" s="10"/>
      <c r="D27" s="10">
        <f>SUM($B$7*$B$8)/D26*D15</f>
        <v>6.4799999999999995</v>
      </c>
      <c r="E27" s="10">
        <f>SUM($B$7*$B$8)/E26*E13</f>
        <v>0</v>
      </c>
      <c r="F27" s="11"/>
    </row>
    <row r="28" spans="1:6">
      <c r="A28" s="14" t="s">
        <v>45</v>
      </c>
      <c r="B28" s="10"/>
      <c r="C28" s="10"/>
      <c r="D28" s="79">
        <v>5</v>
      </c>
      <c r="E28" s="79">
        <v>20</v>
      </c>
      <c r="F28" s="80"/>
    </row>
    <row r="29" spans="1:6">
      <c r="A29" s="14" t="s">
        <v>46</v>
      </c>
      <c r="B29" s="10"/>
      <c r="C29" s="10"/>
      <c r="D29" s="88">
        <v>0.5</v>
      </c>
      <c r="E29" s="79"/>
      <c r="F29" s="80"/>
    </row>
    <row r="30" spans="1:6">
      <c r="A30" s="32" t="s">
        <v>12</v>
      </c>
      <c r="B30" s="54"/>
      <c r="C30" s="54"/>
      <c r="D30" s="96">
        <f>D27*D28+(D29*D27*$B$9)</f>
        <v>145.79999999999998</v>
      </c>
      <c r="E30" s="96">
        <f>E28*E27</f>
        <v>0</v>
      </c>
      <c r="F30" s="117">
        <f>SUM(D30:E30)</f>
        <v>145.79999999999998</v>
      </c>
    </row>
    <row r="31" spans="1:6">
      <c r="A31" s="14"/>
      <c r="B31" s="10"/>
      <c r="C31" s="10"/>
      <c r="D31" s="81"/>
      <c r="E31" s="81"/>
      <c r="F31" s="80"/>
    </row>
    <row r="32" spans="1:6" ht="18.2" thickBot="1">
      <c r="A32" s="34" t="s">
        <v>13</v>
      </c>
      <c r="B32" s="55"/>
      <c r="C32" s="55"/>
      <c r="D32" s="97">
        <f>D23+D30</f>
        <v>767.2579199999999</v>
      </c>
      <c r="E32" s="97">
        <f>E23+E30</f>
        <v>0</v>
      </c>
      <c r="F32" s="116">
        <f>SUM(D32:E32)</f>
        <v>767.2579199999999</v>
      </c>
    </row>
    <row r="33" spans="1:6" ht="18.2" thickTop="1">
      <c r="A33" s="32"/>
      <c r="B33" s="54"/>
      <c r="C33" s="54"/>
      <c r="D33" s="5"/>
      <c r="E33" s="5"/>
      <c r="F33" s="33"/>
    </row>
    <row r="34" spans="1:6">
      <c r="A34" s="14"/>
      <c r="B34" s="10"/>
      <c r="C34" s="10"/>
      <c r="D34" s="10"/>
      <c r="E34" s="10"/>
      <c r="F34" s="11"/>
    </row>
    <row r="35" spans="1:6">
      <c r="A35" s="9" t="s">
        <v>28</v>
      </c>
      <c r="B35" s="56"/>
      <c r="C35" s="56"/>
      <c r="D35" s="10"/>
      <c r="E35" s="10"/>
      <c r="F35" s="11"/>
    </row>
    <row r="36" spans="1:6" ht="18.2" thickBot="1">
      <c r="A36" s="24" t="s">
        <v>8</v>
      </c>
      <c r="B36" s="51"/>
      <c r="C36" s="51"/>
      <c r="D36" s="4" t="s">
        <v>50</v>
      </c>
      <c r="E36" s="4" t="s">
        <v>58</v>
      </c>
      <c r="F36" s="35"/>
    </row>
    <row r="37" spans="1:6" ht="18.2" thickTop="1">
      <c r="A37" s="26" t="s">
        <v>9</v>
      </c>
      <c r="B37" s="52"/>
      <c r="C37" s="52"/>
      <c r="D37" s="36">
        <f>D15</f>
        <v>60</v>
      </c>
      <c r="E37" s="36">
        <v>0</v>
      </c>
      <c r="F37" s="37"/>
    </row>
    <row r="38" spans="1:6">
      <c r="A38" s="26" t="s">
        <v>10</v>
      </c>
      <c r="B38" s="52"/>
      <c r="C38" s="52"/>
      <c r="D38" s="36">
        <f>VLOOKUP(D36,'lookup info'!$A$5:$E$14,2,FALSE)</f>
        <v>16</v>
      </c>
      <c r="E38" s="36">
        <f>VLOOKUP(E36,'lookup info'!$A$5:$D$14,2,FALSE)</f>
        <v>0</v>
      </c>
      <c r="F38" s="37"/>
    </row>
    <row r="39" spans="1:6">
      <c r="A39" s="26"/>
      <c r="B39" s="52"/>
      <c r="C39" s="52"/>
      <c r="D39" s="36"/>
      <c r="E39" s="36"/>
      <c r="F39" s="37"/>
    </row>
    <row r="40" spans="1:6">
      <c r="A40" s="38" t="s">
        <v>14</v>
      </c>
      <c r="B40" s="57"/>
      <c r="C40" s="57"/>
      <c r="D40" s="98">
        <f>SUM($B$7*$B$8*D37*D38)/1000</f>
        <v>2073.6</v>
      </c>
      <c r="E40" s="98">
        <f>SUM($B$7*$B$8*E37*E38)/1000</f>
        <v>0</v>
      </c>
      <c r="F40" s="115">
        <f>SUM(D40:E40)</f>
        <v>2073.6</v>
      </c>
    </row>
    <row r="41" spans="1:6">
      <c r="A41" s="26"/>
      <c r="B41" s="52"/>
      <c r="C41" s="52"/>
      <c r="D41" s="36"/>
      <c r="E41" s="36"/>
      <c r="F41" s="37"/>
    </row>
    <row r="42" spans="1:6">
      <c r="A42" s="39" t="s">
        <v>21</v>
      </c>
      <c r="B42" s="58"/>
      <c r="C42" s="58"/>
      <c r="D42" s="99">
        <f>D40*$B$6</f>
        <v>248.83199999999999</v>
      </c>
      <c r="E42" s="99">
        <f>E40*$B$6</f>
        <v>0</v>
      </c>
      <c r="F42" s="114">
        <f>F40*$B$6</f>
        <v>248.83199999999999</v>
      </c>
    </row>
    <row r="43" spans="1:6">
      <c r="A43" s="39" t="s">
        <v>41</v>
      </c>
      <c r="B43" s="58"/>
      <c r="C43" s="58"/>
      <c r="D43" s="100">
        <f>D40*0.54522</f>
        <v>1130.568192</v>
      </c>
      <c r="E43" s="104">
        <f>E40*0.54522</f>
        <v>0</v>
      </c>
      <c r="F43" s="92">
        <f>F40*0.54522</f>
        <v>1130.568192</v>
      </c>
    </row>
    <row r="44" spans="1:6">
      <c r="A44" s="26"/>
      <c r="B44" s="52"/>
      <c r="C44" s="52"/>
      <c r="D44" s="36"/>
      <c r="E44" s="36"/>
      <c r="F44" s="37"/>
    </row>
    <row r="45" spans="1:6">
      <c r="A45" s="26" t="s">
        <v>15</v>
      </c>
      <c r="B45" s="52"/>
      <c r="C45" s="52"/>
      <c r="D45" s="36">
        <f>VLOOKUP(D36,'lookup info'!A5:E14,3,FALSE)</f>
        <v>50000</v>
      </c>
      <c r="E45" s="36">
        <v>50000</v>
      </c>
      <c r="F45" s="37"/>
    </row>
    <row r="46" spans="1:6">
      <c r="A46" s="26" t="s">
        <v>18</v>
      </c>
      <c r="B46" s="52"/>
      <c r="C46" s="52"/>
      <c r="D46" s="40">
        <f>D45/SUM($B$8*$B$7)</f>
        <v>23.148148148148149</v>
      </c>
      <c r="E46" s="40">
        <f>E45/SUM($B$8*$B$7)</f>
        <v>23.148148148148149</v>
      </c>
      <c r="F46" s="37"/>
    </row>
    <row r="47" spans="1:6">
      <c r="A47" s="26"/>
      <c r="B47" s="52"/>
      <c r="C47" s="52"/>
      <c r="D47" s="36"/>
      <c r="E47" s="36"/>
      <c r="F47" s="37"/>
    </row>
    <row r="48" spans="1:6" ht="22" customHeight="1" thickBot="1">
      <c r="A48" s="41" t="s">
        <v>13</v>
      </c>
      <c r="B48" s="59"/>
      <c r="C48" s="59"/>
      <c r="D48" s="101">
        <f>D42</f>
        <v>248.83199999999999</v>
      </c>
      <c r="E48" s="101">
        <f>E42</f>
        <v>0</v>
      </c>
      <c r="F48" s="112">
        <f>SUM(D48:E48)</f>
        <v>248.83199999999999</v>
      </c>
    </row>
    <row r="49" spans="1:8" ht="22" customHeight="1" thickTop="1" thickBot="1">
      <c r="A49" s="41"/>
      <c r="B49" s="59"/>
      <c r="C49" s="59"/>
      <c r="D49" s="7"/>
      <c r="E49" s="7"/>
      <c r="F49" s="42"/>
    </row>
    <row r="50" spans="1:8" ht="29.1" customHeight="1" thickTop="1" thickBot="1">
      <c r="A50" s="48" t="s">
        <v>22</v>
      </c>
      <c r="B50" s="60"/>
      <c r="C50" s="60"/>
      <c r="D50" s="102">
        <f>D32-D48</f>
        <v>518.42591999999991</v>
      </c>
      <c r="E50" s="102">
        <f>E32-E48</f>
        <v>0</v>
      </c>
      <c r="F50" s="111">
        <f>SUM(D50:E50)</f>
        <v>518.42591999999991</v>
      </c>
    </row>
    <row r="51" spans="1:8" ht="18.2" thickBot="1">
      <c r="D51" s="82"/>
      <c r="E51" s="82"/>
      <c r="F51" s="82"/>
    </row>
    <row r="52" spans="1:8">
      <c r="A52" s="43" t="s">
        <v>23</v>
      </c>
      <c r="B52" s="44"/>
      <c r="C52" s="44"/>
      <c r="D52" s="83"/>
      <c r="E52" s="83" t="s">
        <v>25</v>
      </c>
      <c r="F52" s="110">
        <f>F50*5</f>
        <v>2592.1295999999993</v>
      </c>
    </row>
    <row r="53" spans="1:8" ht="18.2" thickBot="1">
      <c r="A53" s="45"/>
      <c r="B53" s="47"/>
      <c r="C53" s="47"/>
      <c r="D53" s="46"/>
      <c r="E53" s="46" t="s">
        <v>24</v>
      </c>
      <c r="F53" s="113">
        <f>(F24-F43)*5</f>
        <v>8465.1293375999994</v>
      </c>
      <c r="H53" s="82"/>
    </row>
    <row r="54" spans="1:8" ht="18.2" thickBot="1"/>
    <row r="55" spans="1:8" ht="18.2" thickBot="1">
      <c r="A55" s="66" t="s">
        <v>29</v>
      </c>
      <c r="B55" s="67"/>
      <c r="C55" s="67"/>
      <c r="D55" s="68"/>
      <c r="E55" s="68"/>
      <c r="F55" s="69"/>
    </row>
    <row r="56" spans="1:8" ht="18.2" thickTop="1">
      <c r="A56" s="9"/>
      <c r="B56" s="56"/>
      <c r="C56" s="56"/>
      <c r="D56" s="10"/>
      <c r="E56" s="10"/>
      <c r="F56" s="11"/>
    </row>
    <row r="57" spans="1:8">
      <c r="A57" s="26" t="s">
        <v>33</v>
      </c>
      <c r="B57" s="52"/>
      <c r="C57" s="52"/>
      <c r="D57" s="70" t="s">
        <v>31</v>
      </c>
      <c r="E57" s="70" t="s">
        <v>31</v>
      </c>
      <c r="F57" s="71" t="s">
        <v>32</v>
      </c>
    </row>
    <row r="58" spans="1:8">
      <c r="A58" s="93" t="s">
        <v>50</v>
      </c>
      <c r="B58" s="52">
        <f>D37</f>
        <v>60</v>
      </c>
      <c r="C58" s="52" t="s">
        <v>30</v>
      </c>
      <c r="D58" s="36">
        <f>VLOOKUP(A58,'lookup info'!A6:E14,5,FALSE)</f>
        <v>39.5</v>
      </c>
      <c r="E58" s="84"/>
      <c r="F58" s="85">
        <f>SUM(D58:E58)*B58</f>
        <v>2370</v>
      </c>
    </row>
    <row r="59" spans="1:8">
      <c r="A59" s="26"/>
      <c r="B59" s="52"/>
      <c r="C59" s="52"/>
      <c r="D59" s="84"/>
      <c r="E59" s="84"/>
      <c r="F59" s="85"/>
    </row>
    <row r="60" spans="1:8">
      <c r="A60" s="26"/>
      <c r="B60" s="52"/>
      <c r="C60" s="52"/>
      <c r="D60" s="84"/>
      <c r="E60" s="84"/>
      <c r="F60" s="85"/>
    </row>
    <row r="61" spans="1:8">
      <c r="A61" s="26"/>
      <c r="B61" s="52"/>
      <c r="C61" s="52"/>
      <c r="D61" s="84"/>
      <c r="E61" s="84"/>
      <c r="F61" s="85"/>
    </row>
    <row r="62" spans="1:8">
      <c r="A62" s="26"/>
      <c r="B62" s="52"/>
      <c r="C62" s="52"/>
      <c r="D62" s="84"/>
      <c r="E62" s="84"/>
      <c r="F62" s="85"/>
    </row>
    <row r="63" spans="1:8">
      <c r="A63" s="26"/>
      <c r="B63" s="52"/>
      <c r="C63" s="52"/>
      <c r="D63" s="70"/>
      <c r="E63" s="70"/>
      <c r="F63" s="85"/>
    </row>
    <row r="64" spans="1:8">
      <c r="A64" s="26"/>
      <c r="B64" s="52"/>
      <c r="C64" s="52"/>
      <c r="D64" s="70"/>
      <c r="E64" s="70"/>
      <c r="F64" s="73"/>
    </row>
    <row r="65" spans="1:6">
      <c r="A65" s="26"/>
      <c r="B65" s="52"/>
      <c r="C65" s="52"/>
      <c r="D65" s="84"/>
      <c r="E65" s="84"/>
      <c r="F65" s="72"/>
    </row>
    <row r="66" spans="1:6" ht="18.2" thickBot="1">
      <c r="A66" s="74"/>
      <c r="B66" s="75"/>
      <c r="C66" s="75"/>
      <c r="D66" s="76"/>
      <c r="E66" s="76"/>
      <c r="F66" s="77"/>
    </row>
    <row r="67" spans="1:6" ht="18.95" thickTop="1" thickBot="1"/>
    <row r="68" spans="1:6" ht="18.2" thickBot="1">
      <c r="A68" s="18" t="s">
        <v>19</v>
      </c>
      <c r="B68" s="61"/>
      <c r="C68" s="61"/>
      <c r="D68" s="19"/>
      <c r="E68" s="19"/>
      <c r="F68" s="20"/>
    </row>
    <row r="69" spans="1:6" ht="18.2" thickTop="1">
      <c r="A69" s="9"/>
      <c r="B69" s="56"/>
      <c r="C69" s="56"/>
      <c r="D69" s="10"/>
      <c r="E69" s="10"/>
      <c r="F69" s="11"/>
    </row>
    <row r="70" spans="1:6">
      <c r="A70" s="12" t="s">
        <v>16</v>
      </c>
      <c r="B70" s="62"/>
      <c r="C70" s="62"/>
      <c r="D70" s="105">
        <f>D32*D46</f>
        <v>17760.599999999999</v>
      </c>
      <c r="E70" s="105">
        <f>E32*E46</f>
        <v>0</v>
      </c>
      <c r="F70" s="106">
        <f>SUM(D70:E70)</f>
        <v>17760.599999999999</v>
      </c>
    </row>
    <row r="71" spans="1:6">
      <c r="A71" s="13" t="s">
        <v>17</v>
      </c>
      <c r="B71" s="63"/>
      <c r="C71" s="63"/>
      <c r="D71" s="107">
        <f>D48*D46</f>
        <v>5760</v>
      </c>
      <c r="E71" s="107">
        <f>E48*E46</f>
        <v>0</v>
      </c>
      <c r="F71" s="108">
        <f>SUM(D71:E71)</f>
        <v>5760</v>
      </c>
    </row>
    <row r="72" spans="1:6">
      <c r="A72" s="14"/>
      <c r="B72" s="10"/>
      <c r="C72" s="10"/>
      <c r="D72" s="81"/>
      <c r="E72" s="81"/>
      <c r="F72" s="80"/>
    </row>
    <row r="73" spans="1:6" ht="18.2" thickBot="1">
      <c r="A73" s="15" t="s">
        <v>20</v>
      </c>
      <c r="B73" s="64"/>
      <c r="C73" s="64"/>
      <c r="D73" s="86"/>
      <c r="E73" s="86"/>
      <c r="F73" s="109">
        <f>F70-F71</f>
        <v>12000.599999999999</v>
      </c>
    </row>
    <row r="74" spans="1:6" ht="18.2" thickTop="1">
      <c r="A74" s="14"/>
      <c r="B74" s="10"/>
      <c r="C74" s="10"/>
      <c r="D74" s="10"/>
      <c r="E74" s="10"/>
      <c r="F74" s="11"/>
    </row>
    <row r="75" spans="1:6" ht="18.2" thickBot="1">
      <c r="A75" s="16" t="s">
        <v>69</v>
      </c>
      <c r="B75" s="65"/>
      <c r="C75" s="65"/>
      <c r="D75" s="17"/>
      <c r="E75" s="17"/>
      <c r="F75" s="94">
        <f>(F24-F43)*D46</f>
        <v>39190.4136</v>
      </c>
    </row>
    <row r="76" spans="1:6">
      <c r="A76" s="10"/>
      <c r="B76" s="10"/>
      <c r="C76" s="10"/>
      <c r="D76" s="10"/>
      <c r="E76" s="10"/>
      <c r="F76" s="10"/>
    </row>
  </sheetData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'lookup info'!$A$6:$A$14</xm:f>
          </x14:formula1>
          <xm:sqref>D36:E36 A58</xm:sqref>
        </x14:dataValidation>
        <x14:dataValidation type="list" allowBlank="1" showInputMessage="1" showErrorMessage="1">
          <x14:formula1>
            <xm:f>'lookup info'!$A$18:$A$20</xm:f>
          </x14:formula1>
          <xm:sqref>D17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4:E20"/>
  <sheetViews>
    <sheetView workbookViewId="0">
      <selection activeCell="A5" sqref="A5"/>
    </sheetView>
  </sheetViews>
  <sheetFormatPr defaultColWidth="11.5546875" defaultRowHeight="16.75"/>
  <cols>
    <col min="1" max="1" width="14.77734375" bestFit="1" customWidth="1"/>
    <col min="3" max="3" width="12.33203125" bestFit="1" customWidth="1"/>
  </cols>
  <sheetData>
    <row r="4" spans="1:5">
      <c r="A4" s="89" t="s">
        <v>62</v>
      </c>
    </row>
    <row r="5" spans="1:5">
      <c r="A5" t="s">
        <v>47</v>
      </c>
      <c r="B5" t="s">
        <v>55</v>
      </c>
      <c r="C5" t="s">
        <v>56</v>
      </c>
      <c r="D5" t="s">
        <v>57</v>
      </c>
      <c r="E5" t="s">
        <v>68</v>
      </c>
    </row>
    <row r="6" spans="1:5">
      <c r="A6" t="s">
        <v>58</v>
      </c>
      <c r="B6">
        <v>0</v>
      </c>
      <c r="C6">
        <v>0</v>
      </c>
      <c r="D6">
        <v>0</v>
      </c>
      <c r="E6">
        <v>0</v>
      </c>
    </row>
    <row r="7" spans="1:5">
      <c r="A7" t="s">
        <v>49</v>
      </c>
      <c r="B7">
        <v>9</v>
      </c>
      <c r="C7">
        <v>50000</v>
      </c>
      <c r="E7">
        <v>28.5</v>
      </c>
    </row>
    <row r="8" spans="1:5">
      <c r="A8" t="s">
        <v>50</v>
      </c>
      <c r="B8">
        <v>16</v>
      </c>
      <c r="C8">
        <v>50000</v>
      </c>
      <c r="E8">
        <v>39.5</v>
      </c>
    </row>
    <row r="9" spans="1:5">
      <c r="A9" t="s">
        <v>48</v>
      </c>
      <c r="B9">
        <v>20</v>
      </c>
      <c r="C9">
        <v>50000</v>
      </c>
      <c r="E9">
        <v>45</v>
      </c>
    </row>
    <row r="10" spans="1:5">
      <c r="A10" t="s">
        <v>51</v>
      </c>
      <c r="B10">
        <v>24</v>
      </c>
      <c r="C10">
        <v>50000</v>
      </c>
      <c r="E10">
        <v>52</v>
      </c>
    </row>
    <row r="11" spans="1:5">
      <c r="A11" t="s">
        <v>34</v>
      </c>
      <c r="B11">
        <v>20</v>
      </c>
      <c r="C11">
        <v>70000</v>
      </c>
      <c r="E11">
        <v>199</v>
      </c>
    </row>
    <row r="12" spans="1:5">
      <c r="A12" t="s">
        <v>52</v>
      </c>
      <c r="B12">
        <v>40</v>
      </c>
      <c r="C12">
        <v>70000</v>
      </c>
      <c r="E12">
        <v>199</v>
      </c>
    </row>
    <row r="13" spans="1:5">
      <c r="A13" t="s">
        <v>53</v>
      </c>
      <c r="B13">
        <v>40</v>
      </c>
      <c r="C13">
        <v>50000</v>
      </c>
      <c r="E13">
        <v>80</v>
      </c>
    </row>
    <row r="14" spans="1:5">
      <c r="A14" t="s">
        <v>54</v>
      </c>
      <c r="B14">
        <v>50</v>
      </c>
      <c r="C14">
        <v>50000</v>
      </c>
      <c r="E14">
        <v>90</v>
      </c>
    </row>
    <row r="17" spans="1:2">
      <c r="A17" s="89" t="s">
        <v>63</v>
      </c>
    </row>
    <row r="18" spans="1:2">
      <c r="A18" t="s">
        <v>64</v>
      </c>
      <c r="B18" s="90">
        <v>0.2</v>
      </c>
    </row>
    <row r="19" spans="1:2">
      <c r="A19" t="s">
        <v>65</v>
      </c>
      <c r="B19" s="90">
        <v>0.11</v>
      </c>
    </row>
    <row r="20" spans="1:2">
      <c r="A20" t="s">
        <v>66</v>
      </c>
      <c r="B20" s="90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 - summary page</vt:lpstr>
      <vt:lpstr>lookup info</vt:lpstr>
    </vt:vector>
  </TitlesOfParts>
  <Company>This is LED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is LED</dc:creator>
  <cp:lastModifiedBy>Joshua Woodyatt</cp:lastModifiedBy>
  <cp:lastPrinted>2012-07-05T15:45:26Z</cp:lastPrinted>
  <dcterms:created xsi:type="dcterms:W3CDTF">2011-05-05T09:15:33Z</dcterms:created>
  <dcterms:modified xsi:type="dcterms:W3CDTF">2013-04-11T16:03:32Z</dcterms:modified>
</cp:coreProperties>
</file>