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gorman\Documents\Oracle\"/>
    </mc:Choice>
  </mc:AlternateContent>
  <xr:revisionPtr revIDLastSave="0" documentId="13_ncr:1_{A0E02A02-28CC-4688-BE01-F8454833C40E}" xr6:coauthVersionLast="45" xr6:coauthVersionMax="45" xr10:uidLastSave="{00000000-0000-0000-0000-000000000000}"/>
  <bookViews>
    <workbookView xWindow="1837" yWindow="840" windowWidth="20528" windowHeight="9803" activeTab="1" xr2:uid="{B5A66F4D-52B7-4754-9584-EB2C94538BF5}"/>
  </bookViews>
  <sheets>
    <sheet name="AWR" sheetId="2" r:id="rId1"/>
    <sheet name="Calculations" sheetId="1" r:id="rId2"/>
  </sheets>
  <definedNames>
    <definedName name="BusyCPUfactor">AWR!$E$29</definedName>
    <definedName name="BusyCPUmultiplier">AWR!$E$30</definedName>
    <definedName name="HighCpuThreshold">AWR!$E$29</definedName>
    <definedName name="IoMetricsFactor">AWR!$E$31</definedName>
    <definedName name="PeakCPUfactor" localSheetId="0">AWR!$E$26</definedName>
    <definedName name="PeakCpuFactor">AWR!$E$26</definedName>
    <definedName name="PeakRAMfactor" localSheetId="0">AWR!$E$27</definedName>
    <definedName name="PeakRAMfactor">AWR!$E$27</definedName>
    <definedName name="vCPUHTFactor">AWR!$E$28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" i="2" l="1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K35" i="1" l="1"/>
  <c r="K36" i="1"/>
  <c r="K37" i="1"/>
  <c r="K38" i="1"/>
  <c r="K39" i="1"/>
  <c r="I35" i="1" l="1"/>
  <c r="I36" i="1"/>
  <c r="I37" i="1"/>
  <c r="I38" i="1"/>
  <c r="I39" i="1"/>
  <c r="H35" i="1"/>
  <c r="H36" i="1"/>
  <c r="H37" i="1"/>
  <c r="H38" i="1"/>
  <c r="H39" i="1"/>
  <c r="D35" i="1"/>
  <c r="D36" i="1"/>
  <c r="D37" i="1"/>
  <c r="D38" i="1"/>
  <c r="D39" i="1"/>
  <c r="F35" i="1"/>
  <c r="F36" i="1"/>
  <c r="F37" i="1"/>
  <c r="F38" i="1"/>
  <c r="F39" i="1"/>
  <c r="G32" i="1"/>
  <c r="G35" i="1"/>
  <c r="G36" i="1"/>
  <c r="G37" i="1"/>
  <c r="G38" i="1"/>
  <c r="G39" i="1"/>
  <c r="H20" i="1"/>
  <c r="G23" i="1"/>
  <c r="G24" i="1"/>
  <c r="G25" i="1"/>
  <c r="G26" i="1"/>
  <c r="G27" i="1"/>
  <c r="I23" i="1"/>
  <c r="I24" i="1"/>
  <c r="I25" i="1"/>
  <c r="I26" i="1"/>
  <c r="I27" i="1"/>
  <c r="H23" i="1"/>
  <c r="H24" i="1"/>
  <c r="H25" i="1"/>
  <c r="H26" i="1"/>
  <c r="H27" i="1"/>
  <c r="H8" i="1"/>
  <c r="E23" i="1"/>
  <c r="E24" i="1"/>
  <c r="E25" i="1"/>
  <c r="E26" i="1"/>
  <c r="E27" i="1"/>
  <c r="H9" i="1"/>
  <c r="H11" i="1"/>
  <c r="H12" i="1"/>
  <c r="H13" i="1"/>
  <c r="H14" i="1"/>
  <c r="H15" i="1"/>
  <c r="R8" i="2"/>
  <c r="G33" i="1"/>
  <c r="I33" i="1" s="1"/>
  <c r="G34" i="1"/>
  <c r="I34" i="1" s="1"/>
  <c r="H22" i="1" l="1"/>
  <c r="H10" i="1"/>
  <c r="H16" i="1" s="1"/>
  <c r="H21" i="1"/>
  <c r="G40" i="1"/>
  <c r="I32" i="1"/>
  <c r="I40" i="1" s="1"/>
  <c r="D33" i="1"/>
  <c r="D34" i="1"/>
  <c r="E21" i="1"/>
  <c r="E22" i="1"/>
  <c r="H28" i="1" l="1"/>
  <c r="F34" i="1"/>
  <c r="H34" i="1" s="1"/>
  <c r="G22" i="1"/>
  <c r="F33" i="1"/>
  <c r="H33" i="1" s="1"/>
  <c r="G21" i="1"/>
  <c r="D9" i="1"/>
  <c r="I9" i="1" s="1"/>
  <c r="E9" i="1"/>
  <c r="F9" i="1"/>
  <c r="G9" i="1"/>
  <c r="D10" i="1"/>
  <c r="I10" i="1" s="1"/>
  <c r="E10" i="1"/>
  <c r="F10" i="1"/>
  <c r="G10" i="1"/>
  <c r="J39" i="1" l="1"/>
  <c r="G11" i="1"/>
  <c r="G12" i="1"/>
  <c r="G13" i="1"/>
  <c r="G14" i="1"/>
  <c r="G15" i="1"/>
  <c r="F11" i="1"/>
  <c r="F12" i="1"/>
  <c r="F13" i="1"/>
  <c r="F14" i="1"/>
  <c r="F15" i="1"/>
  <c r="E11" i="1"/>
  <c r="E12" i="1"/>
  <c r="E13" i="1"/>
  <c r="E14" i="1"/>
  <c r="E15" i="1"/>
  <c r="D11" i="1"/>
  <c r="I11" i="1" s="1"/>
  <c r="J35" i="1" s="1"/>
  <c r="D12" i="1"/>
  <c r="I12" i="1" s="1"/>
  <c r="J36" i="1" s="1"/>
  <c r="D13" i="1"/>
  <c r="D14" i="1"/>
  <c r="I14" i="1" s="1"/>
  <c r="J38" i="1" s="1"/>
  <c r="D15" i="1"/>
  <c r="I15" i="1" s="1"/>
  <c r="E35" i="1"/>
  <c r="E36" i="1"/>
  <c r="E37" i="1"/>
  <c r="C32" i="1"/>
  <c r="C33" i="1"/>
  <c r="C34" i="1"/>
  <c r="C35" i="1"/>
  <c r="C36" i="1"/>
  <c r="C37" i="1"/>
  <c r="C38" i="1"/>
  <c r="C39" i="1"/>
  <c r="F21" i="1"/>
  <c r="F22" i="1"/>
  <c r="F23" i="1"/>
  <c r="F24" i="1"/>
  <c r="F25" i="1"/>
  <c r="F26" i="1"/>
  <c r="F27" i="1"/>
  <c r="D20" i="1"/>
  <c r="D21" i="1"/>
  <c r="I21" i="1" s="1"/>
  <c r="D22" i="1"/>
  <c r="I22" i="1" s="1"/>
  <c r="D23" i="1"/>
  <c r="D24" i="1"/>
  <c r="D25" i="1"/>
  <c r="D26" i="1"/>
  <c r="D27" i="1"/>
  <c r="D8" i="1"/>
  <c r="V8" i="2"/>
  <c r="U8" i="2"/>
  <c r="T8" i="2"/>
  <c r="S8" i="2"/>
  <c r="E39" i="1"/>
  <c r="I20" i="1" l="1"/>
  <c r="I28" i="1" s="1"/>
  <c r="I8" i="1"/>
  <c r="J32" i="1" s="1"/>
  <c r="K32" i="1" s="1"/>
  <c r="F32" i="1"/>
  <c r="H32" i="1" s="1"/>
  <c r="H40" i="1" s="1"/>
  <c r="G8" i="1"/>
  <c r="G20" i="1"/>
  <c r="G28" i="1" s="1"/>
  <c r="F8" i="1"/>
  <c r="F20" i="1"/>
  <c r="D32" i="1"/>
  <c r="D40" i="1" s="1"/>
  <c r="E8" i="1"/>
  <c r="E20" i="1"/>
  <c r="E38" i="1"/>
  <c r="I13" i="1"/>
  <c r="E34" i="1"/>
  <c r="J33" i="1"/>
  <c r="K33" i="1" s="1"/>
  <c r="E33" i="1"/>
  <c r="J37" i="1" l="1"/>
  <c r="J34" i="1"/>
  <c r="K34" i="1" s="1"/>
  <c r="E32" i="1"/>
  <c r="E16" i="1"/>
  <c r="G16" i="1" l="1"/>
  <c r="D16" i="1" l="1"/>
  <c r="F16" i="1"/>
  <c r="I16" i="1" l="1"/>
  <c r="E40" i="1" l="1"/>
  <c r="K40" i="1"/>
  <c r="D28" i="1" l="1"/>
  <c r="C40" i="1"/>
  <c r="F28" i="1"/>
  <c r="J40" i="1"/>
  <c r="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B7" authorId="0" shapeId="0" xr:uid="{56A208CC-F090-4244-A22D-D14CEC187070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C7" authorId="0" shapeId="0" xr:uid="{C9815722-1148-45F6-BFEF-819A3A9157CF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D7" authorId="0" shapeId="0" xr:uid="{C1B73952-AB3A-45D0-8F3D-171B92CF4498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E7" authorId="0" shapeId="0" xr:uid="{2F866C56-2DF9-4F7D-A28B-D86A3B4F708D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F7" authorId="0" shapeId="0" xr:uid="{187E827A-E0F9-4D33-8A52-BD9E495A4EEA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G7" authorId="0" shapeId="0" xr:uid="{BE60BDCB-E23C-4C23-94A0-6882BED9AB27}">
      <text>
        <r>
          <rPr>
            <b/>
            <sz val="9"/>
            <color indexed="81"/>
            <rFont val="Tahoma"/>
            <family val="2"/>
          </rPr>
          <t>Copied from "Time Model Statistics" section, statistic named "DB CPU", near top of AWR report</t>
        </r>
      </text>
    </comment>
    <comment ref="H7" authorId="0" shapeId="0" xr:uid="{F153907A-CCC9-4558-837C-D0EA52C98B0F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I7" authorId="0" shapeId="0" xr:uid="{D7ECFD29-03B9-4BC0-BC0E-0D346F569E45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J7" authorId="0" shapeId="0" xr:uid="{282237EF-3A8B-455F-807A-01CB607C7898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K7" authorId="0" shapeId="0" xr:uid="{FE210763-BA3D-487A-B5CE-EE8E7ADCC337}">
      <text>
        <r>
          <rPr>
            <b/>
            <sz val="9"/>
            <color indexed="81"/>
            <rFont val="Tahoma"/>
            <charset val="1"/>
          </rPr>
          <t>Copied from "Instance CPU" section of AWR report</t>
        </r>
      </text>
    </comment>
    <comment ref="L7" authorId="0" shapeId="0" xr:uid="{A38CA77A-6314-4E8E-A582-BDE5DC1D13A5}">
      <text>
        <r>
          <rPr>
            <b/>
            <sz val="9"/>
            <color indexed="81"/>
            <rFont val="Tahoma"/>
            <charset val="1"/>
          </rPr>
          <t>Copied from "Memory Statistics" section of AWR report</t>
        </r>
      </text>
    </comment>
    <comment ref="M7" authorId="0" shapeId="0" xr:uid="{216063AB-2C8E-427D-BA6B-658FE2CEF262}">
      <text>
        <r>
          <rPr>
            <b/>
            <sz val="9"/>
            <color indexed="81"/>
            <rFont val="Tahoma"/>
            <charset val="1"/>
          </rPr>
          <t>Copied from "Memory Statistics" section of AWR report</t>
        </r>
      </text>
    </comment>
    <comment ref="N7" authorId="0" shapeId="0" xr:uid="{413D77D7-83CD-4089-A85D-9B828B440DC2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O7" authorId="0" shapeId="0" xr:uid="{7ECB9D31-AE22-45F0-B917-DA1A7769C550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P7" authorId="0" shapeId="0" xr:uid="{B5DF301B-6330-4E35-897D-09D8A881C8F3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Q7" authorId="0" shapeId="0" xr:uid="{16F84460-D708-4A40-91B4-2DAC245170ED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D26" authorId="0" shapeId="0" xr:uid="{E21E9859-F0CD-486F-879B-C2D9FF9A5B86}">
      <text>
        <r>
          <rPr>
            <b/>
            <sz val="9"/>
            <color indexed="81"/>
            <rFont val="Tahoma"/>
            <family val="2"/>
          </rPr>
          <t>Rationale for peak vCPU factor is that CPU utilization stays below 33% on average</t>
        </r>
      </text>
    </comment>
    <comment ref="D27" authorId="0" shapeId="0" xr:uid="{559BF7AC-E839-4692-88C8-D6A19E7A2859}">
      <text>
        <r>
          <rPr>
            <b/>
            <sz val="9"/>
            <color indexed="81"/>
            <rFont val="Tahoma"/>
            <family val="2"/>
          </rPr>
          <t>Rationale for vRAM factor is that SGA+PGA = (about 2/3 of total vRAM)</t>
        </r>
      </text>
    </comment>
    <comment ref="D28" authorId="0" shapeId="0" xr:uid="{FE59ACCB-AEBB-492F-9554-0BF53038DD4E}">
      <text>
        <r>
          <rPr>
            <b/>
            <sz val="9"/>
            <color indexed="81"/>
            <rFont val="Tahoma"/>
            <family val="2"/>
          </rPr>
          <t>Number of hyperthreads in an Azure VM</t>
        </r>
      </text>
    </comment>
    <comment ref="D29" authorId="0" shapeId="0" xr:uid="{59AAAF4A-6D4B-4B10-A95D-EF425EB83C9F}">
      <text>
        <r>
          <rPr>
            <b/>
            <sz val="9"/>
            <color indexed="81"/>
            <rFont val="Tahoma"/>
            <family val="2"/>
          </rPr>
          <t>Threshold for "%busy CPU" when server CPU utilization is high enough to imply "thrashing"</t>
        </r>
      </text>
    </comment>
    <comment ref="D30" authorId="0" shapeId="0" xr:uid="{D7427406-F23F-4D5F-80D5-ED4D30FD5BE5}">
      <text>
        <r>
          <rPr>
            <b/>
            <sz val="9"/>
            <color indexed="81"/>
            <rFont val="Tahoma"/>
            <charset val="1"/>
          </rPr>
          <t>If "%busy CPU" is higher than threshold, use this multiplier when calculating Azure vCPUs</t>
        </r>
      </text>
    </comment>
    <comment ref="D31" authorId="0" shapeId="0" xr:uid="{622297FB-C5C4-472F-A57D-A14094C20285}">
      <text>
        <r>
          <rPr>
            <b/>
            <sz val="9"/>
            <color indexed="81"/>
            <rFont val="Tahoma"/>
            <charset val="1"/>
          </rPr>
          <t>Rationale is that observed AWR readings are "average" and this multiplier is for "peak" readings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C7" authorId="0" shapeId="0" xr:uid="{6BAA05F8-624D-4588-8522-CC11285F9D58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</commentList>
</comments>
</file>

<file path=xl/sharedStrings.xml><?xml version="1.0" encoding="utf-8"?>
<sst xmlns="http://schemas.openxmlformats.org/spreadsheetml/2006/main" count="127" uniqueCount="99">
  <si>
    <t>DB Name</t>
  </si>
  <si>
    <t>Instance Name</t>
  </si>
  <si>
    <t>Host Name</t>
  </si>
  <si>
    <t>Read IOPS</t>
  </si>
  <si>
    <t>Write IOPS</t>
  </si>
  <si>
    <t>Total IOPS</t>
  </si>
  <si>
    <t>Est'd Azure vCPUs</t>
  </si>
  <si>
    <t>Total</t>
  </si>
  <si>
    <t>Est'd Azure vCPUs for avg load</t>
  </si>
  <si>
    <t>Est'd Azure vCPUs for peak load</t>
  </si>
  <si>
    <t>Peak CPU factor</t>
  </si>
  <si>
    <t>Est'd RAM factor</t>
  </si>
  <si>
    <t>Possible recommendations:</t>
  </si>
  <si>
    <t>vCPU x vRAM</t>
  </si>
  <si>
    <t>Suggested Instance types:</t>
  </si>
  <si>
    <t>Elapsed Time (mins)</t>
  </si>
  <si>
    <t>DB Time (mins)</t>
  </si>
  <si>
    <t>Memory (GB)</t>
  </si>
  <si>
    <t>CPUs</t>
  </si>
  <si>
    <t>Cores</t>
  </si>
  <si>
    <t>AWR detail collected by database instance</t>
  </si>
  <si>
    <t>%busy CPU</t>
  </si>
  <si>
    <t>SGA use (MB)</t>
  </si>
  <si>
    <t>PGA use (MB)</t>
  </si>
  <si>
    <t>Azure Instance type</t>
  </si>
  <si>
    <t>* from https://azure.microsoft.com/en-us/pricing/details/virtual-machines/linux/ under "Memory Optimized"</t>
  </si>
  <si>
    <t>1-year</t>
  </si>
  <si>
    <t>3-year</t>
  </si>
  <si>
    <t>DB CPU (s)</t>
  </si>
  <si>
    <t>%DB CPU of server capacity</t>
  </si>
  <si>
    <t>CPU total capacity (s)</t>
  </si>
  <si>
    <t>ORA use (GB)</t>
  </si>
  <si>
    <t>source CPU HT factor</t>
  </si>
  <si>
    <t>vCPU HT factor</t>
  </si>
  <si>
    <t>Add information from the AWR report, one row for each instance</t>
  </si>
  <si>
    <t>Please add rows by specifying DB Name, Instance Name, or Host Name as appropriate.</t>
  </si>
  <si>
    <t xml:space="preserve"> The calculated cells already have formulas to aggregate the AWR information added on the other worksheet appropriately.</t>
  </si>
  <si>
    <t>Name</t>
  </si>
  <si>
    <t>Host</t>
  </si>
  <si>
    <t>Read Throughput (MB/s)</t>
  </si>
  <si>
    <t>Write Throughput (MB/s)</t>
  </si>
  <si>
    <t>Total Throughput (MB/s)</t>
  </si>
  <si>
    <t>Est'd Azure IOPS for peak load</t>
  </si>
  <si>
    <t>Est'd Azure Throughput (MB/s) for peak load</t>
  </si>
  <si>
    <t>Est'd Azure vRAM for server</t>
  </si>
  <si>
    <t>IO metrics (IOPS &amp; MB/s) fudge factor</t>
  </si>
  <si>
    <t>Monthly pricing</t>
  </si>
  <si>
    <t>M64s</t>
  </si>
  <si>
    <t>64 x 1024</t>
  </si>
  <si>
    <t>%Busy CPU threshold</t>
  </si>
  <si>
    <t>%Busy CPU multiplier</t>
  </si>
  <si>
    <t>E32s v3</t>
  </si>
  <si>
    <t>32 x 256</t>
  </si>
  <si>
    <t>IOPS/Rd/Wrt</t>
  </si>
  <si>
    <t>48000/750/375</t>
  </si>
  <si>
    <t>As-you-go</t>
  </si>
  <si>
    <t>* from https://docs.microsoft.com/en-us/azure/virtual-machines/ev3-esv3-series/ under "Memory Optimized"</t>
  </si>
  <si>
    <t>40000/1000</t>
  </si>
  <si>
    <t>Calculated vCPU x vRAM, IOPS/MBps</t>
  </si>
  <si>
    <t>EXAMPLE</t>
  </si>
  <si>
    <t>EXPROD1</t>
  </si>
  <si>
    <t>EXPROD2</t>
  </si>
  <si>
    <t>EXPROD3</t>
  </si>
  <si>
    <t>example01.sample.com</t>
  </si>
  <si>
    <t>example02.sample.com</t>
  </si>
  <si>
    <t>example03.sample.com</t>
  </si>
  <si>
    <t>E64s v3</t>
  </si>
  <si>
    <t>(optimistic)</t>
  </si>
  <si>
    <t>(pessimistic)</t>
  </si>
  <si>
    <t>(conservative)</t>
  </si>
  <si>
    <t>64 x 423</t>
  </si>
  <si>
    <t>80000/1200</t>
  </si>
  <si>
    <t>Observed memory use (GB)</t>
  </si>
  <si>
    <t>Observed IOPS</t>
  </si>
  <si>
    <t>Observed Throughput (MB/s)</t>
  </si>
  <si>
    <t>%DB Time of Elapsed Time (aka Avg Active Sessions or "AAS")</t>
  </si>
  <si>
    <t>Observed memory (GiB) consumed only by Oracle</t>
  </si>
  <si>
    <t>Observed I/O throughput (MB/s)</t>
  </si>
  <si>
    <t>Calculated storage capacity and IOPS/MBps</t>
  </si>
  <si>
    <t>Montlhly</t>
  </si>
  <si>
    <t xml:space="preserve"> Pricing</t>
  </si>
  <si>
    <t>Database and current usage</t>
  </si>
  <si>
    <t>Storage type</t>
  </si>
  <si>
    <t>Redundancy</t>
  </si>
  <si>
    <t>Capacity</t>
  </si>
  <si>
    <t>IOPS/Throughput</t>
  </si>
  <si>
    <t>per month</t>
  </si>
  <si>
    <t>P30 (Premium SSD)</t>
  </si>
  <si>
    <t>LRS</t>
  </si>
  <si>
    <t>1 TiB</t>
  </si>
  <si>
    <t>5000/200</t>
  </si>
  <si>
    <t>* from "https://azure.microsoft.com/en-us/pricing/details/managed-disks/"</t>
  </si>
  <si>
    <t>EXAMPLE (228.24 GiB)</t>
  </si>
  <si>
    <t>This worksheet should be password-protected when shared to prevent inadvertent erasure of formulas</t>
  </si>
  <si>
    <t>Calculated detail by database instance from AWR information</t>
  </si>
  <si>
    <t>Aggregated calculations by host from AWR information</t>
  </si>
  <si>
    <t>Aggregated calculations by database from AWR information</t>
  </si>
  <si>
    <t>Please enter specific information from the AWR report on this worksheet.</t>
  </si>
  <si>
    <t>Hint: please mouse-over column headers to view notes suggesting where to find metrics in AWR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</si>
</sst>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_-* #,##0_-;\-* #,##0_-;_-* &quot;-&quot;??_-;_-@_-"/>
    <numFmt numFmtId="166" formatCode="&quot;$&quot;#,##0.0000"/>
    <numFmt numFmtId="167" formatCode="&quot;$&quot;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rgb="FFC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sz val="9"/>
      <color indexed="81"/>
      <name val="Tahoma"/>
      <charset val="1"/>
    </font>
    <font>
      <b/>
      <i/>
      <sz val="14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wrapText="1"/>
    </xf>
    <xf numFmtId="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right" wrapText="1"/>
    </xf>
    <xf numFmtId="0" fontId="3" fillId="0" borderId="0" xfId="0" applyFont="1"/>
    <xf numFmtId="3" fontId="0" fillId="0" borderId="0" xfId="0" applyNumberFormat="1"/>
    <xf numFmtId="0" fontId="1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164" fontId="6" fillId="0" borderId="0" xfId="0" applyNumberFormat="1" applyFont="1"/>
    <xf numFmtId="164" fontId="6" fillId="2" borderId="0" xfId="0" applyNumberFormat="1" applyFont="1" applyFill="1"/>
    <xf numFmtId="4" fontId="6" fillId="0" borderId="0" xfId="0" applyNumberFormat="1" applyFont="1"/>
    <xf numFmtId="4" fontId="6" fillId="2" borderId="0" xfId="0" applyNumberFormat="1" applyFont="1" applyFill="1"/>
    <xf numFmtId="3" fontId="6" fillId="2" borderId="0" xfId="0" applyNumberFormat="1" applyFont="1" applyFill="1"/>
    <xf numFmtId="3" fontId="6" fillId="0" borderId="0" xfId="0" applyNumberFormat="1" applyFont="1"/>
    <xf numFmtId="0" fontId="10" fillId="2" borderId="0" xfId="0" applyFont="1" applyFill="1" applyAlignment="1">
      <alignment horizontal="left" vertical="top" wrapText="1"/>
    </xf>
    <xf numFmtId="3" fontId="11" fillId="0" borderId="0" xfId="0" applyNumberFormat="1" applyFont="1"/>
    <xf numFmtId="3" fontId="11" fillId="2" borderId="0" xfId="0" applyNumberFormat="1" applyFont="1" applyFill="1"/>
    <xf numFmtId="4" fontId="0" fillId="0" borderId="0" xfId="0" applyNumberFormat="1" applyAlignment="1">
      <alignment horizontal="right"/>
    </xf>
    <xf numFmtId="0" fontId="8" fillId="0" borderId="0" xfId="0" applyFont="1"/>
    <xf numFmtId="0" fontId="12" fillId="0" borderId="0" xfId="0" applyFont="1"/>
    <xf numFmtId="4" fontId="8" fillId="0" borderId="0" xfId="0" applyNumberFormat="1" applyFont="1"/>
    <xf numFmtId="164" fontId="12" fillId="0" borderId="0" xfId="0" applyNumberFormat="1" applyFont="1"/>
    <xf numFmtId="0" fontId="8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right"/>
    </xf>
    <xf numFmtId="164" fontId="12" fillId="0" borderId="0" xfId="0" applyNumberFormat="1" applyFont="1" applyFill="1"/>
    <xf numFmtId="0" fontId="1" fillId="3" borderId="0" xfId="0" applyFont="1" applyFill="1" applyAlignment="1">
      <alignment shrinkToFit="1"/>
    </xf>
    <xf numFmtId="0" fontId="9" fillId="0" borderId="3" xfId="0" applyFont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4" fontId="6" fillId="0" borderId="0" xfId="0" applyNumberFormat="1" applyFont="1" applyFill="1"/>
    <xf numFmtId="3" fontId="6" fillId="0" borderId="0" xfId="0" applyNumberFormat="1" applyFont="1" applyFill="1"/>
    <xf numFmtId="164" fontId="6" fillId="0" borderId="0" xfId="0" applyNumberFormat="1" applyFont="1" applyFill="1"/>
    <xf numFmtId="165" fontId="6" fillId="0" borderId="0" xfId="0" applyNumberFormat="1" applyFont="1" applyFill="1"/>
    <xf numFmtId="4" fontId="14" fillId="0" borderId="0" xfId="0" applyNumberFormat="1" applyFont="1" applyFill="1"/>
    <xf numFmtId="3" fontId="14" fillId="0" borderId="0" xfId="0" applyNumberFormat="1" applyFont="1" applyFill="1"/>
    <xf numFmtId="164" fontId="14" fillId="0" borderId="0" xfId="0" applyNumberFormat="1" applyFont="1" applyFill="1"/>
    <xf numFmtId="165" fontId="14" fillId="0" borderId="0" xfId="0" applyNumberFormat="1" applyFont="1" applyFill="1"/>
    <xf numFmtId="0" fontId="0" fillId="0" borderId="0" xfId="0" applyFill="1"/>
    <xf numFmtId="10" fontId="6" fillId="0" borderId="0" xfId="0" applyNumberFormat="1" applyFont="1" applyFill="1"/>
    <xf numFmtId="4" fontId="0" fillId="3" borderId="0" xfId="0" applyNumberFormat="1" applyFill="1" applyAlignment="1">
      <alignment shrinkToFit="1"/>
    </xf>
    <xf numFmtId="0" fontId="1" fillId="4" borderId="1" xfId="0" applyFont="1" applyFill="1" applyBorder="1"/>
    <xf numFmtId="0" fontId="0" fillId="4" borderId="2" xfId="0" applyFill="1" applyBorder="1"/>
    <xf numFmtId="166" fontId="0" fillId="0" borderId="3" xfId="0" applyNumberFormat="1" applyFont="1" applyBorder="1"/>
    <xf numFmtId="0" fontId="1" fillId="2" borderId="9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" fontId="15" fillId="0" borderId="0" xfId="0" applyNumberFormat="1" applyFont="1"/>
    <xf numFmtId="3" fontId="3" fillId="0" borderId="0" xfId="0" applyNumberFormat="1" applyFont="1" applyFill="1"/>
    <xf numFmtId="3" fontId="11" fillId="0" borderId="0" xfId="0" applyNumberFormat="1" applyFont="1" applyFill="1"/>
    <xf numFmtId="1" fontId="3" fillId="0" borderId="0" xfId="0" applyNumberFormat="1" applyFont="1" applyFill="1"/>
    <xf numFmtId="1" fontId="5" fillId="0" borderId="0" xfId="0" applyNumberFormat="1" applyFont="1" applyFill="1"/>
    <xf numFmtId="0" fontId="6" fillId="0" borderId="0" xfId="0" applyFont="1" applyFill="1"/>
    <xf numFmtId="0" fontId="8" fillId="5" borderId="4" xfId="0" applyFont="1" applyFill="1" applyBorder="1"/>
    <xf numFmtId="0" fontId="8" fillId="5" borderId="5" xfId="0" applyFont="1" applyFill="1" applyBorder="1"/>
    <xf numFmtId="0" fontId="12" fillId="5" borderId="7" xfId="0" applyFont="1" applyFill="1" applyBorder="1"/>
    <xf numFmtId="0" fontId="0" fillId="0" borderId="0" xfId="0" applyFont="1" applyAlignment="1">
      <alignment horizontal="right" wrapText="1"/>
    </xf>
    <xf numFmtId="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 vertical="top"/>
    </xf>
    <xf numFmtId="3" fontId="0" fillId="0" borderId="0" xfId="0" applyNumberFormat="1" applyFont="1" applyAlignment="1">
      <alignment horizontal="right" vertical="top"/>
    </xf>
    <xf numFmtId="10" fontId="0" fillId="0" borderId="0" xfId="0" applyNumberFormat="1" applyFont="1" applyAlignment="1">
      <alignment horizontal="right" vertical="top"/>
    </xf>
    <xf numFmtId="0" fontId="0" fillId="0" borderId="0" xfId="0" applyNumberFormat="1" applyFont="1" applyAlignment="1">
      <alignment horizontal="left" vertical="top" wrapText="1"/>
    </xf>
    <xf numFmtId="3" fontId="15" fillId="0" borderId="0" xfId="0" applyNumberFormat="1" applyFont="1" applyAlignment="1">
      <alignment horizontal="right" vertical="top"/>
    </xf>
    <xf numFmtId="4" fontId="15" fillId="0" borderId="0" xfId="0" applyNumberFormat="1" applyFont="1" applyAlignment="1">
      <alignment horizontal="right"/>
    </xf>
    <xf numFmtId="4" fontId="15" fillId="0" borderId="0" xfId="0" applyNumberFormat="1" applyFont="1" applyAlignment="1">
      <alignment horizontal="right" vertical="top"/>
    </xf>
    <xf numFmtId="1" fontId="11" fillId="0" borderId="0" xfId="0" applyNumberFormat="1" applyFont="1"/>
    <xf numFmtId="10" fontId="14" fillId="0" borderId="0" xfId="0" applyNumberFormat="1" applyFont="1" applyFill="1"/>
    <xf numFmtId="0" fontId="1" fillId="0" borderId="0" xfId="0" applyFont="1" applyAlignment="1">
      <alignment horizontal="right" vertical="top" wrapText="1"/>
    </xf>
    <xf numFmtId="0" fontId="16" fillId="0" borderId="0" xfId="0" applyFont="1"/>
    <xf numFmtId="0" fontId="17" fillId="0" borderId="0" xfId="0" applyFont="1" applyAlignment="1">
      <alignment horizontal="left" vertical="top" wrapText="1"/>
    </xf>
    <xf numFmtId="0" fontId="18" fillId="0" borderId="0" xfId="0" applyFont="1"/>
    <xf numFmtId="0" fontId="19" fillId="2" borderId="0" xfId="0" applyFont="1" applyFill="1" applyAlignment="1">
      <alignment horizontal="left" vertical="top" wrapText="1"/>
    </xf>
    <xf numFmtId="4" fontId="11" fillId="0" borderId="0" xfId="0" applyNumberFormat="1" applyFont="1"/>
    <xf numFmtId="4" fontId="11" fillId="0" borderId="0" xfId="0" applyNumberFormat="1" applyFont="1" applyFill="1"/>
    <xf numFmtId="4" fontId="11" fillId="2" borderId="0" xfId="0" applyNumberFormat="1" applyFont="1" applyFill="1"/>
    <xf numFmtId="1" fontId="11" fillId="2" borderId="0" xfId="0" applyNumberFormat="1" applyFont="1" applyFill="1"/>
    <xf numFmtId="2" fontId="0" fillId="6" borderId="0" xfId="0" applyNumberFormat="1" applyFill="1"/>
    <xf numFmtId="0" fontId="19" fillId="2" borderId="0" xfId="0" applyFont="1" applyFill="1" applyAlignment="1">
      <alignment horizontal="right" vertical="top" wrapText="1"/>
    </xf>
    <xf numFmtId="164" fontId="15" fillId="0" borderId="0" xfId="0" applyNumberFormat="1" applyFont="1"/>
    <xf numFmtId="2" fontId="15" fillId="0" borderId="0" xfId="0" applyNumberFormat="1" applyFont="1"/>
    <xf numFmtId="164" fontId="15" fillId="2" borderId="0" xfId="0" applyNumberFormat="1" applyFont="1" applyFill="1"/>
    <xf numFmtId="2" fontId="15" fillId="2" borderId="0" xfId="0" applyNumberFormat="1" applyFont="1" applyFill="1"/>
    <xf numFmtId="4" fontId="15" fillId="0" borderId="0" xfId="0" applyNumberFormat="1" applyFont="1"/>
    <xf numFmtId="3" fontId="15" fillId="0" borderId="0" xfId="0" applyNumberFormat="1" applyFont="1"/>
    <xf numFmtId="4" fontId="15" fillId="0" borderId="0" xfId="0" applyNumberFormat="1" applyFont="1" applyFill="1"/>
    <xf numFmtId="164" fontId="15" fillId="0" borderId="0" xfId="0" applyNumberFormat="1" applyFont="1" applyFill="1"/>
    <xf numFmtId="3" fontId="15" fillId="0" borderId="0" xfId="0" applyNumberFormat="1" applyFont="1" applyFill="1"/>
    <xf numFmtId="4" fontId="15" fillId="2" borderId="0" xfId="0" applyNumberFormat="1" applyFont="1" applyFill="1"/>
    <xf numFmtId="10" fontId="15" fillId="2" borderId="0" xfId="0" applyNumberFormat="1" applyFont="1" applyFill="1"/>
    <xf numFmtId="3" fontId="15" fillId="2" borderId="0" xfId="0" applyNumberFormat="1" applyFont="1" applyFill="1"/>
    <xf numFmtId="1" fontId="15" fillId="0" borderId="0" xfId="0" applyNumberFormat="1" applyFont="1" applyFill="1"/>
    <xf numFmtId="1" fontId="15" fillId="2" borderId="0" xfId="0" applyNumberFormat="1" applyFont="1" applyFill="1"/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10" fontId="0" fillId="0" borderId="0" xfId="0" applyNumberFormat="1" applyAlignment="1">
      <alignment horizontal="right" vertical="top"/>
    </xf>
    <xf numFmtId="0" fontId="1" fillId="2" borderId="12" xfId="0" applyFont="1" applyFill="1" applyBorder="1"/>
    <xf numFmtId="0" fontId="0" fillId="2" borderId="13" xfId="0" applyFill="1" applyBorder="1"/>
    <xf numFmtId="0" fontId="0" fillId="0" borderId="8" xfId="0" applyBorder="1"/>
    <xf numFmtId="0" fontId="0" fillId="0" borderId="3" xfId="0" applyNumberFormat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18" fillId="0" borderId="11" xfId="0" applyFont="1" applyBorder="1"/>
    <xf numFmtId="0" fontId="0" fillId="0" borderId="0" xfId="0" applyAlignment="1">
      <alignment horizontal="left" vertical="top"/>
    </xf>
    <xf numFmtId="0" fontId="0" fillId="0" borderId="0" xfId="0" applyAlignment="1"/>
    <xf numFmtId="167" fontId="0" fillId="0" borderId="3" xfId="0" applyNumberFormat="1" applyBorder="1"/>
    <xf numFmtId="0" fontId="1" fillId="0" borderId="0" xfId="0" applyFont="1" applyAlignment="1">
      <alignment horizontal="right"/>
    </xf>
    <xf numFmtId="0" fontId="1" fillId="2" borderId="1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9" fillId="0" borderId="3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67" fontId="0" fillId="0" borderId="8" xfId="0" applyNumberFormat="1" applyBorder="1"/>
    <xf numFmtId="166" fontId="0" fillId="0" borderId="3" xfId="0" applyNumberFormat="1" applyBorder="1"/>
    <xf numFmtId="0" fontId="16" fillId="0" borderId="0" xfId="0" applyFont="1" applyFill="1"/>
    <xf numFmtId="0" fontId="20" fillId="0" borderId="0" xfId="0" applyFont="1" applyFill="1"/>
    <xf numFmtId="0" fontId="18" fillId="0" borderId="0" xfId="0" applyFont="1" applyFill="1"/>
    <xf numFmtId="0" fontId="21" fillId="0" borderId="0" xfId="0" applyFont="1"/>
    <xf numFmtId="0" fontId="20" fillId="0" borderId="0" xfId="0" applyFont="1"/>
    <xf numFmtId="0" fontId="22" fillId="0" borderId="0" xfId="0" applyFont="1"/>
    <xf numFmtId="0" fontId="23" fillId="0" borderId="0" xfId="0" applyFont="1"/>
  </cellXfs>
  <cellStyles count="1">
    <cellStyle name="Normal" xfId="0" builtinId="0"/>
  </cellStyles>
  <dxfs count="88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i/>
        <color rgb="FF0070C0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alignment textRotation="0" wrapTex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righ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i/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numFmt numFmtId="14" formatCode="0.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99EA96-9BF1-4ABD-A598-2B06611B48B2}" name="AWRData" displayName="AWRData" ref="B7:V24" headerRowDxfId="87">
  <autoFilter ref="B7:V24" xr:uid="{BAFCDA4E-1455-4186-B446-55AD7B6FF08E}"/>
  <tableColumns count="21">
    <tableColumn id="1" xr3:uid="{12DBE624-1E4C-43DE-8EBA-89FC03FB8A2E}" name="DB Name" totalsRowLabel="Total" dataDxfId="86" totalsRowDxfId="85"/>
    <tableColumn id="2" xr3:uid="{12EF2CB8-2718-4987-B485-71AAC2C42177}" name="Instance Name" dataDxfId="84" totalsRowDxfId="83"/>
    <tableColumn id="3" xr3:uid="{EE4D87CE-B854-4D79-98B0-4B433DE0DFC5}" name="Host Name" dataDxfId="82" totalsRowDxfId="81"/>
    <tableColumn id="18" xr3:uid="{9652353C-76B4-424D-B14E-4474B1D2E864}" name="Elapsed Time (mins)" totalsRowFunction="custom" dataDxfId="80" totalsRowDxfId="79">
      <totalsRowFormula>SUM(E8:E24)</totalsRowFormula>
    </tableColumn>
    <tableColumn id="4" xr3:uid="{E245B233-16D0-4175-B2B6-7CC6C7D5EC1E}" name="DB Time (mins)" totalsRowFunction="sum" dataDxfId="78" totalsRowDxfId="77"/>
    <tableColumn id="5" xr3:uid="{18DE2E70-642F-48C7-8588-E203573FBC6C}" name="DB CPU (s)" totalsRowFunction="sum" dataDxfId="76" totalsRowDxfId="75"/>
    <tableColumn id="17" xr3:uid="{CB45C1E7-36C0-4529-BD9C-742C452F7BAB}" name="CPUs" totalsRowFunction="custom" dataDxfId="74" totalsRowDxfId="73">
      <totalsRowFormula>SUM(H8:H24)</totalsRowFormula>
    </tableColumn>
    <tableColumn id="16" xr3:uid="{8DEF82EF-8D6D-43C8-9A6E-479EF081F1C5}" name="Cores" totalsRowFunction="custom" dataDxfId="72" totalsRowDxfId="71">
      <totalsRowFormula>SUM(I8:I24)</totalsRowFormula>
    </tableColumn>
    <tableColumn id="19" xr3:uid="{6CC3E0A3-0D85-416B-B5E5-E013322B324E}" name="Memory (GB)" totalsRowFunction="custom" dataDxfId="70" totalsRowDxfId="69">
      <totalsRowFormula>SUM(J8:J24)</totalsRowFormula>
    </tableColumn>
    <tableColumn id="20" xr3:uid="{801E69F7-F685-4E5B-89E7-B8236A24C142}" name="%busy CPU" totalsRowFunction="custom" dataDxfId="68" totalsRowDxfId="67">
      <totalsRowFormula>SUM(K8:K24)</totalsRowFormula>
    </tableColumn>
    <tableColumn id="8" xr3:uid="{D9D9DE5D-BFAF-4BB6-9C57-68AD5D802EE2}" name="SGA use (MB)" totalsRowFunction="sum" dataDxfId="66" totalsRowDxfId="65"/>
    <tableColumn id="9" xr3:uid="{12911006-64ED-4042-B1A5-C18EC5E137FE}" name="PGA use (MB)" totalsRowFunction="sum" dataDxfId="64" totalsRowDxfId="63"/>
    <tableColumn id="6" xr3:uid="{D6E85EB5-7EE1-48F6-A66E-B76E4EECD483}" name="Read Throughput (MB/s)" dataDxfId="62" totalsRowDxfId="61"/>
    <tableColumn id="7" xr3:uid="{F3F3AB13-35F9-4DE8-BCED-CC8576E3F23E}" name="Write Throughput (MB/s)" dataDxfId="60" totalsRowDxfId="59"/>
    <tableColumn id="10" xr3:uid="{BE4DE103-F7E4-4B9E-A27F-11EFFA4A99BF}" name="Read IOPS" totalsRowFunction="sum" dataDxfId="58" totalsRowDxfId="57"/>
    <tableColumn id="11" xr3:uid="{A52E7F8E-4721-4010-BECE-F070E24DDA1F}" name="Write IOPS" totalsRowFunction="sum" dataDxfId="56" totalsRowDxfId="55"/>
    <tableColumn id="15" xr3:uid="{F0C74357-6F45-494C-B3DC-D3215156DFFB}" name="Total Throughput (MB/s)" dataDxfId="54" totalsRowDxfId="53">
      <calculatedColumnFormula>N8+O8</calculatedColumnFormula>
    </tableColumn>
    <tableColumn id="12" xr3:uid="{A0F8EBD1-73A3-4ABE-B0BE-D33E8C7ADD32}" name="Total IOPS" totalsRowFunction="sum" dataDxfId="52" totalsRowDxfId="51">
      <calculatedColumnFormula>(P8+Q8)</calculatedColumnFormula>
    </tableColumn>
    <tableColumn id="13" xr3:uid="{3F2ED276-F76A-423E-8069-892C6C886ED0}" name="CPU total capacity (s)" totalsRowFunction="custom" dataDxfId="50">
      <calculatedColumnFormula>(E8*60)*H8</calculatedColumnFormula>
      <totalsRowFormula>SUM(T8:T24)</totalsRowFormula>
    </tableColumn>
    <tableColumn id="14" xr3:uid="{6D50E1DB-D2A8-4634-9623-2B8FF9FB8B97}" name="ORA use (GB)" totalsRowFunction="custom" dataDxfId="49">
      <calculatedColumnFormula>(L8+M8)/1024</calculatedColumnFormula>
      <totalsRowFormula>SUBTOTAL(109,#REF!)</totalsRowFormula>
    </tableColumn>
    <tableColumn id="21" xr3:uid="{06271738-5AFB-4416-88EC-0F36A42588B4}" name="source CPU HT factor" dataDxfId="48">
      <calculatedColumnFormula>AWRData[[#This Row],[CPUs]]/AWRData[[#This Row],[Cores]]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2BF7B-4FDB-4416-A371-AA5DC723FDB7}" name="HostSummary" displayName="HostSummary" ref="B19:I28" totalsRowCount="1" headerRowDxfId="47" dataDxfId="46">
  <autoFilter ref="B19:I27" xr:uid="{2131DD88-95A4-4546-AD92-E31ADE17AE10}"/>
  <tableColumns count="8">
    <tableColumn id="1" xr3:uid="{E48AF7E1-022E-4559-9DF8-AA91B706DE37}" name="Host" totalsRowLabel="Total" dataDxfId="45"/>
    <tableColumn id="6" xr3:uid="{E7152265-984C-41C1-985E-AC0ACC8400BD}" name="Name"/>
    <tableColumn id="3" xr3:uid="{042A02F8-3035-4F96-B880-FF705D8AF8AD}" name="%DB Time of Elapsed Time (aka Avg Active Sessions or &quot;AAS&quot;)" totalsRowFunction="sum" dataDxfId="44" totalsRowDxfId="14">
      <calculatedColumnFormula>IF(HostSummary[[#This Row],[Host]]="","",SUMIFS(AWRData[DB Time (mins)],AWRData[Host Name],HostSummary[[#This Row],[Host]])/SUMIFS(AWRData[Elapsed Time (mins)],AWRData[Host Name],HostSummary[[#This Row],[Host]]))</calculatedColumnFormula>
    </tableColumn>
    <tableColumn id="5" xr3:uid="{8C4031DA-672D-442C-BFF1-F158C86225A2}" name="%DB CPU of server capacity" dataDxfId="43" totalsRowDxfId="13">
      <calculatedColumnFormula>IF(HostSummary[[#This Row],[Host]]="","",SUMIFS(AWRData[DB CPU (s)],AWRData[Host Name],HostSummary[[#This Row],[Host]])/SUMIFS(AWRData[CPU total capacity (s)],AWRData[Host Name],HostSummary[[#This Row],[Host]]))</calculatedColumnFormula>
    </tableColumn>
    <tableColumn id="10" xr3:uid="{85E8367C-F408-44E2-8D1A-47BCF5A88ABE}" name="Observed memory use (GB)" totalsRowFunction="sum" dataDxfId="42" totalsRowDxfId="12">
      <calculatedColumnFormula>IF(HostSummary[[#This Row],[Host]]="","",SUMIFS(AWRData[ORA use (GB)],AWRData[Host Name],HostSummary[[#This Row],[Host]]))</calculatedColumnFormula>
    </tableColumn>
    <tableColumn id="2" xr3:uid="{2617E88C-0FF4-4484-A29F-7A570C9BB22A}" name="Observed IOPS" totalsRowFunction="sum" dataDxfId="41" totalsRowDxfId="11">
      <calculatedColumnFormula>IF(HostSummary[[#This Row],[Host]]="","",SUMIFS(AWRData[Total IOPS],AWRData[Host Name],HostSummary[[#This Row],[Host]]))</calculatedColumnFormula>
    </tableColumn>
    <tableColumn id="4" xr3:uid="{D2224B36-6E90-4845-81DA-1DB10E1661B4}" name="Observed Throughput (MB/s)" totalsRowFunction="sum" dataDxfId="40" totalsRowDxfId="10">
      <calculatedColumnFormula>IF(HostSummary[[#This Row],[Host]]="","",SUMIFS(AWRData[Total Throughput (MB/s)],AWRData[Host Name],HostSummary[[#This Row],[Host]]))</calculatedColumnFormula>
    </tableColumn>
    <tableColumn id="7" xr3:uid="{5F50BA59-DA9E-4081-A285-AF05AEA4D31D}" name="Est'd Azure vCPUs" totalsRowFunction="sum" dataDxfId="39" totalsRowDxfId="9">
      <calculatedColumnFormula>IF(HostSummary[[#This Row],[Host]]="","",HostSummary[[#This Row],[%DB Time of Elapsed Time (aka Avg Active Sessions or "AAS")]]*(vCPUHTFactor/SUMIFS(AWRData[source CPU HT factor],AWRData[Host Name],HostSummary[[#This Row],[Host]])))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6A110F-4E35-4288-9661-A9C3BFF6A5DE}" name="DBSummary" displayName="DBSummary" ref="B31:K40" totalsRowCount="1" headerRowDxfId="38" dataDxfId="37">
  <autoFilter ref="B31:K39" xr:uid="{49AD5955-00E8-4584-8ED2-B99212AE569A}"/>
  <tableColumns count="10">
    <tableColumn id="1" xr3:uid="{F79507E8-49B9-479A-B974-70532B5FC009}" name="DB Name" totalsRowLabel="Total"/>
    <tableColumn id="3" xr3:uid="{D14FF7E7-B38D-4451-8EE3-64724E717E5F}" name="%DB Time of Elapsed Time (aka Avg Active Sessions or &quot;AAS&quot;)" totalsRowFunction="sum" dataDxfId="36" totalsRowDxfId="8">
      <calculatedColumnFormula>IF(DBSummary[[#This Row],[DB Name]]="","",SUMIFS(AWRData[DB Time (mins)],AWRData[DB Name],DBSummary[[#This Row],[DB Name]])/SUMIFS(AWRData[Elapsed Time (mins)],AWRData[DB Name],DBSummary[[#This Row],[DB Name]]))</calculatedColumnFormula>
    </tableColumn>
    <tableColumn id="16" xr3:uid="{97990710-F178-485D-9D23-E739F22255D6}" name="Observed memory (GiB) consumed only by Oracle" totalsRowFunction="sum" dataDxfId="35" totalsRowDxfId="7">
      <calculatedColumnFormula>IF(DBSummary[[#This Row],[DB Name]]="","",SUMIFS(AWRData[ORA use (GB)],AWRData[DB Name],DBSummary[[#This Row],[DB Name]]))</calculatedColumnFormula>
    </tableColumn>
    <tableColumn id="12" xr3:uid="{FC52058A-56D5-46D8-B939-711474E1E53B}" name="Est'd Azure vRAM for server" totalsRowFunction="sum" dataDxfId="34" totalsRowDxfId="6">
      <calculatedColumnFormula>IF(DBSummary[[#This Row],[DB Name]]="","",PeakRAMfactor*DBSummary[[#This Row],[Observed memory (GiB) consumed only by Oracle]])</calculatedColumnFormula>
    </tableColumn>
    <tableColumn id="11" xr3:uid="{AB2CFCBB-C7A4-4993-BFD0-A84164ED0160}" name="Observed IOPS" totalsRowFunction="sum" dataDxfId="33" totalsRowDxfId="5">
      <calculatedColumnFormula>IF(DBSummary[[#This Row],[DB Name]]="","",SUMIFS(AWRData[Total IOPS],AWRData[DB Name],DBSummary[[#This Row],[DB Name]]))</calculatedColumnFormula>
    </tableColumn>
    <tableColumn id="5" xr3:uid="{28273868-E127-405F-B656-70C478E70B07}" name="Observed I/O throughput (MB/s)" totalsRowFunction="sum" dataDxfId="32" totalsRowDxfId="4">
      <calculatedColumnFormula>IF(DBSummary[[#This Row],[DB Name]]="","",SUMIFS(AWRData[Total Throughput (MB/s)],AWRData[DB Name],DBSummary[[#This Row],[DB Name]]))</calculatedColumnFormula>
    </tableColumn>
    <tableColumn id="10" xr3:uid="{80BD2CB6-EA97-4295-9D59-E9A2E6BF0BE9}" name="Est'd Azure IOPS for peak load" totalsRowFunction="sum" dataDxfId="31" totalsRowDxfId="3">
      <calculatedColumnFormula>IF(DBSummary[[#This Row],[DB Name]]="","",DBSummary[[#This Row],[Observed IOPS]]*IoMetricsFactor)</calculatedColumnFormula>
    </tableColumn>
    <tableColumn id="8" xr3:uid="{C38DB1AD-B018-489B-B3E6-31BE998C2B17}" name="Est'd Azure Throughput (MB/s) for peak load" totalsRowFunction="sum" dataDxfId="30" totalsRowDxfId="2">
      <calculatedColumnFormula>IF(DBSummary[[#This Row],[DB Name]]="","",DBSummary[[#This Row],[Observed I/O throughput (MB/s)]]*IoMetricsFactor)</calculatedColumnFormula>
    </tableColumn>
    <tableColumn id="6" xr3:uid="{AAFEF038-B223-49E2-B515-EC61D231972F}" name="Est'd Azure vCPUs for avg load" totalsRowFunction="sum" dataDxfId="29" totalsRowDxfId="1">
      <calculatedColumnFormula>IF(DBSummary[[#This Row],[DB Name]]="","",ROUND(SUMIFS(InstSummary[Est''d Azure vCPUs],InstSummary[DB Name],DBSummary[[#This Row],[DB Name]])+0.5,0))</calculatedColumnFormula>
    </tableColumn>
    <tableColumn id="13" xr3:uid="{C2AC7AFC-A986-44E6-BF2C-D020472151CF}" name="Est'd Azure vCPUs for peak load" totalsRowFunction="sum" dataDxfId="28" totalsRowDxfId="0">
      <calculatedColumnFormula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E88EA0-C4A2-40CE-A0C2-1348922960F7}" name="InstSummary" displayName="InstSummary" ref="B7:I16" totalsRowCount="1" headerRowDxfId="27">
  <autoFilter ref="B7:I15" xr:uid="{DDC9EB0F-FC45-450E-9D91-FB84A3B2BFF9}"/>
  <tableColumns count="8">
    <tableColumn id="19" xr3:uid="{9D996974-BBE3-4BD2-A49E-7636AF84D9BD}" name="DB Name"/>
    <tableColumn id="2" xr3:uid="{1EB02893-C83E-48B5-937F-61E7D4A0C092}" name="Instance Name"/>
    <tableColumn id="5" xr3:uid="{FFDD672E-0E4E-4ADB-9E76-1EB11CF3E627}" name="%DB Time of Elapsed Time (aka Avg Active Sessions or &quot;AAS&quot;)" totalsRowFunction="sum" dataDxfId="26" totalsRowDxfId="20">
      <calculatedColumnFormula>IF(InstSummary[[#This Row],[Instance Name]]="","",SUMIFS(AWRData[DB Time (mins)],AWRData[Instance Name],InstSummary[[#This Row],[Instance Name]])/SUMIFS(AWRData[Elapsed Time (mins)],AWRData[Instance Name],InstSummary[[#This Row],[Instance Name]]))</calculatedColumnFormula>
    </tableColumn>
    <tableColumn id="4" xr3:uid="{44D15276-6274-49BC-8904-ADCB3DC7D1D0}" name="%DB CPU of server capacity" totalsRowFunction="sum" dataDxfId="25" totalsRowDxfId="19">
      <calculatedColumnFormula>IF(InstSummary[[#This Row],[Instance Name]]="","",SUMIFS(AWRData[DB CPU (s)],AWRData[Instance Name],InstSummary[[#This Row],[Instance Name]])/SUMIFS(AWRData[CPU total capacity (s)],AWRData[Instance Name],InstSummary[[#This Row],[Instance Name]]))</calculatedColumnFormula>
    </tableColumn>
    <tableColumn id="14" xr3:uid="{EE92F036-09CB-4182-9F1C-C53D87FDFEA7}" name="Observed memory use (GB)" totalsRowFunction="sum" dataDxfId="24" totalsRowDxfId="18">
      <calculatedColumnFormula>IF(InstSummary[[#This Row],[Instance Name]]="","",SUMIFS(AWRData[ORA use (GB)],AWRData[Instance Name],InstSummary[[#This Row],[Instance Name]]))</calculatedColumnFormula>
    </tableColumn>
    <tableColumn id="12" xr3:uid="{E37AA9A5-8343-4F5A-BC1B-7C2420A8489D}" name="Observed IOPS" totalsRowFunction="sum" dataDxfId="23" totalsRowDxfId="17">
      <calculatedColumnFormula>IF(InstSummary[[#This Row],[Instance Name]]="","",SUMIFS(AWRData[Total IOPS],AWRData[Instance Name],InstSummary[[#This Row],[Instance Name]]))</calculatedColumnFormula>
    </tableColumn>
    <tableColumn id="3" xr3:uid="{0224C75E-ED5E-4C3C-9DED-03BD06F08298}" name="Observed Throughput (MB/s)" totalsRowFunction="sum" dataDxfId="22" totalsRowDxfId="16">
      <calculatedColumnFormula>IF(InstSummary[[#This Row],[Instance Name]]="","",SUMIFS(AWRData[Total Throughput (MB/s)],AWRData[Instance Name],InstSummary[[#This Row],[Instance Name]]))</calculatedColumnFormula>
    </tableColumn>
    <tableColumn id="13" xr3:uid="{8924F8A8-A9A4-4E8F-A3E7-F991630D6750}" name="Est'd Azure vCPUs" totalsRowFunction="sum" dataDxfId="21" totalsRowDxfId="15">
      <calculatedColumnFormula>IF(InstSummary[[#This Row],[Instance Name]]="","",InstSummary[[#This Row],[%DB Time of Elapsed Time (aka Avg Active Sessions or "AAS")]]*(vCPUHTFactor/SUMIFS(AWRData[source CPU HT factor],AWRData[Instance Name],InstSummary[[#This Row],[Instance Name]])))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InstanceCalculation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2F3-E8D6-461E-A2BF-3D4E8A581296}">
  <dimension ref="B1:V31"/>
  <sheetViews>
    <sheetView topLeftCell="A2" zoomScale="85" zoomScaleNormal="85" workbookViewId="0">
      <selection activeCell="H27" sqref="H27"/>
    </sheetView>
  </sheetViews>
  <sheetFormatPr defaultRowHeight="14.25" x14ac:dyDescent="0.45"/>
  <cols>
    <col min="1" max="1" width="4.1328125" customWidth="1"/>
    <col min="2" max="2" width="10.59765625" customWidth="1"/>
    <col min="3" max="3" width="15.3984375" customWidth="1"/>
    <col min="4" max="4" width="29.59765625" customWidth="1"/>
    <col min="5" max="5" width="14.59765625" customWidth="1"/>
    <col min="6" max="6" width="12.59765625" style="5" customWidth="1"/>
    <col min="7" max="7" width="14.3984375" customWidth="1"/>
    <col min="8" max="8" width="12.59765625" style="5" customWidth="1"/>
    <col min="9" max="17" width="12.59765625" customWidth="1"/>
    <col min="18" max="18" width="12.59765625" style="71" hidden="1" customWidth="1"/>
    <col min="19" max="19" width="12.59765625" hidden="1" customWidth="1"/>
    <col min="20" max="20" width="13.86328125" hidden="1" customWidth="1"/>
    <col min="21" max="21" width="10.3984375" hidden="1" customWidth="1"/>
    <col min="22" max="22" width="11.1328125" hidden="1" customWidth="1"/>
    <col min="23" max="23" width="12.59765625" customWidth="1"/>
  </cols>
  <sheetData>
    <row r="1" spans="2:22" s="19" customFormat="1" ht="18" x14ac:dyDescent="0.55000000000000004">
      <c r="B1" s="19" t="s">
        <v>34</v>
      </c>
      <c r="F1" s="20"/>
      <c r="H1" s="20"/>
      <c r="R1" s="69"/>
    </row>
    <row r="3" spans="2:22" ht="21" x14ac:dyDescent="0.65">
      <c r="B3" s="118" t="s">
        <v>97</v>
      </c>
    </row>
    <row r="4" spans="2:22" s="120" customFormat="1" ht="15.75" x14ac:dyDescent="0.5">
      <c r="B4" s="119" t="s">
        <v>98</v>
      </c>
      <c r="F4" s="121"/>
      <c r="H4" s="121"/>
    </row>
    <row r="6" spans="2:22" s="19" customFormat="1" ht="18" x14ac:dyDescent="0.55000000000000004">
      <c r="B6" s="19" t="s">
        <v>20</v>
      </c>
      <c r="F6" s="20"/>
      <c r="H6" s="20"/>
      <c r="R6" s="69"/>
    </row>
    <row r="7" spans="2:22" s="4" customFormat="1" ht="42.75" x14ac:dyDescent="0.45">
      <c r="B7" s="7" t="s">
        <v>0</v>
      </c>
      <c r="C7" s="7" t="s">
        <v>1</v>
      </c>
      <c r="D7" s="7" t="s">
        <v>2</v>
      </c>
      <c r="E7" s="7" t="s">
        <v>15</v>
      </c>
      <c r="F7" s="7" t="s">
        <v>16</v>
      </c>
      <c r="G7" s="7" t="s">
        <v>28</v>
      </c>
      <c r="H7" s="7" t="s">
        <v>18</v>
      </c>
      <c r="I7" s="7" t="s">
        <v>19</v>
      </c>
      <c r="J7" s="7" t="s">
        <v>17</v>
      </c>
      <c r="K7" s="7" t="s">
        <v>21</v>
      </c>
      <c r="L7" s="7" t="s">
        <v>22</v>
      </c>
      <c r="M7" s="7" t="s">
        <v>23</v>
      </c>
      <c r="N7" s="7" t="s">
        <v>39</v>
      </c>
      <c r="O7" s="7" t="s">
        <v>40</v>
      </c>
      <c r="P7" s="7" t="s">
        <v>3</v>
      </c>
      <c r="Q7" s="7" t="s">
        <v>4</v>
      </c>
      <c r="R7" s="70" t="s">
        <v>41</v>
      </c>
      <c r="S7" s="7" t="s">
        <v>5</v>
      </c>
      <c r="T7" s="7" t="s">
        <v>30</v>
      </c>
      <c r="U7" s="7" t="s">
        <v>31</v>
      </c>
      <c r="V7" s="7" t="s">
        <v>32</v>
      </c>
    </row>
    <row r="8" spans="2:22" s="57" customFormat="1" x14ac:dyDescent="0.45">
      <c r="B8" s="93" t="s">
        <v>59</v>
      </c>
      <c r="C8" s="93" t="s">
        <v>60</v>
      </c>
      <c r="D8" s="93" t="s">
        <v>63</v>
      </c>
      <c r="E8" s="94">
        <v>24465.03</v>
      </c>
      <c r="F8" s="94">
        <v>101997.33</v>
      </c>
      <c r="G8" s="95">
        <v>3339140.29</v>
      </c>
      <c r="H8" s="95">
        <v>32</v>
      </c>
      <c r="I8" s="95">
        <v>16</v>
      </c>
      <c r="J8" s="94">
        <v>125.39</v>
      </c>
      <c r="K8" s="96">
        <v>0.55700000000000005</v>
      </c>
      <c r="L8" s="95">
        <v>45440</v>
      </c>
      <c r="M8" s="95">
        <v>6144</v>
      </c>
      <c r="N8" s="94">
        <v>343.95</v>
      </c>
      <c r="O8" s="94">
        <v>13.84</v>
      </c>
      <c r="P8" s="94">
        <v>961.02</v>
      </c>
      <c r="Q8" s="18">
        <v>375.71</v>
      </c>
      <c r="R8" s="64">
        <f t="shared" ref="R8:R24" si="0">N8+O8</f>
        <v>357.78999999999996</v>
      </c>
      <c r="S8" s="64">
        <f t="shared" ref="S8:S24" si="1">(P8+Q8)</f>
        <v>1336.73</v>
      </c>
      <c r="T8" s="63">
        <f t="shared" ref="T8:T24" si="2">(E8*60)*H8</f>
        <v>46972857.599999994</v>
      </c>
      <c r="U8" s="63">
        <f t="shared" ref="U8:U24" si="3">(L8+M8)/1024</f>
        <v>50.375</v>
      </c>
      <c r="V8" s="65">
        <f>AWRData[[#This Row],[CPUs]]/AWRData[[#This Row],[Cores]]</f>
        <v>2</v>
      </c>
    </row>
    <row r="9" spans="2:22" x14ac:dyDescent="0.45">
      <c r="B9" t="s">
        <v>59</v>
      </c>
      <c r="C9" t="s">
        <v>61</v>
      </c>
      <c r="D9" t="s">
        <v>64</v>
      </c>
      <c r="E9" s="2">
        <v>24465.03</v>
      </c>
      <c r="F9" s="2">
        <v>91777.13</v>
      </c>
      <c r="G9" s="6">
        <v>2704695.05</v>
      </c>
      <c r="H9" s="6">
        <v>32</v>
      </c>
      <c r="I9" s="6">
        <v>16</v>
      </c>
      <c r="J9" s="2">
        <v>125.39</v>
      </c>
      <c r="K9" s="3">
        <v>0.49830000000000002</v>
      </c>
      <c r="L9" s="6">
        <v>45440</v>
      </c>
      <c r="M9" s="6">
        <v>6144</v>
      </c>
      <c r="N9" s="2">
        <v>197.08</v>
      </c>
      <c r="O9" s="2">
        <v>13.45</v>
      </c>
      <c r="P9" s="2">
        <v>762.69</v>
      </c>
      <c r="Q9" s="18">
        <v>361.34</v>
      </c>
      <c r="R9" s="64">
        <f t="shared" si="0"/>
        <v>210.53</v>
      </c>
      <c r="S9" s="64">
        <f t="shared" si="1"/>
        <v>1124.03</v>
      </c>
      <c r="T9" s="63">
        <f t="shared" si="2"/>
        <v>46972857.599999994</v>
      </c>
      <c r="U9" s="63">
        <f t="shared" si="3"/>
        <v>50.375</v>
      </c>
      <c r="V9" s="65">
        <f>AWRData[[#This Row],[CPUs]]/AWRData[[#This Row],[Cores]]</f>
        <v>2</v>
      </c>
    </row>
    <row r="10" spans="2:22" s="57" customFormat="1" x14ac:dyDescent="0.45">
      <c r="B10" s="93" t="s">
        <v>59</v>
      </c>
      <c r="C10" s="93" t="s">
        <v>62</v>
      </c>
      <c r="D10" t="s">
        <v>65</v>
      </c>
      <c r="E10" s="94">
        <v>24465.03</v>
      </c>
      <c r="F10" s="94">
        <v>81901.17</v>
      </c>
      <c r="G10" s="95">
        <v>2360010.59</v>
      </c>
      <c r="H10" s="95">
        <v>32</v>
      </c>
      <c r="I10" s="95">
        <v>16</v>
      </c>
      <c r="J10" s="94">
        <v>125.39</v>
      </c>
      <c r="K10" s="96">
        <v>0.30370000000000003</v>
      </c>
      <c r="L10" s="95">
        <v>45440</v>
      </c>
      <c r="M10" s="95">
        <v>6144</v>
      </c>
      <c r="N10" s="94">
        <v>211.07</v>
      </c>
      <c r="O10" s="94">
        <v>13.01</v>
      </c>
      <c r="P10" s="94">
        <v>645.25</v>
      </c>
      <c r="Q10" s="18">
        <v>264.76</v>
      </c>
      <c r="R10" s="64">
        <f t="shared" si="0"/>
        <v>224.07999999999998</v>
      </c>
      <c r="S10" s="64">
        <f t="shared" si="1"/>
        <v>910.01</v>
      </c>
      <c r="T10" s="63">
        <f t="shared" si="2"/>
        <v>46972857.599999994</v>
      </c>
      <c r="U10" s="63">
        <f t="shared" si="3"/>
        <v>50.375</v>
      </c>
      <c r="V10" s="65">
        <f>AWRData[[#This Row],[CPUs]]/AWRData[[#This Row],[Cores]]</f>
        <v>2</v>
      </c>
    </row>
    <row r="11" spans="2:22" s="57" customFormat="1" x14ac:dyDescent="0.45">
      <c r="B11" s="62"/>
      <c r="C11" s="62"/>
      <c r="D11"/>
      <c r="E11" s="59"/>
      <c r="F11" s="59"/>
      <c r="G11" s="60"/>
      <c r="H11" s="60"/>
      <c r="I11" s="60"/>
      <c r="J11" s="59"/>
      <c r="K11" s="61"/>
      <c r="L11" s="60"/>
      <c r="M11" s="60"/>
      <c r="N11" s="59"/>
      <c r="O11" s="59"/>
      <c r="P11" s="59"/>
      <c r="Q11" s="58"/>
      <c r="R11" s="64">
        <f t="shared" si="0"/>
        <v>0</v>
      </c>
      <c r="S11" s="64">
        <f t="shared" si="1"/>
        <v>0</v>
      </c>
      <c r="T11" s="63">
        <f t="shared" si="2"/>
        <v>0</v>
      </c>
      <c r="U11" s="63">
        <f t="shared" si="3"/>
        <v>0</v>
      </c>
      <c r="V11" s="65" t="e">
        <f>AWRData[[#This Row],[CPUs]]/AWRData[[#This Row],[Cores]]</f>
        <v>#DIV/0!</v>
      </c>
    </row>
    <row r="12" spans="2:22" s="57" customFormat="1" x14ac:dyDescent="0.45">
      <c r="B12" s="62"/>
      <c r="C12" s="62"/>
      <c r="D12"/>
      <c r="E12" s="59"/>
      <c r="F12" s="59"/>
      <c r="G12" s="60"/>
      <c r="H12" s="60"/>
      <c r="I12" s="60"/>
      <c r="J12" s="59"/>
      <c r="K12" s="61"/>
      <c r="L12" s="60"/>
      <c r="M12" s="60"/>
      <c r="N12" s="59"/>
      <c r="O12" s="59"/>
      <c r="P12" s="59"/>
      <c r="Q12" s="58"/>
      <c r="R12" s="64">
        <f t="shared" si="0"/>
        <v>0</v>
      </c>
      <c r="S12" s="64">
        <f t="shared" si="1"/>
        <v>0</v>
      </c>
      <c r="T12" s="63">
        <f t="shared" si="2"/>
        <v>0</v>
      </c>
      <c r="U12" s="63">
        <f t="shared" si="3"/>
        <v>0</v>
      </c>
      <c r="V12" s="65" t="e">
        <f>AWRData[[#This Row],[CPUs]]/AWRData[[#This Row],[Cores]]</f>
        <v>#DIV/0!</v>
      </c>
    </row>
    <row r="13" spans="2:22" s="57" customFormat="1" x14ac:dyDescent="0.45">
      <c r="B13" s="62"/>
      <c r="C13" s="62"/>
      <c r="D13" s="93"/>
      <c r="E13" s="59"/>
      <c r="F13" s="59"/>
      <c r="G13" s="60"/>
      <c r="H13" s="95"/>
      <c r="I13" s="95"/>
      <c r="J13" s="94"/>
      <c r="K13" s="61"/>
      <c r="L13" s="60"/>
      <c r="M13" s="60"/>
      <c r="N13" s="59"/>
      <c r="O13" s="59"/>
      <c r="P13" s="59"/>
      <c r="Q13" s="58"/>
      <c r="R13" s="64">
        <f t="shared" si="0"/>
        <v>0</v>
      </c>
      <c r="S13" s="64">
        <f t="shared" si="1"/>
        <v>0</v>
      </c>
      <c r="T13" s="63">
        <f t="shared" si="2"/>
        <v>0</v>
      </c>
      <c r="U13" s="63">
        <f t="shared" si="3"/>
        <v>0</v>
      </c>
      <c r="V13" s="65" t="e">
        <f>AWRData[[#This Row],[CPUs]]/AWRData[[#This Row],[Cores]]</f>
        <v>#DIV/0!</v>
      </c>
    </row>
    <row r="14" spans="2:22" s="57" customFormat="1" x14ac:dyDescent="0.45">
      <c r="B14" s="62"/>
      <c r="C14" s="62"/>
      <c r="D14"/>
      <c r="E14" s="59"/>
      <c r="F14" s="59"/>
      <c r="G14" s="60"/>
      <c r="H14" s="6"/>
      <c r="I14" s="6"/>
      <c r="J14" s="2"/>
      <c r="K14" s="61"/>
      <c r="L14" s="60"/>
      <c r="M14" s="60"/>
      <c r="N14" s="59"/>
      <c r="O14" s="59"/>
      <c r="P14" s="59"/>
      <c r="Q14" s="58"/>
      <c r="R14" s="64">
        <f t="shared" si="0"/>
        <v>0</v>
      </c>
      <c r="S14" s="64">
        <f t="shared" si="1"/>
        <v>0</v>
      </c>
      <c r="T14" s="63">
        <f t="shared" si="2"/>
        <v>0</v>
      </c>
      <c r="U14" s="63">
        <f t="shared" si="3"/>
        <v>0</v>
      </c>
      <c r="V14" s="65" t="e">
        <f>AWRData[[#This Row],[CPUs]]/AWRData[[#This Row],[Cores]]</f>
        <v>#DIV/0!</v>
      </c>
    </row>
    <row r="15" spans="2:22" s="57" customFormat="1" x14ac:dyDescent="0.45">
      <c r="B15" s="62"/>
      <c r="C15" s="62"/>
      <c r="D15"/>
      <c r="E15" s="59"/>
      <c r="F15" s="59"/>
      <c r="G15" s="60"/>
      <c r="H15" s="95"/>
      <c r="I15" s="95"/>
      <c r="J15" s="94"/>
      <c r="K15" s="61"/>
      <c r="L15" s="60"/>
      <c r="M15" s="60"/>
      <c r="N15" s="59"/>
      <c r="O15" s="59"/>
      <c r="P15" s="59"/>
      <c r="Q15" s="58"/>
      <c r="R15" s="64">
        <f t="shared" si="0"/>
        <v>0</v>
      </c>
      <c r="S15" s="64">
        <f t="shared" si="1"/>
        <v>0</v>
      </c>
      <c r="T15" s="63">
        <f t="shared" si="2"/>
        <v>0</v>
      </c>
      <c r="U15" s="63">
        <f t="shared" si="3"/>
        <v>0</v>
      </c>
      <c r="V15" s="65" t="e">
        <f>AWRData[[#This Row],[CPUs]]/AWRData[[#This Row],[Cores]]</f>
        <v>#DIV/0!</v>
      </c>
    </row>
    <row r="16" spans="2:22" s="57" customFormat="1" x14ac:dyDescent="0.45">
      <c r="B16" s="62"/>
      <c r="C16" s="62"/>
      <c r="D16" s="62"/>
      <c r="E16" s="59"/>
      <c r="F16" s="59"/>
      <c r="G16" s="60"/>
      <c r="H16" s="60"/>
      <c r="I16" s="60"/>
      <c r="J16" s="59"/>
      <c r="K16" s="61"/>
      <c r="L16" s="60"/>
      <c r="M16" s="60"/>
      <c r="N16" s="59"/>
      <c r="O16" s="59"/>
      <c r="P16" s="59"/>
      <c r="Q16" s="58"/>
      <c r="R16" s="64">
        <f t="shared" si="0"/>
        <v>0</v>
      </c>
      <c r="S16" s="64">
        <f t="shared" si="1"/>
        <v>0</v>
      </c>
      <c r="T16" s="63">
        <f t="shared" si="2"/>
        <v>0</v>
      </c>
      <c r="U16" s="63">
        <f t="shared" si="3"/>
        <v>0</v>
      </c>
      <c r="V16" s="65" t="e">
        <f>AWRData[[#This Row],[CPUs]]/AWRData[[#This Row],[Cores]]</f>
        <v>#DIV/0!</v>
      </c>
    </row>
    <row r="17" spans="2:22" s="57" customFormat="1" x14ac:dyDescent="0.45">
      <c r="B17" s="62"/>
      <c r="C17" s="62"/>
      <c r="D17" s="62"/>
      <c r="E17" s="59"/>
      <c r="F17" s="59"/>
      <c r="G17" s="60"/>
      <c r="H17" s="60"/>
      <c r="I17" s="60"/>
      <c r="J17" s="59"/>
      <c r="K17" s="61"/>
      <c r="L17" s="60"/>
      <c r="M17" s="60"/>
      <c r="N17" s="59"/>
      <c r="O17" s="59"/>
      <c r="P17" s="59"/>
      <c r="Q17" s="58"/>
      <c r="R17" s="64">
        <f t="shared" si="0"/>
        <v>0</v>
      </c>
      <c r="S17" s="64">
        <f t="shared" si="1"/>
        <v>0</v>
      </c>
      <c r="T17" s="63">
        <f t="shared" si="2"/>
        <v>0</v>
      </c>
      <c r="U17" s="63">
        <f t="shared" si="3"/>
        <v>0</v>
      </c>
      <c r="V17" s="65" t="e">
        <f>AWRData[[#This Row],[CPUs]]/AWRData[[#This Row],[Cores]]</f>
        <v>#DIV/0!</v>
      </c>
    </row>
    <row r="18" spans="2:22" s="57" customFormat="1" x14ac:dyDescent="0.45">
      <c r="B18" s="62"/>
      <c r="C18" s="62"/>
      <c r="D18" s="62"/>
      <c r="E18" s="59"/>
      <c r="F18" s="59"/>
      <c r="G18" s="60"/>
      <c r="H18" s="60"/>
      <c r="I18" s="60"/>
      <c r="J18" s="59"/>
      <c r="K18" s="61"/>
      <c r="L18" s="60"/>
      <c r="M18" s="60"/>
      <c r="N18" s="59"/>
      <c r="O18" s="59"/>
      <c r="P18" s="59"/>
      <c r="Q18" s="58"/>
      <c r="R18" s="64">
        <f t="shared" si="0"/>
        <v>0</v>
      </c>
      <c r="S18" s="64">
        <f t="shared" si="1"/>
        <v>0</v>
      </c>
      <c r="T18" s="63">
        <f t="shared" si="2"/>
        <v>0</v>
      </c>
      <c r="U18" s="63">
        <f t="shared" si="3"/>
        <v>0</v>
      </c>
      <c r="V18" s="65" t="e">
        <f>AWRData[[#This Row],[CPUs]]/AWRData[[#This Row],[Cores]]</f>
        <v>#DIV/0!</v>
      </c>
    </row>
    <row r="19" spans="2:22" s="57" customFormat="1" x14ac:dyDescent="0.45">
      <c r="B19" s="62"/>
      <c r="C19" s="62"/>
      <c r="D19" s="62"/>
      <c r="E19" s="59"/>
      <c r="F19" s="59"/>
      <c r="G19" s="60"/>
      <c r="H19" s="60"/>
      <c r="I19" s="60"/>
      <c r="J19" s="59"/>
      <c r="K19" s="61"/>
      <c r="L19" s="60"/>
      <c r="M19" s="60"/>
      <c r="N19" s="59"/>
      <c r="O19" s="59"/>
      <c r="P19" s="59"/>
      <c r="Q19" s="58"/>
      <c r="R19" s="64">
        <f t="shared" si="0"/>
        <v>0</v>
      </c>
      <c r="S19" s="64">
        <f t="shared" si="1"/>
        <v>0</v>
      </c>
      <c r="T19" s="63">
        <f t="shared" si="2"/>
        <v>0</v>
      </c>
      <c r="U19" s="63">
        <f t="shared" si="3"/>
        <v>0</v>
      </c>
      <c r="V19" s="65" t="e">
        <f>AWRData[[#This Row],[CPUs]]/AWRData[[#This Row],[Cores]]</f>
        <v>#DIV/0!</v>
      </c>
    </row>
    <row r="20" spans="2:22" s="57" customFormat="1" x14ac:dyDescent="0.45">
      <c r="B20" s="62"/>
      <c r="C20" s="62"/>
      <c r="D20" s="62"/>
      <c r="E20" s="59"/>
      <c r="F20" s="59"/>
      <c r="G20" s="60"/>
      <c r="H20" s="60"/>
      <c r="I20" s="60"/>
      <c r="J20" s="59"/>
      <c r="K20" s="61"/>
      <c r="L20" s="60"/>
      <c r="M20" s="60"/>
      <c r="N20" s="59"/>
      <c r="O20" s="59"/>
      <c r="P20" s="59"/>
      <c r="Q20" s="58"/>
      <c r="R20" s="64">
        <f t="shared" si="0"/>
        <v>0</v>
      </c>
      <c r="S20" s="64">
        <f t="shared" si="1"/>
        <v>0</v>
      </c>
      <c r="T20" s="63">
        <f t="shared" si="2"/>
        <v>0</v>
      </c>
      <c r="U20" s="63">
        <f t="shared" si="3"/>
        <v>0</v>
      </c>
      <c r="V20" s="65" t="e">
        <f>AWRData[[#This Row],[CPUs]]/AWRData[[#This Row],[Cores]]</f>
        <v>#DIV/0!</v>
      </c>
    </row>
    <row r="21" spans="2:22" s="57" customFormat="1" x14ac:dyDescent="0.45">
      <c r="B21" s="62"/>
      <c r="C21" s="62"/>
      <c r="D21" s="62"/>
      <c r="E21" s="59"/>
      <c r="F21" s="59"/>
      <c r="G21" s="60"/>
      <c r="H21" s="60"/>
      <c r="I21" s="60"/>
      <c r="J21" s="59"/>
      <c r="K21" s="61"/>
      <c r="L21" s="60"/>
      <c r="M21" s="60"/>
      <c r="N21" s="59"/>
      <c r="O21" s="59"/>
      <c r="P21" s="59"/>
      <c r="Q21" s="58"/>
      <c r="R21" s="64">
        <f t="shared" si="0"/>
        <v>0</v>
      </c>
      <c r="S21" s="64">
        <f t="shared" si="1"/>
        <v>0</v>
      </c>
      <c r="T21" s="63">
        <f t="shared" si="2"/>
        <v>0</v>
      </c>
      <c r="U21" s="63">
        <f t="shared" si="3"/>
        <v>0</v>
      </c>
      <c r="V21" s="65" t="e">
        <f>AWRData[[#This Row],[CPUs]]/AWRData[[#This Row],[Cores]]</f>
        <v>#DIV/0!</v>
      </c>
    </row>
    <row r="22" spans="2:22" s="57" customFormat="1" x14ac:dyDescent="0.45">
      <c r="B22" s="62"/>
      <c r="C22" s="62"/>
      <c r="D22" s="62"/>
      <c r="E22" s="59"/>
      <c r="F22" s="59"/>
      <c r="G22" s="60"/>
      <c r="H22" s="60"/>
      <c r="I22" s="60"/>
      <c r="J22" s="59"/>
      <c r="K22" s="61"/>
      <c r="L22" s="60"/>
      <c r="M22" s="60"/>
      <c r="N22" s="59"/>
      <c r="O22" s="59"/>
      <c r="P22" s="59"/>
      <c r="Q22" s="58"/>
      <c r="R22" s="64">
        <f t="shared" si="0"/>
        <v>0</v>
      </c>
      <c r="S22" s="64">
        <f t="shared" si="1"/>
        <v>0</v>
      </c>
      <c r="T22" s="63">
        <f t="shared" si="2"/>
        <v>0</v>
      </c>
      <c r="U22" s="63">
        <f t="shared" si="3"/>
        <v>0</v>
      </c>
      <c r="V22" s="65" t="e">
        <f>AWRData[[#This Row],[CPUs]]/AWRData[[#This Row],[Cores]]</f>
        <v>#DIV/0!</v>
      </c>
    </row>
    <row r="23" spans="2:22" s="57" customFormat="1" x14ac:dyDescent="0.45">
      <c r="B23" s="62"/>
      <c r="C23" s="62"/>
      <c r="D23" s="62"/>
      <c r="E23" s="59"/>
      <c r="F23" s="59"/>
      <c r="G23" s="60"/>
      <c r="H23" s="60"/>
      <c r="I23" s="60"/>
      <c r="J23" s="59"/>
      <c r="K23" s="61"/>
      <c r="L23" s="60"/>
      <c r="M23" s="60"/>
      <c r="N23" s="59"/>
      <c r="O23" s="59"/>
      <c r="P23" s="59"/>
      <c r="Q23" s="58"/>
      <c r="R23" s="64">
        <f t="shared" si="0"/>
        <v>0</v>
      </c>
      <c r="S23" s="64">
        <f t="shared" si="1"/>
        <v>0</v>
      </c>
      <c r="T23" s="63">
        <f t="shared" si="2"/>
        <v>0</v>
      </c>
      <c r="U23" s="63">
        <f t="shared" si="3"/>
        <v>0</v>
      </c>
      <c r="V23" s="65" t="e">
        <f>AWRData[[#This Row],[CPUs]]/AWRData[[#This Row],[Cores]]</f>
        <v>#DIV/0!</v>
      </c>
    </row>
    <row r="24" spans="2:22" s="57" customFormat="1" x14ac:dyDescent="0.45">
      <c r="B24" s="62"/>
      <c r="C24" s="62"/>
      <c r="D24" s="62"/>
      <c r="E24" s="59"/>
      <c r="F24" s="59"/>
      <c r="G24" s="60"/>
      <c r="H24" s="60"/>
      <c r="I24" s="60"/>
      <c r="J24" s="59"/>
      <c r="K24" s="61"/>
      <c r="L24" s="60"/>
      <c r="M24" s="60"/>
      <c r="N24" s="59"/>
      <c r="O24" s="59"/>
      <c r="P24" s="59"/>
      <c r="Q24" s="58"/>
      <c r="R24" s="64">
        <f t="shared" si="0"/>
        <v>0</v>
      </c>
      <c r="S24" s="64">
        <f t="shared" si="1"/>
        <v>0</v>
      </c>
      <c r="T24" s="63">
        <f t="shared" si="2"/>
        <v>0</v>
      </c>
      <c r="U24" s="63">
        <f t="shared" si="3"/>
        <v>0</v>
      </c>
      <c r="V24" s="65" t="e">
        <f>AWRData[[#This Row],[CPUs]]/AWRData[[#This Row],[Cores]]</f>
        <v>#DIV/0!</v>
      </c>
    </row>
    <row r="25" spans="2:22" ht="19.149999999999999" customHeight="1" x14ac:dyDescent="0.45"/>
    <row r="26" spans="2:22" s="19" customFormat="1" ht="18" x14ac:dyDescent="0.55000000000000004">
      <c r="D26" s="27" t="s">
        <v>10</v>
      </c>
      <c r="E26" s="40">
        <v>3</v>
      </c>
      <c r="F26" s="20"/>
      <c r="H26" s="20"/>
      <c r="R26" s="69"/>
    </row>
    <row r="27" spans="2:22" ht="12.4" customHeight="1" x14ac:dyDescent="0.45">
      <c r="D27" s="27" t="s">
        <v>11</v>
      </c>
      <c r="E27" s="40">
        <v>1.5</v>
      </c>
    </row>
    <row r="28" spans="2:22" ht="13.15" customHeight="1" x14ac:dyDescent="0.45">
      <c r="D28" s="27" t="s">
        <v>33</v>
      </c>
      <c r="E28" s="40">
        <v>2</v>
      </c>
    </row>
    <row r="29" spans="2:22" x14ac:dyDescent="0.45">
      <c r="D29" s="27" t="s">
        <v>49</v>
      </c>
      <c r="E29" s="40">
        <v>0.75</v>
      </c>
    </row>
    <row r="30" spans="2:22" ht="13.15" customHeight="1" x14ac:dyDescent="0.45">
      <c r="D30" s="27" t="s">
        <v>50</v>
      </c>
      <c r="E30" s="40">
        <v>1.25</v>
      </c>
    </row>
    <row r="31" spans="2:22" x14ac:dyDescent="0.45">
      <c r="D31" s="27" t="s">
        <v>45</v>
      </c>
      <c r="E31" s="77">
        <v>2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750E-AE5D-4A47-94AB-E0FC4862066E}">
  <sheetPr codeName="Sheet1"/>
  <dimension ref="B1:S56"/>
  <sheetViews>
    <sheetView tabSelected="1" topLeftCell="A40" zoomScaleNormal="100" workbookViewId="0">
      <selection activeCell="A44" sqref="A44"/>
    </sheetView>
  </sheetViews>
  <sheetFormatPr defaultRowHeight="14.25" x14ac:dyDescent="0.45"/>
  <cols>
    <col min="2" max="2" width="15.46484375" customWidth="1"/>
    <col min="3" max="3" width="15.3984375" customWidth="1"/>
    <col min="4" max="4" width="19.3984375" customWidth="1"/>
    <col min="5" max="5" width="14.59765625" customWidth="1"/>
    <col min="6" max="6" width="15.1328125" style="5" customWidth="1"/>
    <col min="7" max="7" width="14.3984375" customWidth="1"/>
    <col min="8" max="8" width="12.59765625" style="5" customWidth="1"/>
    <col min="9" max="15" width="12.59765625" customWidth="1"/>
    <col min="16" max="19" width="12.59765625" hidden="1" customWidth="1"/>
    <col min="20" max="20" width="13.86328125" customWidth="1"/>
    <col min="21" max="21" width="10.3984375" customWidth="1"/>
    <col min="22" max="22" width="11.1328125" bestFit="1" customWidth="1"/>
    <col min="23" max="23" width="12.59765625" customWidth="1"/>
  </cols>
  <sheetData>
    <row r="1" spans="2:17" s="38" customFormat="1" x14ac:dyDescent="0.45">
      <c r="E1" s="30"/>
      <c r="F1" s="30"/>
      <c r="G1" s="31"/>
      <c r="H1" s="31"/>
      <c r="I1" s="31"/>
      <c r="J1" s="39"/>
      <c r="K1" s="33"/>
      <c r="L1" s="31"/>
      <c r="M1" s="30"/>
      <c r="N1" s="30"/>
      <c r="O1" s="30"/>
      <c r="P1" s="30"/>
      <c r="Q1" s="30"/>
    </row>
    <row r="2" spans="2:17" s="23" customFormat="1" ht="18" x14ac:dyDescent="0.55000000000000004">
      <c r="B2" s="23" t="s">
        <v>35</v>
      </c>
      <c r="E2" s="34"/>
      <c r="F2" s="34"/>
      <c r="G2" s="35"/>
      <c r="H2" s="35"/>
      <c r="I2" s="35"/>
      <c r="J2" s="67"/>
      <c r="K2" s="37"/>
      <c r="L2" s="35"/>
      <c r="M2" s="34"/>
      <c r="N2" s="34"/>
      <c r="O2" s="34"/>
      <c r="P2" s="34"/>
      <c r="Q2" s="34"/>
    </row>
    <row r="3" spans="2:17" s="115" customFormat="1" ht="18" x14ac:dyDescent="0.55000000000000004">
      <c r="B3" s="116" t="s">
        <v>36</v>
      </c>
      <c r="E3" s="34"/>
      <c r="F3" s="34"/>
      <c r="G3" s="35"/>
      <c r="H3" s="35"/>
      <c r="I3" s="35"/>
      <c r="J3" s="67"/>
      <c r="K3" s="37"/>
      <c r="L3" s="35"/>
      <c r="M3" s="34"/>
      <c r="N3" s="34"/>
      <c r="O3" s="34"/>
      <c r="P3" s="34"/>
      <c r="Q3" s="34"/>
    </row>
    <row r="4" spans="2:17" s="117" customFormat="1" ht="15.75" x14ac:dyDescent="0.5">
      <c r="B4" s="116" t="s">
        <v>93</v>
      </c>
      <c r="E4" s="30"/>
      <c r="F4" s="30"/>
      <c r="G4" s="31"/>
      <c r="H4" s="31"/>
      <c r="I4" s="31"/>
      <c r="J4" s="39"/>
      <c r="K4" s="33"/>
      <c r="L4" s="31"/>
      <c r="M4" s="30"/>
      <c r="N4" s="30"/>
      <c r="O4" s="30"/>
      <c r="P4" s="30"/>
      <c r="Q4" s="30"/>
    </row>
    <row r="5" spans="2:17" s="38" customFormat="1" ht="18" x14ac:dyDescent="0.55000000000000004">
      <c r="B5" s="23"/>
      <c r="E5" s="30"/>
      <c r="F5" s="30"/>
      <c r="G5" s="31"/>
      <c r="H5" s="31"/>
      <c r="I5" s="31"/>
      <c r="J5" s="39"/>
      <c r="K5" s="33"/>
      <c r="L5" s="31"/>
      <c r="M5" s="30"/>
      <c r="N5" s="30"/>
      <c r="O5" s="30"/>
      <c r="P5" s="30"/>
      <c r="Q5" s="30"/>
    </row>
    <row r="6" spans="2:17" s="19" customFormat="1" ht="18" x14ac:dyDescent="0.55000000000000004">
      <c r="B6" s="19" t="s">
        <v>94</v>
      </c>
      <c r="E6" s="34"/>
      <c r="F6" s="35"/>
      <c r="G6" s="35"/>
      <c r="H6" s="36"/>
      <c r="I6" s="34"/>
      <c r="J6" s="36"/>
      <c r="K6" s="37"/>
      <c r="L6" s="35"/>
      <c r="M6" s="35"/>
      <c r="N6" s="34"/>
      <c r="O6" s="34"/>
      <c r="P6" s="34"/>
      <c r="Q6" s="34"/>
    </row>
    <row r="7" spans="2:17" s="4" customFormat="1" ht="42.75" x14ac:dyDescent="0.45">
      <c r="B7" s="7" t="s">
        <v>0</v>
      </c>
      <c r="C7" s="7" t="s">
        <v>1</v>
      </c>
      <c r="D7" s="8" t="s">
        <v>75</v>
      </c>
      <c r="E7" s="8" t="s">
        <v>29</v>
      </c>
      <c r="F7" s="8" t="s">
        <v>72</v>
      </c>
      <c r="G7" s="8" t="s">
        <v>73</v>
      </c>
      <c r="H7" s="8" t="s">
        <v>74</v>
      </c>
      <c r="I7" s="8" t="s">
        <v>6</v>
      </c>
    </row>
    <row r="8" spans="2:17" x14ac:dyDescent="0.45">
      <c r="B8" t="s">
        <v>59</v>
      </c>
      <c r="C8" t="s">
        <v>60</v>
      </c>
      <c r="D8" s="9">
        <f>IF(InstSummary[[#This Row],[Instance Name]]="","",SUMIFS(AWRData[DB Time (mins)],AWRData[Instance Name],InstSummary[[#This Row],[Instance Name]])/SUMIFS(AWRData[Elapsed Time (mins)],AWRData[Instance Name],InstSummary[[#This Row],[Instance Name]]))</f>
        <v>4.169107088771197</v>
      </c>
      <c r="E8" s="9">
        <f>IF(InstSummary[[#This Row],[Instance Name]]="","",SUMIFS(AWRData[DB CPU (s)],AWRData[Instance Name],InstSummary[[#This Row],[Instance Name]])/SUMIFS(AWRData[CPU total capacity (s)],AWRData[Instance Name],InstSummary[[#This Row],[Instance Name]]))</f>
        <v>7.1086590439837338E-2</v>
      </c>
      <c r="F8" s="14">
        <f>IF(InstSummary[[#This Row],[Instance Name]]="","",SUMIFS(AWRData[ORA use (GB)],AWRData[Instance Name],InstSummary[[#This Row],[Instance Name]]))</f>
        <v>50.375</v>
      </c>
      <c r="G8" s="11">
        <f>IF(InstSummary[[#This Row],[Instance Name]]="","",SUMIFS(AWRData[Total IOPS],AWRData[Instance Name],InstSummary[[#This Row],[Instance Name]]))</f>
        <v>1336.73</v>
      </c>
      <c r="H8" s="11">
        <f>IF(InstSummary[[#This Row],[Instance Name]]="","",SUMIFS(AWRData[Total Throughput (MB/s)],AWRData[Instance Name],InstSummary[[#This Row],[Instance Name]]))</f>
        <v>357.78999999999996</v>
      </c>
      <c r="I8" s="11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4.169107088771197</v>
      </c>
    </row>
    <row r="9" spans="2:17" x14ac:dyDescent="0.45">
      <c r="B9" t="s">
        <v>59</v>
      </c>
      <c r="C9" t="s">
        <v>61</v>
      </c>
      <c r="D9" s="9">
        <f>IF(InstSummary[[#This Row],[Instance Name]]="","",SUMIFS(AWRData[DB Time (mins)],AWRData[Instance Name],InstSummary[[#This Row],[Instance Name]])/SUMIFS(AWRData[Elapsed Time (mins)],AWRData[Instance Name],InstSummary[[#This Row],[Instance Name]]))</f>
        <v>3.7513597980464364</v>
      </c>
      <c r="E9" s="9">
        <f>IF(InstSummary[[#This Row],[Instance Name]]="","",SUMIFS(AWRData[DB CPU (s)],AWRData[Instance Name],InstSummary[[#This Row],[Instance Name]])/SUMIFS(AWRData[CPU total capacity (s)],AWRData[Instance Name],InstSummary[[#This Row],[Instance Name]]))</f>
        <v>5.7579955493276186E-2</v>
      </c>
      <c r="F9" s="14">
        <f>IF(InstSummary[[#This Row],[Instance Name]]="","",SUMIFS(AWRData[ORA use (GB)],AWRData[Instance Name],InstSummary[[#This Row],[Instance Name]]))</f>
        <v>50.375</v>
      </c>
      <c r="G9" s="11">
        <f>IF(InstSummary[[#This Row],[Instance Name]]="","",SUMIFS(AWRData[Total IOPS],AWRData[Instance Name],InstSummary[[#This Row],[Instance Name]]))</f>
        <v>1124.03</v>
      </c>
      <c r="H9" s="11">
        <f>IF(InstSummary[[#This Row],[Instance Name]]="","",SUMIFS(AWRData[Total Throughput (MB/s)],AWRData[Instance Name],InstSummary[[#This Row],[Instance Name]]))</f>
        <v>210.53</v>
      </c>
      <c r="I9" s="11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3.7513597980464364</v>
      </c>
    </row>
    <row r="10" spans="2:17" x14ac:dyDescent="0.45">
      <c r="B10" t="s">
        <v>59</v>
      </c>
      <c r="C10" t="s">
        <v>62</v>
      </c>
      <c r="D10" s="9">
        <f>IF(InstSummary[[#This Row],[Instance Name]]="","",SUMIFS(AWRData[DB Time (mins)],AWRData[Instance Name],InstSummary[[#This Row],[Instance Name]])/SUMIFS(AWRData[Elapsed Time (mins)],AWRData[Instance Name],InstSummary[[#This Row],[Instance Name]]))</f>
        <v>3.347683203331449</v>
      </c>
      <c r="E10" s="9">
        <f>IF(InstSummary[[#This Row],[Instance Name]]="","",SUMIFS(AWRData[DB CPU (s)],AWRData[Instance Name],InstSummary[[#This Row],[Instance Name]])/SUMIFS(AWRData[CPU total capacity (s)],AWRData[Instance Name],InstSummary[[#This Row],[Instance Name]]))</f>
        <v>5.024200592812135E-2</v>
      </c>
      <c r="F10" s="14">
        <f>IF(InstSummary[[#This Row],[Instance Name]]="","",SUMIFS(AWRData[ORA use (GB)],AWRData[Instance Name],InstSummary[[#This Row],[Instance Name]]))</f>
        <v>50.375</v>
      </c>
      <c r="G10" s="11">
        <f>IF(InstSummary[[#This Row],[Instance Name]]="","",SUMIFS(AWRData[Total IOPS],AWRData[Instance Name],InstSummary[[#This Row],[Instance Name]]))</f>
        <v>910.01</v>
      </c>
      <c r="H10" s="11">
        <f>IF(InstSummary[[#This Row],[Instance Name]]="","",SUMIFS(AWRData[Total Throughput (MB/s)],AWRData[Instance Name],InstSummary[[#This Row],[Instance Name]]))</f>
        <v>224.07999999999998</v>
      </c>
      <c r="I10" s="11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3.347683203331449</v>
      </c>
    </row>
    <row r="11" spans="2:17" x14ac:dyDescent="0.45">
      <c r="D11" s="9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1" s="9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11" s="14" t="str">
        <f>IF(InstSummary[[#This Row],[Instance Name]]="","",SUMIFS(AWRData[ORA use (GB)],AWRData[Instance Name],InstSummary[[#This Row],[Instance Name]]))</f>
        <v/>
      </c>
      <c r="G11" s="11" t="str">
        <f>IF(InstSummary[[#This Row],[Instance Name]]="","",SUMIFS(AWRData[Total IOPS],AWRData[Instance Name],InstSummary[[#This Row],[Instance Name]]))</f>
        <v/>
      </c>
      <c r="H11" s="11" t="str">
        <f>IF(InstSummary[[#This Row],[Instance Name]]="","",SUMIFS(AWRData[Total Throughput (MB/s)],AWRData[Instance Name],InstSummary[[#This Row],[Instance Name]]))</f>
        <v/>
      </c>
      <c r="I11" s="11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2" spans="2:17" x14ac:dyDescent="0.45">
      <c r="D12" s="9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2" s="9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12" s="14" t="str">
        <f>IF(InstSummary[[#This Row],[Instance Name]]="","",SUMIFS(AWRData[ORA use (GB)],AWRData[Instance Name],InstSummary[[#This Row],[Instance Name]]))</f>
        <v/>
      </c>
      <c r="G12" s="11" t="str">
        <f>IF(InstSummary[[#This Row],[Instance Name]]="","",SUMIFS(AWRData[Total IOPS],AWRData[Instance Name],InstSummary[[#This Row],[Instance Name]]))</f>
        <v/>
      </c>
      <c r="H12" s="11" t="str">
        <f>IF(InstSummary[[#This Row],[Instance Name]]="","",SUMIFS(AWRData[Total Throughput (MB/s)],AWRData[Instance Name],InstSummary[[#This Row],[Instance Name]]))</f>
        <v/>
      </c>
      <c r="I12" s="11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3" spans="2:17" x14ac:dyDescent="0.45">
      <c r="D13" s="9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3" s="9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13" s="14" t="str">
        <f>IF(InstSummary[[#This Row],[Instance Name]]="","",SUMIFS(AWRData[ORA use (GB)],AWRData[Instance Name],InstSummary[[#This Row],[Instance Name]]))</f>
        <v/>
      </c>
      <c r="G13" s="11" t="str">
        <f>IF(InstSummary[[#This Row],[Instance Name]]="","",SUMIFS(AWRData[Total IOPS],AWRData[Instance Name],InstSummary[[#This Row],[Instance Name]]))</f>
        <v/>
      </c>
      <c r="H13" s="11" t="str">
        <f>IF(InstSummary[[#This Row],[Instance Name]]="","",SUMIFS(AWRData[Total Throughput (MB/s)],AWRData[Instance Name],InstSummary[[#This Row],[Instance Name]]))</f>
        <v/>
      </c>
      <c r="I13" s="11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4" spans="2:17" x14ac:dyDescent="0.45">
      <c r="D14" s="9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4" s="9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14" s="14" t="str">
        <f>IF(InstSummary[[#This Row],[Instance Name]]="","",SUMIFS(AWRData[ORA use (GB)],AWRData[Instance Name],InstSummary[[#This Row],[Instance Name]]))</f>
        <v/>
      </c>
      <c r="G14" s="11" t="str">
        <f>IF(InstSummary[[#This Row],[Instance Name]]="","",SUMIFS(AWRData[Total IOPS],AWRData[Instance Name],InstSummary[[#This Row],[Instance Name]]))</f>
        <v/>
      </c>
      <c r="H14" s="11" t="str">
        <f>IF(InstSummary[[#This Row],[Instance Name]]="","",SUMIFS(AWRData[Total Throughput (MB/s)],AWRData[Instance Name],InstSummary[[#This Row],[Instance Name]]))</f>
        <v/>
      </c>
      <c r="I14" s="11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5" spans="2:17" x14ac:dyDescent="0.45">
      <c r="D15" s="9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5" s="9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15" s="14" t="str">
        <f>IF(InstSummary[[#This Row],[Instance Name]]="","",SUMIFS(AWRData[ORA use (GB)],AWRData[Instance Name],InstSummary[[#This Row],[Instance Name]]))</f>
        <v/>
      </c>
      <c r="G15" s="11" t="str">
        <f>IF(InstSummary[[#This Row],[Instance Name]]="","",SUMIFS(AWRData[Total IOPS],AWRData[Instance Name],InstSummary[[#This Row],[Instance Name]]))</f>
        <v/>
      </c>
      <c r="H15" s="11" t="str">
        <f>IF(InstSummary[[#This Row],[Instance Name]]="","",SUMIFS(AWRData[Total Throughput (MB/s)],AWRData[Instance Name],InstSummary[[#This Row],[Instance Name]]))</f>
        <v/>
      </c>
      <c r="I15" s="11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6" spans="2:17" x14ac:dyDescent="0.45">
      <c r="D16" s="10">
        <f>SUBTOTAL(109,InstSummary[%DB Time of Elapsed Time (aka Avg Active Sessions or "AAS")])</f>
        <v>11.268150090149083</v>
      </c>
      <c r="E16" s="10">
        <f>SUBTOTAL(109,InstSummary[%DB CPU of server capacity])</f>
        <v>0.17890855186123489</v>
      </c>
      <c r="F16" s="13">
        <f>SUBTOTAL(109,InstSummary[Observed memory use (GB)])</f>
        <v>151.125</v>
      </c>
      <c r="G16" s="12">
        <f>SUBTOTAL(109,InstSummary[Observed IOPS])</f>
        <v>3370.7700000000004</v>
      </c>
      <c r="H16" s="12">
        <f>SUBTOTAL(109,InstSummary[Observed Throughput (MB/s)])</f>
        <v>792.39999999999986</v>
      </c>
      <c r="I16" s="12">
        <f>SUBTOTAL(109,InstSummary[Est''d Azure vCPUs])</f>
        <v>11.268150090149083</v>
      </c>
    </row>
    <row r="17" spans="2:17" s="38" customFormat="1" x14ac:dyDescent="0.45">
      <c r="E17" s="30"/>
      <c r="F17" s="31"/>
      <c r="G17" s="31"/>
      <c r="H17" s="32"/>
      <c r="I17" s="30"/>
      <c r="J17" s="32"/>
      <c r="K17"/>
      <c r="L17" s="31"/>
      <c r="M17" s="31"/>
      <c r="N17" s="30"/>
      <c r="O17" s="30"/>
      <c r="P17" s="30"/>
      <c r="Q17" s="30"/>
    </row>
    <row r="18" spans="2:17" s="19" customFormat="1" ht="17.649999999999999" customHeight="1" x14ac:dyDescent="0.55000000000000004">
      <c r="B18" s="19" t="s">
        <v>95</v>
      </c>
      <c r="E18" s="21"/>
      <c r="F18" s="22"/>
      <c r="G18" s="21"/>
      <c r="H18" s="22"/>
    </row>
    <row r="19" spans="2:17" s="1" customFormat="1" ht="42.75" x14ac:dyDescent="0.45">
      <c r="B19" s="68" t="s">
        <v>38</v>
      </c>
      <c r="C19" s="7" t="s">
        <v>37</v>
      </c>
      <c r="D19" s="8" t="s">
        <v>75</v>
      </c>
      <c r="E19" s="78" t="s">
        <v>29</v>
      </c>
      <c r="F19" s="8" t="s">
        <v>72</v>
      </c>
      <c r="G19" s="8" t="s">
        <v>73</v>
      </c>
      <c r="H19" s="8" t="s">
        <v>74</v>
      </c>
      <c r="I19" s="78" t="s">
        <v>6</v>
      </c>
    </row>
    <row r="20" spans="2:17" x14ac:dyDescent="0.45">
      <c r="B20" s="103" t="s">
        <v>63</v>
      </c>
      <c r="D20" s="79">
        <f>IF(HostSummary[[#This Row],[Host]]="","",SUMIFS(AWRData[DB Time (mins)],AWRData[Host Name],HostSummary[[#This Row],[Host]])/SUMIFS(AWRData[Elapsed Time (mins)],AWRData[Host Name],HostSummary[[#This Row],[Host]]))</f>
        <v>4.169107088771197</v>
      </c>
      <c r="E20" s="79">
        <f>IF(HostSummary[[#This Row],[Host]]="","",SUMIFS(AWRData[DB CPU (s)],AWRData[Host Name],HostSummary[[#This Row],[Host]])/SUMIFS(AWRData[CPU total capacity (s)],AWRData[Host Name],HostSummary[[#This Row],[Host]]))</f>
        <v>7.1086590439837338E-2</v>
      </c>
      <c r="F20" s="80">
        <f>IF(HostSummary[[#This Row],[Host]]="","",SUMIFS(AWRData[ORA use (GB)],AWRData[Host Name],HostSummary[[#This Row],[Host]]))</f>
        <v>50.375</v>
      </c>
      <c r="G20" s="80">
        <f>IF(HostSummary[[#This Row],[Host]]="","",SUMIFS(AWRData[Total IOPS],AWRData[Host Name],HostSummary[[#This Row],[Host]]))</f>
        <v>1336.73</v>
      </c>
      <c r="H20" s="80">
        <f>IF(HostSummary[[#This Row],[Host]]="","",SUMIFS(AWRData[Total Throughput (MB/s)],AWRData[Host Name],HostSummary[[#This Row],[Host]]))</f>
        <v>357.78999999999996</v>
      </c>
      <c r="I20" s="80">
        <f>IF(HostSummary[[#This Row],[Host]]="","",HostSummary[[#This Row],[%DB Time of Elapsed Time (aka Avg Active Sessions or "AAS")]]*(vCPUHTFactor/SUMIFS(AWRData[source CPU HT factor],AWRData[Host Name],HostSummary[[#This Row],[Host]])))</f>
        <v>4.169107088771197</v>
      </c>
    </row>
    <row r="21" spans="2:17" x14ac:dyDescent="0.45">
      <c r="B21" s="104" t="s">
        <v>64</v>
      </c>
      <c r="D21" s="79">
        <f>IF(HostSummary[[#This Row],[Host]]="","",SUMIFS(AWRData[DB Time (mins)],AWRData[Host Name],HostSummary[[#This Row],[Host]])/SUMIFS(AWRData[Elapsed Time (mins)],AWRData[Host Name],HostSummary[[#This Row],[Host]]))</f>
        <v>3.7513597980464364</v>
      </c>
      <c r="E21" s="79">
        <f>IF(HostSummary[[#This Row],[Host]]="","",SUMIFS(AWRData[DB CPU (s)],AWRData[Host Name],HostSummary[[#This Row],[Host]])/SUMIFS(AWRData[CPU total capacity (s)],AWRData[Host Name],HostSummary[[#This Row],[Host]]))</f>
        <v>5.7579955493276186E-2</v>
      </c>
      <c r="F21" s="80">
        <f>IF(HostSummary[[#This Row],[Host]]="","",SUMIFS(AWRData[ORA use (GB)],AWRData[Host Name],HostSummary[[#This Row],[Host]]))</f>
        <v>50.375</v>
      </c>
      <c r="G21" s="80">
        <f>IF(HostSummary[[#This Row],[Host]]="","",SUMIFS(AWRData[Total IOPS],AWRData[Host Name],HostSummary[[#This Row],[Host]]))</f>
        <v>1124.03</v>
      </c>
      <c r="H21" s="80">
        <f>IF(HostSummary[[#This Row],[Host]]="","",SUMIFS(AWRData[Total Throughput (MB/s)],AWRData[Host Name],HostSummary[[#This Row],[Host]]))</f>
        <v>210.53</v>
      </c>
      <c r="I21" s="80">
        <f>IF(HostSummary[[#This Row],[Host]]="","",HostSummary[[#This Row],[%DB Time of Elapsed Time (aka Avg Active Sessions or "AAS")]]*(vCPUHTFactor/SUMIFS(AWRData[source CPU HT factor],AWRData[Host Name],HostSummary[[#This Row],[Host]])))</f>
        <v>3.7513597980464364</v>
      </c>
    </row>
    <row r="22" spans="2:17" x14ac:dyDescent="0.45">
      <c r="B22" s="104" t="s">
        <v>65</v>
      </c>
      <c r="D22" s="79">
        <f>IF(HostSummary[[#This Row],[Host]]="","",SUMIFS(AWRData[DB Time (mins)],AWRData[Host Name],HostSummary[[#This Row],[Host]])/SUMIFS(AWRData[Elapsed Time (mins)],AWRData[Host Name],HostSummary[[#This Row],[Host]]))</f>
        <v>3.347683203331449</v>
      </c>
      <c r="E22" s="79">
        <f>IF(HostSummary[[#This Row],[Host]]="","",SUMIFS(AWRData[DB CPU (s)],AWRData[Host Name],HostSummary[[#This Row],[Host]])/SUMIFS(AWRData[CPU total capacity (s)],AWRData[Host Name],HostSummary[[#This Row],[Host]]))</f>
        <v>5.024200592812135E-2</v>
      </c>
      <c r="F22" s="80">
        <f>IF(HostSummary[[#This Row],[Host]]="","",SUMIFS(AWRData[ORA use (GB)],AWRData[Host Name],HostSummary[[#This Row],[Host]]))</f>
        <v>50.375</v>
      </c>
      <c r="G22" s="80">
        <f>IF(HostSummary[[#This Row],[Host]]="","",SUMIFS(AWRData[Total IOPS],AWRData[Host Name],HostSummary[[#This Row],[Host]]))</f>
        <v>910.01</v>
      </c>
      <c r="H22" s="80">
        <f>IF(HostSummary[[#This Row],[Host]]="","",SUMIFS(AWRData[Total Throughput (MB/s)],AWRData[Host Name],HostSummary[[#This Row],[Host]]))</f>
        <v>224.07999999999998</v>
      </c>
      <c r="I22" s="80">
        <f>IF(HostSummary[[#This Row],[Host]]="","",HostSummary[[#This Row],[%DB Time of Elapsed Time (aka Avg Active Sessions or "AAS")]]*(vCPUHTFactor/SUMIFS(AWRData[source CPU HT factor],AWRData[Host Name],HostSummary[[#This Row],[Host]])))</f>
        <v>3.347683203331449</v>
      </c>
    </row>
    <row r="23" spans="2:17" x14ac:dyDescent="0.45">
      <c r="B23" s="104"/>
      <c r="D23" s="79" t="str">
        <f>IF(HostSummary[[#This Row],[Host]]="","",SUMIFS(AWRData[DB Time (mins)],AWRData[Host Name],HostSummary[[#This Row],[Host]])/SUMIFS(AWRData[Elapsed Time (mins)],AWRData[Host Name],HostSummary[[#This Row],[Host]]))</f>
        <v/>
      </c>
      <c r="E23" s="79" t="str">
        <f>IF(HostSummary[[#This Row],[Host]]="","",SUMIFS(AWRData[DB CPU (s)],AWRData[Host Name],HostSummary[[#This Row],[Host]])/SUMIFS(AWRData[CPU total capacity (s)],AWRData[Host Name],HostSummary[[#This Row],[Host]]))</f>
        <v/>
      </c>
      <c r="F23" s="80" t="str">
        <f>IF(HostSummary[[#This Row],[Host]]="","",SUMIFS(AWRData[ORA use (GB)],AWRData[Host Name],HostSummary[[#This Row],[Host]]))</f>
        <v/>
      </c>
      <c r="G23" s="80" t="str">
        <f>IF(HostSummary[[#This Row],[Host]]="","",SUMIFS(AWRData[Total IOPS],AWRData[Host Name],HostSummary[[#This Row],[Host]]))</f>
        <v/>
      </c>
      <c r="H23" s="80" t="str">
        <f>IF(HostSummary[[#This Row],[Host]]="","",SUMIFS(AWRData[Total Throughput (MB/s)],AWRData[Host Name],HostSummary[[#This Row],[Host]]))</f>
        <v/>
      </c>
      <c r="I23" s="80" t="str">
        <f>IF(HostSummary[[#This Row],[Host]]="","",HostSummary[[#This Row],[%DB Time of Elapsed Time (aka Avg Active Sessions or "AAS")]]*(vCPUHTFactor/SUMIFS(AWRData[source CPU HT factor],AWRData[Host Name],HostSummary[[#This Row],[Host]])))</f>
        <v/>
      </c>
    </row>
    <row r="24" spans="2:17" x14ac:dyDescent="0.45">
      <c r="B24" s="104"/>
      <c r="D24" s="79" t="str">
        <f>IF(HostSummary[[#This Row],[Host]]="","",SUMIFS(AWRData[DB Time (mins)],AWRData[Host Name],HostSummary[[#This Row],[Host]])/SUMIFS(AWRData[Elapsed Time (mins)],AWRData[Host Name],HostSummary[[#This Row],[Host]]))</f>
        <v/>
      </c>
      <c r="E24" s="79" t="str">
        <f>IF(HostSummary[[#This Row],[Host]]="","",SUMIFS(AWRData[DB CPU (s)],AWRData[Host Name],HostSummary[[#This Row],[Host]])/SUMIFS(AWRData[CPU total capacity (s)],AWRData[Host Name],HostSummary[[#This Row],[Host]]))</f>
        <v/>
      </c>
      <c r="F24" s="80" t="str">
        <f>IF(HostSummary[[#This Row],[Host]]="","",SUMIFS(AWRData[ORA use (GB)],AWRData[Host Name],HostSummary[[#This Row],[Host]]))</f>
        <v/>
      </c>
      <c r="G24" s="80" t="str">
        <f>IF(HostSummary[[#This Row],[Host]]="","",SUMIFS(AWRData[Total IOPS],AWRData[Host Name],HostSummary[[#This Row],[Host]]))</f>
        <v/>
      </c>
      <c r="H24" s="80" t="str">
        <f>IF(HostSummary[[#This Row],[Host]]="","",SUMIFS(AWRData[Total Throughput (MB/s)],AWRData[Host Name],HostSummary[[#This Row],[Host]]))</f>
        <v/>
      </c>
      <c r="I24" s="80" t="str">
        <f>IF(HostSummary[[#This Row],[Host]]="","",HostSummary[[#This Row],[%DB Time of Elapsed Time (aka Avg Active Sessions or "AAS")]]*(vCPUHTFactor/SUMIFS(AWRData[source CPU HT factor],AWRData[Host Name],HostSummary[[#This Row],[Host]])))</f>
        <v/>
      </c>
    </row>
    <row r="25" spans="2:17" x14ac:dyDescent="0.45">
      <c r="B25" s="104"/>
      <c r="D25" s="79" t="str">
        <f>IF(HostSummary[[#This Row],[Host]]="","",SUMIFS(AWRData[DB Time (mins)],AWRData[Host Name],HostSummary[[#This Row],[Host]])/SUMIFS(AWRData[Elapsed Time (mins)],AWRData[Host Name],HostSummary[[#This Row],[Host]]))</f>
        <v/>
      </c>
      <c r="E25" s="79" t="str">
        <f>IF(HostSummary[[#This Row],[Host]]="","",SUMIFS(AWRData[DB CPU (s)],AWRData[Host Name],HostSummary[[#This Row],[Host]])/SUMIFS(AWRData[CPU total capacity (s)],AWRData[Host Name],HostSummary[[#This Row],[Host]]))</f>
        <v/>
      </c>
      <c r="F25" s="80" t="str">
        <f>IF(HostSummary[[#This Row],[Host]]="","",SUMIFS(AWRData[ORA use (GB)],AWRData[Host Name],HostSummary[[#This Row],[Host]]))</f>
        <v/>
      </c>
      <c r="G25" s="80" t="str">
        <f>IF(HostSummary[[#This Row],[Host]]="","",SUMIFS(AWRData[Total IOPS],AWRData[Host Name],HostSummary[[#This Row],[Host]]))</f>
        <v/>
      </c>
      <c r="H25" s="80" t="str">
        <f>IF(HostSummary[[#This Row],[Host]]="","",SUMIFS(AWRData[Total Throughput (MB/s)],AWRData[Host Name],HostSummary[[#This Row],[Host]]))</f>
        <v/>
      </c>
      <c r="I25" s="80" t="str">
        <f>IF(HostSummary[[#This Row],[Host]]="","",HostSummary[[#This Row],[%DB Time of Elapsed Time (aka Avg Active Sessions or "AAS")]]*(vCPUHTFactor/SUMIFS(AWRData[source CPU HT factor],AWRData[Host Name],HostSummary[[#This Row],[Host]])))</f>
        <v/>
      </c>
    </row>
    <row r="26" spans="2:17" x14ac:dyDescent="0.45">
      <c r="B26" s="104"/>
      <c r="D26" s="79" t="str">
        <f>IF(HostSummary[[#This Row],[Host]]="","",SUMIFS(AWRData[DB Time (mins)],AWRData[Host Name],HostSummary[[#This Row],[Host]])/SUMIFS(AWRData[Elapsed Time (mins)],AWRData[Host Name],HostSummary[[#This Row],[Host]]))</f>
        <v/>
      </c>
      <c r="E26" s="79" t="str">
        <f>IF(HostSummary[[#This Row],[Host]]="","",SUMIFS(AWRData[DB CPU (s)],AWRData[Host Name],HostSummary[[#This Row],[Host]])/SUMIFS(AWRData[CPU total capacity (s)],AWRData[Host Name],HostSummary[[#This Row],[Host]]))</f>
        <v/>
      </c>
      <c r="F26" s="80" t="str">
        <f>IF(HostSummary[[#This Row],[Host]]="","",SUMIFS(AWRData[ORA use (GB)],AWRData[Host Name],HostSummary[[#This Row],[Host]]))</f>
        <v/>
      </c>
      <c r="G26" s="80" t="str">
        <f>IF(HostSummary[[#This Row],[Host]]="","",SUMIFS(AWRData[Total IOPS],AWRData[Host Name],HostSummary[[#This Row],[Host]]))</f>
        <v/>
      </c>
      <c r="H26" s="80" t="str">
        <f>IF(HostSummary[[#This Row],[Host]]="","",SUMIFS(AWRData[Total Throughput (MB/s)],AWRData[Host Name],HostSummary[[#This Row],[Host]]))</f>
        <v/>
      </c>
      <c r="I26" s="80" t="str">
        <f>IF(HostSummary[[#This Row],[Host]]="","",HostSummary[[#This Row],[%DB Time of Elapsed Time (aka Avg Active Sessions or "AAS")]]*(vCPUHTFactor/SUMIFS(AWRData[source CPU HT factor],AWRData[Host Name],HostSummary[[#This Row],[Host]])))</f>
        <v/>
      </c>
    </row>
    <row r="27" spans="2:17" x14ac:dyDescent="0.45">
      <c r="B27" s="104"/>
      <c r="D27" s="79" t="str">
        <f>IF(HostSummary[[#This Row],[Host]]="","",SUMIFS(AWRData[DB Time (mins)],AWRData[Host Name],HostSummary[[#This Row],[Host]])/SUMIFS(AWRData[Elapsed Time (mins)],AWRData[Host Name],HostSummary[[#This Row],[Host]]))</f>
        <v/>
      </c>
      <c r="E27" s="79" t="str">
        <f>IF(HostSummary[[#This Row],[Host]]="","",SUMIFS(AWRData[DB CPU (s)],AWRData[Host Name],HostSummary[[#This Row],[Host]])/SUMIFS(AWRData[CPU total capacity (s)],AWRData[Host Name],HostSummary[[#This Row],[Host]]))</f>
        <v/>
      </c>
      <c r="F27" s="80" t="str">
        <f>IF(HostSummary[[#This Row],[Host]]="","",SUMIFS(AWRData[ORA use (GB)],AWRData[Host Name],HostSummary[[#This Row],[Host]]))</f>
        <v/>
      </c>
      <c r="G27" s="80" t="str">
        <f>IF(HostSummary[[#This Row],[Host]]="","",SUMIFS(AWRData[Total IOPS],AWRData[Host Name],HostSummary[[#This Row],[Host]]))</f>
        <v/>
      </c>
      <c r="H27" s="80" t="str">
        <f>IF(HostSummary[[#This Row],[Host]]="","",SUMIFS(AWRData[Total Throughput (MB/s)],AWRData[Host Name],HostSummary[[#This Row],[Host]]))</f>
        <v/>
      </c>
      <c r="I27" s="80" t="str">
        <f>IF(HostSummary[[#This Row],[Host]]="","",HostSummary[[#This Row],[%DB Time of Elapsed Time (aka Avg Active Sessions or "AAS")]]*(vCPUHTFactor/SUMIFS(AWRData[source CPU HT factor],AWRData[Host Name],HostSummary[[#This Row],[Host]])))</f>
        <v/>
      </c>
    </row>
    <row r="28" spans="2:17" x14ac:dyDescent="0.45">
      <c r="B28" t="s">
        <v>7</v>
      </c>
      <c r="D28" s="81">
        <f>SUBTOTAL(109,HostSummary[%DB Time of Elapsed Time (aka Avg Active Sessions or "AAS")])</f>
        <v>11.268150090149083</v>
      </c>
      <c r="E28" s="81"/>
      <c r="F28" s="82">
        <f>SUBTOTAL(109,HostSummary[Observed memory use (GB)])</f>
        <v>151.125</v>
      </c>
      <c r="G28" s="82">
        <f>SUBTOTAL(109,HostSummary[Observed IOPS])</f>
        <v>3370.7700000000004</v>
      </c>
      <c r="H28" s="82">
        <f>SUBTOTAL(109,HostSummary[Observed Throughput (MB/s)])</f>
        <v>792.39999999999986</v>
      </c>
      <c r="I28" s="82">
        <f>SUBTOTAL(109,HostSummary[Est''d Azure vCPUs])</f>
        <v>11.268150090149083</v>
      </c>
    </row>
    <row r="29" spans="2:17" x14ac:dyDescent="0.45">
      <c r="F29"/>
      <c r="H29"/>
    </row>
    <row r="30" spans="2:17" s="23" customFormat="1" ht="18" x14ac:dyDescent="0.55000000000000004">
      <c r="B30" s="23" t="s">
        <v>96</v>
      </c>
      <c r="D30" s="24"/>
      <c r="F30" s="25"/>
      <c r="G30" s="26"/>
    </row>
    <row r="31" spans="2:17" s="4" customFormat="1" ht="71.25" x14ac:dyDescent="0.45">
      <c r="B31" s="7" t="s">
        <v>0</v>
      </c>
      <c r="C31" s="8" t="s">
        <v>75</v>
      </c>
      <c r="D31" s="72" t="s">
        <v>76</v>
      </c>
      <c r="E31" s="15" t="s">
        <v>44</v>
      </c>
      <c r="F31" s="72" t="s">
        <v>73</v>
      </c>
      <c r="G31" s="72" t="s">
        <v>77</v>
      </c>
      <c r="H31" s="15" t="s">
        <v>42</v>
      </c>
      <c r="I31" s="15" t="s">
        <v>43</v>
      </c>
      <c r="J31" s="72" t="s">
        <v>8</v>
      </c>
      <c r="K31" s="15" t="s">
        <v>9</v>
      </c>
    </row>
    <row r="32" spans="2:17" x14ac:dyDescent="0.45">
      <c r="B32" t="s">
        <v>59</v>
      </c>
      <c r="C32" s="79">
        <f>IF(DBSummary[[#This Row],[DB Name]]="","",SUMIFS(AWRData[DB Time (mins)],AWRData[DB Name],DBSummary[[#This Row],[DB Name]])/SUMIFS(AWRData[Elapsed Time (mins)],AWRData[DB Name],DBSummary[[#This Row],[DB Name]]))</f>
        <v>3.7560500300496944</v>
      </c>
      <c r="D32" s="84">
        <f>IF(DBSummary[[#This Row],[DB Name]]="","",SUMIFS(AWRData[ORA use (GB)],AWRData[DB Name],DBSummary[[#This Row],[DB Name]]))</f>
        <v>151.125</v>
      </c>
      <c r="E32" s="16">
        <f>IF(DBSummary[[#This Row],[DB Name]]="","",PeakRAMfactor*DBSummary[[#This Row],[Observed memory (GiB) consumed only by Oracle]])</f>
        <v>226.6875</v>
      </c>
      <c r="F32" s="83">
        <f>IF(DBSummary[[#This Row],[DB Name]]="","",SUMIFS(AWRData[Total IOPS],AWRData[DB Name],DBSummary[[#This Row],[DB Name]]))</f>
        <v>3370.7700000000004</v>
      </c>
      <c r="G32" s="83">
        <f>IF(DBSummary[[#This Row],[DB Name]]="","",SUMIFS(AWRData[Total Throughput (MB/s)],AWRData[DB Name],DBSummary[[#This Row],[DB Name]]))</f>
        <v>792.39999999999986</v>
      </c>
      <c r="H32" s="73">
        <f>IF(DBSummary[[#This Row],[DB Name]]="","",DBSummary[[#This Row],[Observed IOPS]]*IoMetricsFactor)</f>
        <v>6741.5400000000009</v>
      </c>
      <c r="I32" s="73">
        <f>IF(DBSummary[[#This Row],[DB Name]]="","",DBSummary[[#This Row],[Observed I/O throughput (MB/s)]]*IoMetricsFactor)</f>
        <v>1584.7999999999997</v>
      </c>
      <c r="J32" s="48">
        <f>IF(DBSummary[[#This Row],[DB Name]]="","",ROUND(SUMIFS(InstSummary[Est''d Azure vCPUs],InstSummary[DB Name],DBSummary[[#This Row],[DB Name]])+0.5,0))</f>
        <v>12</v>
      </c>
      <c r="K32" s="66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>45</v>
      </c>
    </row>
    <row r="33" spans="2:14" x14ac:dyDescent="0.45">
      <c r="C33" s="79" t="str">
        <f>IF(DBSummary[[#This Row],[DB Name]]="","",SUMIFS(AWRData[DB Time (mins)],AWRData[DB Name],DBSummary[[#This Row],[DB Name]])/SUMIFS(AWRData[Elapsed Time (mins)],AWRData[DB Name],DBSummary[[#This Row],[DB Name]]))</f>
        <v/>
      </c>
      <c r="D33" s="84" t="str">
        <f>IF(DBSummary[[#This Row],[DB Name]]="","",SUMIFS(AWRData[ORA use (GB)],AWRData[DB Name],DBSummary[[#This Row],[DB Name]]))</f>
        <v/>
      </c>
      <c r="E33" s="16" t="str">
        <f>IF(DBSummary[[#This Row],[DB Name]]="","",PeakRAMfactor*DBSummary[[#This Row],[Observed memory (GiB) consumed only by Oracle]])</f>
        <v/>
      </c>
      <c r="F33" s="83" t="str">
        <f>IF(DBSummary[[#This Row],[DB Name]]="","",SUMIFS(AWRData[Total IOPS],AWRData[DB Name],DBSummary[[#This Row],[DB Name]]))</f>
        <v/>
      </c>
      <c r="G33" s="83" t="str">
        <f>IF(DBSummary[[#This Row],[DB Name]]="","",SUMIFS(AWRData[Total Throughput (MB/s)],AWRData[DB Name],DBSummary[[#This Row],[DB Name]]))</f>
        <v/>
      </c>
      <c r="H33" s="73" t="str">
        <f>IF(DBSummary[[#This Row],[DB Name]]="","",DBSummary[[#This Row],[Observed IOPS]]*IoMetricsFactor)</f>
        <v/>
      </c>
      <c r="I33" s="73" t="str">
        <f>IF(DBSummary[[#This Row],[DB Name]]="","",DBSummary[[#This Row],[Observed I/O throughput (MB/s)]]*IoMetricsFactor)</f>
        <v/>
      </c>
      <c r="J33" s="48" t="str">
        <f>IF(DBSummary[[#This Row],[DB Name]]="","",ROUND(SUMIFS(InstSummary[Est''d Azure vCPUs],InstSummary[DB Name],DBSummary[[#This Row],[DB Name]])+0.5,0))</f>
        <v/>
      </c>
      <c r="K33" s="66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4" spans="2:14" x14ac:dyDescent="0.45">
      <c r="C34" s="79" t="str">
        <f>IF(DBSummary[[#This Row],[DB Name]]="","",SUMIFS(AWRData[DB Time (mins)],AWRData[DB Name],DBSummary[[#This Row],[DB Name]])/SUMIFS(AWRData[Elapsed Time (mins)],AWRData[DB Name],DBSummary[[#This Row],[DB Name]]))</f>
        <v/>
      </c>
      <c r="D34" s="84" t="str">
        <f>IF(DBSummary[[#This Row],[DB Name]]="","",SUMIFS(AWRData[ORA use (GB)],AWRData[DB Name],DBSummary[[#This Row],[DB Name]]))</f>
        <v/>
      </c>
      <c r="E34" s="16" t="str">
        <f>IF(DBSummary[[#This Row],[DB Name]]="","",PeakRAMfactor*DBSummary[[#This Row],[Observed memory (GiB) consumed only by Oracle]])</f>
        <v/>
      </c>
      <c r="F34" s="83" t="str">
        <f>IF(DBSummary[[#This Row],[DB Name]]="","",SUMIFS(AWRData[Total IOPS],AWRData[DB Name],DBSummary[[#This Row],[DB Name]]))</f>
        <v/>
      </c>
      <c r="G34" s="83" t="str">
        <f>IF(DBSummary[[#This Row],[DB Name]]="","",SUMIFS(AWRData[Total Throughput (MB/s)],AWRData[DB Name],DBSummary[[#This Row],[DB Name]]))</f>
        <v/>
      </c>
      <c r="H34" s="73" t="str">
        <f>IF(DBSummary[[#This Row],[DB Name]]="","",DBSummary[[#This Row],[Observed IOPS]]*IoMetricsFactor)</f>
        <v/>
      </c>
      <c r="I34" s="73" t="str">
        <f>IF(DBSummary[[#This Row],[DB Name]]="","",DBSummary[[#This Row],[Observed I/O throughput (MB/s)]]*IoMetricsFactor)</f>
        <v/>
      </c>
      <c r="J34" s="48" t="str">
        <f>IF(DBSummary[[#This Row],[DB Name]]="","",ROUND(SUMIFS(InstSummary[Est''d Azure vCPUs],InstSummary[DB Name],DBSummary[[#This Row],[DB Name]])+0.5,0))</f>
        <v/>
      </c>
      <c r="K34" s="66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5" spans="2:14" x14ac:dyDescent="0.45">
      <c r="C35" s="79" t="str">
        <f>IF(DBSummary[[#This Row],[DB Name]]="","",SUMIFS(AWRData[DB Time (mins)],AWRData[DB Name],DBSummary[[#This Row],[DB Name]])/SUMIFS(AWRData[Elapsed Time (mins)],AWRData[DB Name],DBSummary[[#This Row],[DB Name]]))</f>
        <v/>
      </c>
      <c r="D35" s="84" t="str">
        <f>IF(DBSummary[[#This Row],[DB Name]]="","",SUMIFS(AWRData[ORA use (GB)],AWRData[DB Name],DBSummary[[#This Row],[DB Name]]))</f>
        <v/>
      </c>
      <c r="E35" s="16" t="str">
        <f>IF(DBSummary[[#This Row],[DB Name]]="","",PeakRAMfactor*DBSummary[[#This Row],[Observed memory (GiB) consumed only by Oracle]])</f>
        <v/>
      </c>
      <c r="F35" s="83" t="str">
        <f>IF(DBSummary[[#This Row],[DB Name]]="","",SUMIFS(AWRData[Total IOPS],AWRData[DB Name],DBSummary[[#This Row],[DB Name]]))</f>
        <v/>
      </c>
      <c r="G35" s="83" t="str">
        <f>IF(DBSummary[[#This Row],[DB Name]]="","",SUMIFS(AWRData[Total Throughput (MB/s)],AWRData[DB Name],DBSummary[[#This Row],[DB Name]]))</f>
        <v/>
      </c>
      <c r="H35" s="73" t="str">
        <f>IF(DBSummary[[#This Row],[DB Name]]="","",DBSummary[[#This Row],[Observed IOPS]]*IoMetricsFactor)</f>
        <v/>
      </c>
      <c r="I35" s="73" t="str">
        <f>IF(DBSummary[[#This Row],[DB Name]]="","",DBSummary[[#This Row],[Observed I/O throughput (MB/s)]]*IoMetricsFactor)</f>
        <v/>
      </c>
      <c r="J35" s="48" t="str">
        <f>IF(DBSummary[[#This Row],[DB Name]]="","",ROUND(SUMIFS(InstSummary[Est''d Azure vCPUs],InstSummary[DB Name],DBSummary[[#This Row],[DB Name]])+0.5,0))</f>
        <v/>
      </c>
      <c r="K35" s="66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6" spans="2:14" x14ac:dyDescent="0.45">
      <c r="C36" s="79" t="str">
        <f>IF(DBSummary[[#This Row],[DB Name]]="","",SUMIFS(AWRData[DB Time (mins)],AWRData[DB Name],DBSummary[[#This Row],[DB Name]])/SUMIFS(AWRData[Elapsed Time (mins)],AWRData[DB Name],DBSummary[[#This Row],[DB Name]]))</f>
        <v/>
      </c>
      <c r="D36" s="84" t="str">
        <f>IF(DBSummary[[#This Row],[DB Name]]="","",SUMIFS(AWRData[ORA use (GB)],AWRData[DB Name],DBSummary[[#This Row],[DB Name]]))</f>
        <v/>
      </c>
      <c r="E36" s="16" t="str">
        <f>IF(DBSummary[[#This Row],[DB Name]]="","",PeakRAMfactor*DBSummary[[#This Row],[Observed memory (GiB) consumed only by Oracle]])</f>
        <v/>
      </c>
      <c r="F36" s="83" t="str">
        <f>IF(DBSummary[[#This Row],[DB Name]]="","",SUMIFS(AWRData[Total IOPS],AWRData[DB Name],DBSummary[[#This Row],[DB Name]]))</f>
        <v/>
      </c>
      <c r="G36" s="83" t="str">
        <f>IF(DBSummary[[#This Row],[DB Name]]="","",SUMIFS(AWRData[Total Throughput (MB/s)],AWRData[DB Name],DBSummary[[#This Row],[DB Name]]))</f>
        <v/>
      </c>
      <c r="H36" s="73" t="str">
        <f>IF(DBSummary[[#This Row],[DB Name]]="","",DBSummary[[#This Row],[Observed IOPS]]*IoMetricsFactor)</f>
        <v/>
      </c>
      <c r="I36" s="73" t="str">
        <f>IF(DBSummary[[#This Row],[DB Name]]="","",DBSummary[[#This Row],[Observed I/O throughput (MB/s)]]*IoMetricsFactor)</f>
        <v/>
      </c>
      <c r="J36" s="48" t="str">
        <f>IF(DBSummary[[#This Row],[DB Name]]="","",ROUND(SUMIFS(InstSummary[Est''d Azure vCPUs],InstSummary[DB Name],DBSummary[[#This Row],[DB Name]])+0.5,0))</f>
        <v/>
      </c>
      <c r="K36" s="66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7" spans="2:14" x14ac:dyDescent="0.45">
      <c r="C37" s="79" t="str">
        <f>IF(DBSummary[[#This Row],[DB Name]]="","",SUMIFS(AWRData[DB Time (mins)],AWRData[DB Name],DBSummary[[#This Row],[DB Name]])/SUMIFS(AWRData[Elapsed Time (mins)],AWRData[DB Name],DBSummary[[#This Row],[DB Name]]))</f>
        <v/>
      </c>
      <c r="D37" s="84" t="str">
        <f>IF(DBSummary[[#This Row],[DB Name]]="","",SUMIFS(AWRData[ORA use (GB)],AWRData[DB Name],DBSummary[[#This Row],[DB Name]]))</f>
        <v/>
      </c>
      <c r="E37" s="16" t="str">
        <f>IF(DBSummary[[#This Row],[DB Name]]="","",PeakRAMfactor*DBSummary[[#This Row],[Observed memory (GiB) consumed only by Oracle]])</f>
        <v/>
      </c>
      <c r="F37" s="83" t="str">
        <f>IF(DBSummary[[#This Row],[DB Name]]="","",SUMIFS(AWRData[Total IOPS],AWRData[DB Name],DBSummary[[#This Row],[DB Name]]))</f>
        <v/>
      </c>
      <c r="G37" s="83" t="str">
        <f>IF(DBSummary[[#This Row],[DB Name]]="","",SUMIFS(AWRData[Total Throughput (MB/s)],AWRData[DB Name],DBSummary[[#This Row],[DB Name]]))</f>
        <v/>
      </c>
      <c r="H37" s="73" t="str">
        <f>IF(DBSummary[[#This Row],[DB Name]]="","",DBSummary[[#This Row],[Observed IOPS]]*IoMetricsFactor)</f>
        <v/>
      </c>
      <c r="I37" s="73" t="str">
        <f>IF(DBSummary[[#This Row],[DB Name]]="","",DBSummary[[#This Row],[Observed I/O throughput (MB/s)]]*IoMetricsFactor)</f>
        <v/>
      </c>
      <c r="J37" s="48" t="str">
        <f>IF(DBSummary[[#This Row],[DB Name]]="","",ROUND(SUMIFS(InstSummary[Est''d Azure vCPUs],InstSummary[DB Name],DBSummary[[#This Row],[DB Name]])+0.5,0))</f>
        <v/>
      </c>
      <c r="K37" s="66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8" spans="2:14" x14ac:dyDescent="0.45">
      <c r="C38" s="79" t="str">
        <f>IF(DBSummary[[#This Row],[DB Name]]="","",SUMIFS(AWRData[DB Time (mins)],AWRData[DB Name],DBSummary[[#This Row],[DB Name]])/SUMIFS(AWRData[Elapsed Time (mins)],AWRData[DB Name],DBSummary[[#This Row],[DB Name]]))</f>
        <v/>
      </c>
      <c r="D38" s="84" t="str">
        <f>IF(DBSummary[[#This Row],[DB Name]]="","",SUMIFS(AWRData[ORA use (GB)],AWRData[DB Name],DBSummary[[#This Row],[DB Name]]))</f>
        <v/>
      </c>
      <c r="E38" s="16" t="str">
        <f>IF(DBSummary[[#This Row],[DB Name]]="","",PeakRAMfactor*DBSummary[[#This Row],[Observed memory (GiB) consumed only by Oracle]])</f>
        <v/>
      </c>
      <c r="F38" s="83" t="str">
        <f>IF(DBSummary[[#This Row],[DB Name]]="","",SUMIFS(AWRData[Total IOPS],AWRData[DB Name],DBSummary[[#This Row],[DB Name]]))</f>
        <v/>
      </c>
      <c r="G38" s="83" t="str">
        <f>IF(DBSummary[[#This Row],[DB Name]]="","",SUMIFS(AWRData[Total Throughput (MB/s)],AWRData[DB Name],DBSummary[[#This Row],[DB Name]]))</f>
        <v/>
      </c>
      <c r="H38" s="73" t="str">
        <f>IF(DBSummary[[#This Row],[DB Name]]="","",DBSummary[[#This Row],[Observed IOPS]]*IoMetricsFactor)</f>
        <v/>
      </c>
      <c r="I38" s="73" t="str">
        <f>IF(DBSummary[[#This Row],[DB Name]]="","",DBSummary[[#This Row],[Observed I/O throughput (MB/s)]]*IoMetricsFactor)</f>
        <v/>
      </c>
      <c r="J38" s="48" t="str">
        <f>IF(DBSummary[[#This Row],[DB Name]]="","",ROUND(SUMIFS(InstSummary[Est''d Azure vCPUs],InstSummary[DB Name],DBSummary[[#This Row],[DB Name]])+0.5,0))</f>
        <v/>
      </c>
      <c r="K38" s="66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9" spans="2:14" x14ac:dyDescent="0.45">
      <c r="B39" s="38"/>
      <c r="C39" s="86" t="str">
        <f>IF(DBSummary[[#This Row],[DB Name]]="","",SUMIFS(AWRData[DB Time (mins)],AWRData[DB Name],DBSummary[[#This Row],[DB Name]])/SUMIFS(AWRData[Elapsed Time (mins)],AWRData[DB Name],DBSummary[[#This Row],[DB Name]]))</f>
        <v/>
      </c>
      <c r="D39" s="87" t="str">
        <f>IF(DBSummary[[#This Row],[DB Name]]="","",SUMIFS(AWRData[ORA use (GB)],AWRData[DB Name],DBSummary[[#This Row],[DB Name]]))</f>
        <v/>
      </c>
      <c r="E39" s="50" t="str">
        <f>IF(DBSummary[[#This Row],[DB Name]]="","",PeakRAMfactor*DBSummary[[#This Row],[Observed memory (GiB) consumed only by Oracle]])</f>
        <v/>
      </c>
      <c r="F39" s="85" t="str">
        <f>IF(DBSummary[[#This Row],[DB Name]]="","",SUMIFS(AWRData[Total IOPS],AWRData[DB Name],DBSummary[[#This Row],[DB Name]]))</f>
        <v/>
      </c>
      <c r="G39" s="85" t="str">
        <f>IF(DBSummary[[#This Row],[DB Name]]="","",SUMIFS(AWRData[Total Throughput (MB/s)],AWRData[DB Name],DBSummary[[#This Row],[DB Name]]))</f>
        <v/>
      </c>
      <c r="H39" s="74" t="str">
        <f>IF(DBSummary[[#This Row],[DB Name]]="","",DBSummary[[#This Row],[Observed IOPS]]*IoMetricsFactor)</f>
        <v/>
      </c>
      <c r="I39" s="74" t="str">
        <f>IF(DBSummary[[#This Row],[DB Name]]="","",DBSummary[[#This Row],[Observed I/O throughput (MB/s)]]*IoMetricsFactor)</f>
        <v/>
      </c>
      <c r="J39" s="91" t="str">
        <f>IF(DBSummary[[#This Row],[DB Name]]="","",ROUND(SUMIFS(InstSummary[Est''d Azure vCPUs],InstSummary[DB Name],DBSummary[[#This Row],[DB Name]])+0.5,0))</f>
        <v/>
      </c>
      <c r="K39" s="66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40" spans="2:14" s="38" customFormat="1" x14ac:dyDescent="0.45">
      <c r="B40" t="s">
        <v>7</v>
      </c>
      <c r="C40" s="89">
        <f>SUBTOTAL(109,DBSummary[%DB Time of Elapsed Time (aka Avg Active Sessions or "AAS")])</f>
        <v>3.7560500300496944</v>
      </c>
      <c r="D40" s="90">
        <f>SUBTOTAL(109,DBSummary[Observed memory (GiB) consumed only by Oracle])</f>
        <v>151.125</v>
      </c>
      <c r="E40" s="17">
        <f>SUBTOTAL(109,DBSummary[Est''d Azure vRAM for server])</f>
        <v>226.6875</v>
      </c>
      <c r="F40" s="88">
        <f>SUBTOTAL(109,DBSummary[Observed IOPS])</f>
        <v>3370.7700000000004</v>
      </c>
      <c r="G40" s="88">
        <f>SUBTOTAL(109,DBSummary[Observed I/O throughput (MB/s)])</f>
        <v>792.39999999999986</v>
      </c>
      <c r="H40" s="75">
        <f>SUBTOTAL(109,DBSummary[Est''d Azure IOPS for peak load])</f>
        <v>6741.5400000000009</v>
      </c>
      <c r="I40" s="75">
        <f>SUBTOTAL(109,DBSummary[Est''d Azure Throughput (MB/s) for peak load])</f>
        <v>1584.7999999999997</v>
      </c>
      <c r="J40" s="92">
        <f>SUBTOTAL(109,DBSummary[Est''d Azure vCPUs for avg load])</f>
        <v>12</v>
      </c>
      <c r="K40" s="76">
        <f>SUBTOTAL(109,DBSummary[Est''d Azure vCPUs for peak load])</f>
        <v>45</v>
      </c>
    </row>
    <row r="41" spans="2:14" s="38" customFormat="1" x14ac:dyDescent="0.45">
      <c r="C41" s="30"/>
      <c r="D41" s="39"/>
      <c r="E41" s="31"/>
      <c r="F41" s="31"/>
      <c r="G41" s="49"/>
      <c r="H41" s="50"/>
      <c r="I41" s="30"/>
      <c r="J41" s="30"/>
      <c r="K41" s="30"/>
      <c r="L41" s="51"/>
      <c r="M41" s="52"/>
      <c r="N41" s="53"/>
    </row>
    <row r="42" spans="2:14" s="38" customFormat="1" ht="14.65" thickBot="1" x14ac:dyDescent="0.5">
      <c r="C42" s="30"/>
      <c r="D42" s="39"/>
      <c r="E42" s="31"/>
      <c r="F42" s="31"/>
      <c r="G42" s="49"/>
      <c r="H42" s="50"/>
      <c r="I42" s="30"/>
      <c r="J42" s="30"/>
      <c r="K42" s="30"/>
      <c r="L42" s="51"/>
      <c r="M42" s="52"/>
      <c r="N42" s="53"/>
    </row>
    <row r="43" spans="2:14" s="19" customFormat="1" ht="18" x14ac:dyDescent="0.55000000000000004">
      <c r="B43" s="54" t="s">
        <v>12</v>
      </c>
      <c r="C43" s="55"/>
      <c r="D43" s="56"/>
    </row>
    <row r="44" spans="2:14" ht="14.65" thickBot="1" x14ac:dyDescent="0.5">
      <c r="B44" s="41" t="s">
        <v>58</v>
      </c>
      <c r="C44" s="42"/>
      <c r="D44" s="42"/>
      <c r="F44" s="45"/>
      <c r="G44" s="46" t="s">
        <v>46</v>
      </c>
      <c r="H44" s="46"/>
      <c r="I44" s="47"/>
    </row>
    <row r="45" spans="2:14" x14ac:dyDescent="0.45">
      <c r="B45" s="97" t="s">
        <v>14</v>
      </c>
      <c r="C45" s="98"/>
      <c r="D45" s="29" t="s">
        <v>24</v>
      </c>
      <c r="E45" s="29" t="s">
        <v>13</v>
      </c>
      <c r="F45" s="44" t="s">
        <v>53</v>
      </c>
      <c r="G45" s="44" t="s">
        <v>55</v>
      </c>
      <c r="H45" s="44" t="s">
        <v>26</v>
      </c>
      <c r="I45" s="44" t="s">
        <v>27</v>
      </c>
    </row>
    <row r="46" spans="2:14" x14ac:dyDescent="0.45">
      <c r="B46" s="99" t="s">
        <v>59</v>
      </c>
      <c r="C46" s="102" t="s">
        <v>67</v>
      </c>
      <c r="D46" s="28" t="s">
        <v>51</v>
      </c>
      <c r="E46" s="28" t="s">
        <v>52</v>
      </c>
      <c r="F46" s="100" t="s">
        <v>54</v>
      </c>
      <c r="G46" s="105">
        <v>1963.7</v>
      </c>
      <c r="H46" s="43">
        <v>1194.0682999999999</v>
      </c>
      <c r="I46" s="43">
        <v>797.78779999999995</v>
      </c>
    </row>
    <row r="47" spans="2:14" x14ac:dyDescent="0.45">
      <c r="B47" s="99" t="s">
        <v>59</v>
      </c>
      <c r="C47" s="102" t="s">
        <v>69</v>
      </c>
      <c r="D47" s="28" t="s">
        <v>66</v>
      </c>
      <c r="E47" s="28" t="s">
        <v>70</v>
      </c>
      <c r="F47" s="100" t="s">
        <v>71</v>
      </c>
      <c r="G47" s="105">
        <v>2649.17</v>
      </c>
      <c r="H47" s="43">
        <v>1721.7488000000001</v>
      </c>
      <c r="I47" s="43">
        <v>1101.0006000000001</v>
      </c>
    </row>
    <row r="48" spans="2:14" x14ac:dyDescent="0.45">
      <c r="B48" s="99" t="s">
        <v>59</v>
      </c>
      <c r="C48" s="102" t="s">
        <v>68</v>
      </c>
      <c r="D48" s="28" t="s">
        <v>47</v>
      </c>
      <c r="E48" s="28" t="s">
        <v>48</v>
      </c>
      <c r="F48" s="100" t="s">
        <v>57</v>
      </c>
      <c r="G48" s="105">
        <v>6910.91</v>
      </c>
      <c r="H48" s="43">
        <v>4003.9843000000001</v>
      </c>
      <c r="I48" s="43">
        <v>1996.5938000000001</v>
      </c>
    </row>
    <row r="49" spans="2:9" x14ac:dyDescent="0.45">
      <c r="D49" t="s">
        <v>25</v>
      </c>
    </row>
    <row r="50" spans="2:9" x14ac:dyDescent="0.45">
      <c r="D50" s="101" t="s">
        <v>56</v>
      </c>
    </row>
    <row r="53" spans="2:9" ht="14.65" thickBot="1" x14ac:dyDescent="0.5">
      <c r="B53" s="41" t="s">
        <v>78</v>
      </c>
      <c r="C53" s="42"/>
      <c r="D53" s="42"/>
      <c r="G53" s="106"/>
      <c r="H53" s="46" t="s">
        <v>79</v>
      </c>
      <c r="I53" s="107" t="s">
        <v>80</v>
      </c>
    </row>
    <row r="54" spans="2:9" x14ac:dyDescent="0.45">
      <c r="B54" s="97" t="s">
        <v>81</v>
      </c>
      <c r="C54" s="98"/>
      <c r="D54" s="108" t="s">
        <v>82</v>
      </c>
      <c r="E54" s="29" t="s">
        <v>83</v>
      </c>
      <c r="F54" s="29" t="s">
        <v>84</v>
      </c>
      <c r="G54" s="109" t="s">
        <v>85</v>
      </c>
      <c r="H54" s="110" t="s">
        <v>86</v>
      </c>
      <c r="I54" s="109" t="s">
        <v>26</v>
      </c>
    </row>
    <row r="55" spans="2:9" x14ac:dyDescent="0.45">
      <c r="B55" s="99" t="s">
        <v>92</v>
      </c>
      <c r="C55" s="102"/>
      <c r="D55" s="111" t="s">
        <v>87</v>
      </c>
      <c r="E55" s="28" t="s">
        <v>88</v>
      </c>
      <c r="F55" s="28" t="s">
        <v>89</v>
      </c>
      <c r="G55" s="112" t="s">
        <v>90</v>
      </c>
      <c r="H55" s="113">
        <v>135.16999999999999</v>
      </c>
      <c r="I55" s="114">
        <v>128.41669999999999</v>
      </c>
    </row>
    <row r="56" spans="2:9" x14ac:dyDescent="0.45">
      <c r="D56" t="s">
        <v>91</v>
      </c>
    </row>
  </sheetData>
  <sheetProtection algorithmName="SHA-512" hashValue="XhsdoFZ4vUxSGEmPs4aWF038hWdz3P5WxbuqJm4sRdTYUiuF+ITVYcP4GhlCp+xVtPKJ5ouAr8uBlfHw7N8KBA==" saltValue="0IcC592HFu+IOYXhu/KJqw==" spinCount="100000" sheet="1" objects="1" scenarios="1"/>
  <phoneticPr fontId="2" type="noConversion"/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k Y 4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z k Y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G O F A o i k e 4 D g A A A B E A A A A T A B w A R m 9 y b X V s Y X M v U 2 V j d G l v b j E u b S C i G A A o o B Q A A A A A A A A A A A A A A A A A A A A A A A A A A A A r T k 0 u y c z P U w i G 0 I b W A F B L A Q I t A B Q A A g A I A M 5 G O F C B 2 R a u p w A A A P g A A A A S A A A A A A A A A A A A A A A A A A A A A A B D b 2 5 m a W c v U G F j a 2 F n Z S 5 4 b W x Q S w E C L Q A U A A I A C A D O R j h Q D 8 r p q 6 Q A A A D p A A A A E w A A A A A A A A A A A A A A A A D z A A A A W 0 N v b n R l b n R f V H l w Z X N d L n h t b F B L A Q I t A B Q A A g A I A M 5 G O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c C 5 t e a y n T 4 n f n n 3 e L 9 g n A A A A A A I A A A A A A B B m A A A A A Q A A I A A A A K Q 7 7 y 7 l y t 9 L L e 3 G P / t 3 P F 4 2 j X x x W 1 w x o 3 F J H a L P E X H b A A A A A A 6 A A A A A A g A A I A A A A A 4 F b o L H y d 7 f n E P 7 E c m + V t E V 1 G Z + K m c h 9 O l Q x A z 9 E P M T U A A A A H R I 9 D 4 D I + G + Q b U f 6 m e R 8 1 J J O w H r r K C X i l z n E D 0 8 F Q o e f Y C J j 2 n m p 8 6 1 J V 4 M R c L + Q u u 5 s 0 e A 8 o Y B H y x m L e y 7 k j a B j r r R b Y q z P r H W 8 N t j 8 f C L Q A A A A J G W f c v N 9 J n X U d Q V B U + J l V S 5 w w C 9 I i q g k n / y D M R a G b 8 x / 3 U J 8 O M O Y / A 2 Q E B K H b d P O e y X 5 U C b R D 9 j J 1 f 1 z L 2 b C m I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709bd4f9-040f-4cca-82ee-85e01badb8b3" xsi:nil="true"/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66490EF29A8047ADC3474B21C0D5D2" ma:contentTypeVersion="16" ma:contentTypeDescription="Create a new document." ma:contentTypeScope="" ma:versionID="b1ba9ada44db26285f25ae59fe6753d3">
  <xsd:schema xmlns:xsd="http://www.w3.org/2001/XMLSchema" xmlns:xs="http://www.w3.org/2001/XMLSchema" xmlns:p="http://schemas.microsoft.com/office/2006/metadata/properties" xmlns:ns1="http://schemas.microsoft.com/sharepoint/v3" xmlns:ns2="709bd4f9-040f-4cca-82ee-85e01badb8b3" xmlns:ns3="83981cbb-c48d-49a8-924d-c522c711d780" targetNamespace="http://schemas.microsoft.com/office/2006/metadata/properties" ma:root="true" ma:fieldsID="56a803f29a92f7465b533ec2296193fd" ns1:_="" ns2:_="" ns3:_="">
    <xsd:import namespace="http://schemas.microsoft.com/sharepoint/v3"/>
    <xsd:import namespace="709bd4f9-040f-4cca-82ee-85e01badb8b3"/>
    <xsd:import namespace="83981cbb-c48d-49a8-924d-c522c711d7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bd4f9-040f-4cca-82ee-85e01badb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81cbb-c48d-49a8-924d-c522c711d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52EF7B-3670-4E03-878B-51C8ACBF2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732D79-BF18-4F6E-BC47-1A6C6745ED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30638A-4889-4E15-9F6E-ED97FA1166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09bd4f9-040f-4cca-82ee-85e01badb8b3"/>
  </ds:schemaRefs>
</ds:datastoreItem>
</file>

<file path=customXml/itemProps4.xml><?xml version="1.0" encoding="utf-8"?>
<ds:datastoreItem xmlns:ds="http://schemas.openxmlformats.org/officeDocument/2006/customXml" ds:itemID="{0E063D0E-B104-4273-A903-1BD29421A6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9bd4f9-040f-4cca-82ee-85e01badb8b3"/>
    <ds:schemaRef ds:uri="83981cbb-c48d-49a8-924d-c522c711d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AWR</vt:lpstr>
      <vt:lpstr>Calculations</vt:lpstr>
      <vt:lpstr>BusyCPUfactor</vt:lpstr>
      <vt:lpstr>BusyCPUmultiplier</vt:lpstr>
      <vt:lpstr>HighCpuThreshold</vt:lpstr>
      <vt:lpstr>IoMetricsFactor</vt:lpstr>
      <vt:lpstr>AWR!PeakCPUfactor</vt:lpstr>
      <vt:lpstr>PeakCpuFactor</vt:lpstr>
      <vt:lpstr>AWR!PeakRAMfactor</vt:lpstr>
      <vt:lpstr>PeakRAMfactor</vt:lpstr>
      <vt:lpstr>vCPUHTFactor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Gorman</dc:creator>
  <cp:keywords/>
  <dc:description/>
  <cp:lastModifiedBy>Timothy Gorman</cp:lastModifiedBy>
  <cp:revision/>
  <dcterms:created xsi:type="dcterms:W3CDTF">2020-01-17T18:08:18Z</dcterms:created>
  <dcterms:modified xsi:type="dcterms:W3CDTF">2020-06-12T18:27:21Z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2020-01-17T18:08:19Z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6a007b27-0aa1-42be-8cfa-00007f045610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0x010100EF66490EF29A8047ADC3474B21C0D5D2</vt:lpwstr>
  </property>
</Properties>
</file>