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igorman_microsoft_com/Documents/Documents/Oracle/"/>
    </mc:Choice>
  </mc:AlternateContent>
  <xr:revisionPtr revIDLastSave="386" documentId="8_{5BF08A48-D974-4BFD-A508-711073BE28EC}" xr6:coauthVersionLast="47" xr6:coauthVersionMax="47" xr10:uidLastSave="{8881EC98-94EB-47C7-BFC3-2F03AB723A89}"/>
  <bookViews>
    <workbookView xWindow="1815" yWindow="1605" windowWidth="21600" windowHeight="13080" activeTab="2" xr2:uid="{B5A66F4D-52B7-4754-9584-EB2C94538BF5}"/>
  </bookViews>
  <sheets>
    <sheet name="AWR" sheetId="2" r:id="rId1"/>
    <sheet name="Calculations" sheetId="1" r:id="rId2"/>
    <sheet name="Recommendations" sheetId="3" r:id="rId3"/>
  </sheets>
  <definedNames>
    <definedName name="BusyCPUfactor">AWR!$F$22</definedName>
    <definedName name="BusyCPUmultiplier">AWR!$F$23</definedName>
    <definedName name="HighCpuThreshold">AWR!$F$22</definedName>
    <definedName name="IoMetricsFactor">AWR!$F$20</definedName>
    <definedName name="PeakCPUfactor" localSheetId="0">AWR!$F$18</definedName>
    <definedName name="PeakCpuFactor">AWR!$F$18</definedName>
    <definedName name="PeakRAMfactor" localSheetId="0">AWR!$F$19</definedName>
    <definedName name="PeakRAMfactor">AWR!$F$19</definedName>
    <definedName name="vCPUHTFactor">AWR!$F$21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E3" i="3"/>
  <c r="D27" i="1"/>
  <c r="E27" i="1"/>
  <c r="F27" i="1"/>
  <c r="G27" i="1"/>
  <c r="H27" i="1"/>
  <c r="D26" i="1"/>
  <c r="E26" i="1"/>
  <c r="F26" i="1"/>
  <c r="G26" i="1"/>
  <c r="H26" i="1"/>
  <c r="D25" i="1"/>
  <c r="E25" i="1"/>
  <c r="F25" i="1"/>
  <c r="G25" i="1"/>
  <c r="H25" i="1"/>
  <c r="D24" i="1"/>
  <c r="E24" i="1"/>
  <c r="F24" i="1"/>
  <c r="G24" i="1"/>
  <c r="H24" i="1"/>
  <c r="D15" i="1"/>
  <c r="E15" i="1"/>
  <c r="F15" i="1"/>
  <c r="G15" i="1"/>
  <c r="H15" i="1"/>
  <c r="D14" i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R14" i="2"/>
  <c r="S14" i="2"/>
  <c r="T14" i="2"/>
  <c r="U14" i="2"/>
  <c r="V14" i="2"/>
  <c r="W14" i="2"/>
  <c r="R13" i="2"/>
  <c r="S13" i="2"/>
  <c r="T13" i="2"/>
  <c r="U13" i="2"/>
  <c r="V13" i="2"/>
  <c r="W13" i="2"/>
  <c r="E7" i="3"/>
  <c r="H3" i="3"/>
  <c r="W8" i="2"/>
  <c r="W9" i="2"/>
  <c r="W10" i="2"/>
  <c r="W11" i="2"/>
  <c r="W12" i="2"/>
  <c r="W15" i="2"/>
  <c r="D20" i="1"/>
  <c r="H20" i="1" s="1"/>
  <c r="D21" i="1"/>
  <c r="H21" i="1" s="1"/>
  <c r="D22" i="1"/>
  <c r="H22" i="1" s="1"/>
  <c r="D23" i="1"/>
  <c r="H23" i="1" s="1"/>
  <c r="T8" i="2"/>
  <c r="T9" i="2"/>
  <c r="T10" i="2"/>
  <c r="T11" i="2"/>
  <c r="T12" i="2"/>
  <c r="T15" i="2"/>
  <c r="J3" i="3" l="1"/>
  <c r="G7" i="3"/>
  <c r="F7" i="3"/>
  <c r="I7" i="3" l="1"/>
  <c r="H7" i="3"/>
  <c r="C32" i="1" l="1"/>
  <c r="C33" i="1"/>
  <c r="C34" i="1"/>
  <c r="C35" i="1"/>
  <c r="D35" i="1"/>
  <c r="E35" i="1" s="1"/>
  <c r="V15" i="2"/>
  <c r="U15" i="2"/>
  <c r="S15" i="2"/>
  <c r="R15" i="2"/>
  <c r="V12" i="2"/>
  <c r="U12" i="2"/>
  <c r="S12" i="2"/>
  <c r="R12" i="2"/>
  <c r="V11" i="2"/>
  <c r="U11" i="2"/>
  <c r="S11" i="2"/>
  <c r="F35" i="1" s="1"/>
  <c r="H35" i="1" s="1"/>
  <c r="R11" i="2"/>
  <c r="G35" i="1" s="1"/>
  <c r="I35" i="1" s="1"/>
  <c r="V10" i="2"/>
  <c r="D34" i="1" s="1"/>
  <c r="E34" i="1" s="1"/>
  <c r="U10" i="2"/>
  <c r="S10" i="2"/>
  <c r="F34" i="1" s="1"/>
  <c r="H34" i="1" s="1"/>
  <c r="R10" i="2"/>
  <c r="G34" i="1" s="1"/>
  <c r="I34" i="1" s="1"/>
  <c r="V9" i="2"/>
  <c r="D33" i="1" s="1"/>
  <c r="E33" i="1" s="1"/>
  <c r="U9" i="2"/>
  <c r="S9" i="2"/>
  <c r="F33" i="1" s="1"/>
  <c r="H33" i="1" s="1"/>
  <c r="R9" i="2"/>
  <c r="G33" i="1" s="1"/>
  <c r="I33" i="1" s="1"/>
  <c r="V8" i="2"/>
  <c r="D32" i="1" s="1"/>
  <c r="E32" i="1" s="1"/>
  <c r="U8" i="2"/>
  <c r="S8" i="2"/>
  <c r="F32" i="1" s="1"/>
  <c r="H32" i="1" s="1"/>
  <c r="R8" i="2"/>
  <c r="G32" i="1" l="1"/>
  <c r="I32" i="1" s="1"/>
  <c r="G20" i="1"/>
  <c r="F22" i="1"/>
  <c r="F23" i="1"/>
  <c r="G22" i="1"/>
  <c r="G23" i="1"/>
  <c r="G8" i="1"/>
  <c r="G9" i="1"/>
  <c r="G11" i="1"/>
  <c r="G10" i="1" l="1"/>
  <c r="G16" i="1" s="1"/>
  <c r="G21" i="1"/>
  <c r="G36" i="1"/>
  <c r="I36" i="1"/>
  <c r="G28" i="1" l="1"/>
  <c r="F21" i="1"/>
  <c r="D9" i="1"/>
  <c r="H9" i="1" s="1"/>
  <c r="E9" i="1"/>
  <c r="F9" i="1"/>
  <c r="D10" i="1"/>
  <c r="H10" i="1" s="1"/>
  <c r="J34" i="1" s="1"/>
  <c r="K34" i="1" s="1"/>
  <c r="E10" i="1"/>
  <c r="F10" i="1"/>
  <c r="F11" i="1" l="1"/>
  <c r="E11" i="1"/>
  <c r="D11" i="1"/>
  <c r="H11" i="1" s="1"/>
  <c r="J35" i="1" s="1"/>
  <c r="K35" i="1" s="1"/>
  <c r="E21" i="1"/>
  <c r="E22" i="1"/>
  <c r="E23" i="1"/>
  <c r="D8" i="1"/>
  <c r="J33" i="1" l="1"/>
  <c r="K33" i="1" s="1"/>
  <c r="H28" i="1"/>
  <c r="H8" i="1"/>
  <c r="J32" i="1" s="1"/>
  <c r="K32" i="1" s="1"/>
  <c r="H36" i="1"/>
  <c r="F8" i="1"/>
  <c r="F20" i="1"/>
  <c r="F28" i="1" s="1"/>
  <c r="E8" i="1"/>
  <c r="E20" i="1"/>
  <c r="D36" i="1"/>
  <c r="F16" i="1" l="1"/>
  <c r="D16" i="1" l="1"/>
  <c r="E16" i="1"/>
  <c r="H16" i="1" l="1"/>
  <c r="E36" i="1" l="1"/>
  <c r="K36" i="1"/>
  <c r="D28" i="1" l="1"/>
  <c r="C36" i="1"/>
  <c r="E28" i="1"/>
  <c r="J36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7" authorId="0" shapeId="0" xr:uid="{56A208CC-F090-4244-A22D-D14CEC187070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C7" authorId="0" shapeId="0" xr:uid="{C9815722-1148-45F6-BFEF-819A3A9157C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D7" authorId="0" shapeId="0" xr:uid="{C1B73952-AB3A-45D0-8F3D-171B92CF44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E7" authorId="0" shapeId="0" xr:uid="{2F866C56-2DF9-4F7D-A28B-D86A3B4F708D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F7" authorId="0" shapeId="0" xr:uid="{187E827A-E0F9-4D33-8A52-BD9E495A4EEA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G7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"Time Model Statistics" section, statistic named "DB CPU", near top of AWR report</t>
        </r>
      </text>
    </comment>
    <comment ref="H7" authorId="0" shapeId="0" xr:uid="{F153907A-CCC9-4558-837C-D0EA52C98B0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I7" authorId="0" shapeId="0" xr:uid="{D7ECFD29-03B9-4BC0-BC0E-0D346F569E45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J7" authorId="0" shapeId="0" xr:uid="{282237EF-3A8B-455F-807A-01CB607C78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K7" authorId="0" shapeId="0" xr:uid="{FE210763-BA3D-487A-B5CE-EE8E7ADCC337}">
      <text>
        <r>
          <rPr>
            <b/>
            <sz val="9"/>
            <color indexed="81"/>
            <rFont val="Tahoma"/>
            <family val="2"/>
          </rPr>
          <t>Copied from "Instance CPU" section of AWR report</t>
        </r>
      </text>
    </comment>
    <comment ref="L7" authorId="0" shapeId="0" xr:uid="{A38CA77A-6314-4E8E-A582-BDE5DC1D13A5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M7" authorId="0" shapeId="0" xr:uid="{216063AB-2C8E-427D-BA6B-658FE2CEF262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N7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7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7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7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18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19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0" authorId="0" shapeId="0" xr:uid="{622297FB-C5C4-472F-A57D-A14094C20285}">
      <text>
        <r>
          <rPr>
            <b/>
            <sz val="9"/>
            <color indexed="81"/>
            <rFont val="Tahoma"/>
            <family val="2"/>
          </rPr>
          <t>Rationale is that observed AWR readings are "average" and this multiplier is for "peak" readings</t>
        </r>
      </text>
    </comment>
    <comment ref="D21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2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3" authorId="0" shapeId="0" xr:uid="{D7427406-F23F-4D5F-80D5-ED4D30FD5BE5}">
      <text>
        <r>
          <rPr>
            <b/>
            <sz val="9"/>
            <color indexed="81"/>
            <rFont val="Tahoma"/>
            <family val="2"/>
          </rPr>
          <t>If "%busy CPU" is higher than threshold, use this multiplier when calculating Azure vCPUs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7" authorId="0" shapeId="0" xr:uid="{6BAA05F8-624D-4588-8522-CC11285F9D5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</commentList>
</comments>
</file>

<file path=xl/sharedStrings.xml><?xml version="1.0" encoding="utf-8"?>
<sst xmlns="http://schemas.openxmlformats.org/spreadsheetml/2006/main" count="180" uniqueCount="145">
  <si>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</si>
  <si>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</si>
  <si>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</si>
  <si>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</si>
  <si>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</si>
  <si>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</si>
  <si>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</si>
  <si>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</si>
  <si>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</si>
  <si>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</si>
  <si>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Elapsed Time (mins)</t>
  </si>
  <si>
    <t>DB Time (mins)</t>
  </si>
  <si>
    <t>Memory (GB)</t>
  </si>
  <si>
    <t>CPUs</t>
  </si>
  <si>
    <t>Cores</t>
  </si>
  <si>
    <t>AWR detail collected by database instance</t>
  </si>
  <si>
    <t>%busy CPU</t>
  </si>
  <si>
    <t>SGA use (MB)</t>
  </si>
  <si>
    <t>PGA use (MB)</t>
  </si>
  <si>
    <t>DB CPU (s)</t>
  </si>
  <si>
    <t>CPU total capacity (s)</t>
  </si>
  <si>
    <t>ORA use (GB)</t>
  </si>
  <si>
    <t>source 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</si>
  <si>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</si>
  <si>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</si>
  <si>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</si>
  <si>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</si>
  <si>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</si>
  <si>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</si>
  <si>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</si>
  <si>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</si>
  <si>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</si>
  <si>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</si>
  <si>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Est'd Azure vRAM for server</t>
  </si>
  <si>
    <t>Observed memory use (GB)</t>
  </si>
  <si>
    <t>Observed IOPS</t>
  </si>
  <si>
    <t>Observed Throughput (MB/s)</t>
  </si>
  <si>
    <t>%DB Time of Elapsed Time (aka Avg Active Sessions or "AAS")</t>
  </si>
  <si>
    <t>Observed memory (GiB) consumed only by Oracle</t>
  </si>
  <si>
    <t>Observed I/O throughput (MB/s)</t>
  </si>
  <si>
    <t>This worksheet should be password-protected when shared to prevent inadvertent erasure of formulas</t>
  </si>
  <si>
    <t>Calculated detail by database instance from AWR information</t>
  </si>
  <si>
    <t>Aggregated calculations by host from AWR information</t>
  </si>
  <si>
    <t>Aggregated calculations by database from AWR information</t>
  </si>
  <si>
    <t>Please enter specific information from the AWR report on this worksheet.</t>
  </si>
  <si>
    <t>Hint: please mouse-over column headers to view notes suggesting where to find metrics in AWR report</t>
  </si>
  <si>
    <t>Est'd size in 1 year based on incremental backup growth (GiB)</t>
  </si>
  <si>
    <t>Compute: VM type</t>
  </si>
  <si>
    <t>OsDisk: type</t>
  </si>
  <si>
    <t>OsDisk (GIB)</t>
  </si>
  <si>
    <t>P10</t>
  </si>
  <si>
    <t>Oracle licensable cores from recommended Azure infrastructure</t>
  </si>
  <si>
    <t>Assumed Oracle license discount</t>
  </si>
  <si>
    <t>Reference data scraped from Azure documentation pages</t>
  </si>
  <si>
    <t>Eds_v4 series - specs at "https://docs.microsoft.com/en-us/azure/virtual-machines/edv4-edsv4-series", pricing at "https://azure.microsoft.com/en-us/pricing/details/virtual-machines/linux/")</t>
  </si>
  <si>
    <t>Size</t>
  </si>
  <si>
    <t>vCPU</t>
  </si>
  <si>
    <t>Memory: GiB</t>
  </si>
  <si>
    <t>Temp storage (SSD) GiB</t>
  </si>
  <si>
    <t>Max data disks</t>
  </si>
  <si>
    <t>Max cached and temp storage throughput: IOPS / MBps (cache size in GiB)</t>
  </si>
  <si>
    <t>Max uncached disk throughput: IOPS / MBps</t>
  </si>
  <si>
    <t>Max NICs</t>
  </si>
  <si>
    <t>Expected network bandwidth (Mbps)</t>
  </si>
  <si>
    <t>Pay As You Go (PAYG)</t>
  </si>
  <si>
    <t>1 year reserved</t>
  </si>
  <si>
    <t>3 year reserved</t>
  </si>
  <si>
    <t xml:space="preserve">Premium SSD managed disk pricing ("https://azure.microsoft.com/en-us/pricing/details/managed-disks/") </t>
  </si>
  <si>
    <t>Premium SSD managed disk</t>
  </si>
  <si>
    <t>size (GiB)</t>
  </si>
  <si>
    <t>PAYG monthly</t>
  </si>
  <si>
    <t>1-year reserved monthly</t>
  </si>
  <si>
    <t>IOPS (provisioned)</t>
  </si>
  <si>
    <t>IOPS (burst)</t>
  </si>
  <si>
    <t>Throughput MB/s (provisioned)</t>
  </si>
  <si>
    <t>Throughput MB/s (burst)</t>
  </si>
  <si>
    <t>Standard "hot" block blob storage per GIB per month</t>
  </si>
  <si>
    <t>Azure Backup per 500 GiB increment per month</t>
  </si>
  <si>
    <t>Azure Backup storage cost per GiB per month</t>
  </si>
  <si>
    <t>Oracle Enterprise Edition processor core license (list price)</t>
  </si>
  <si>
    <t>Oracle Enterprise Manager Diagnostic and Tuning Pack processor core license (list price)</t>
  </si>
  <si>
    <t>Oracle Active Data Guard processor core license (list price)</t>
  </si>
  <si>
    <t>Documentation links</t>
  </si>
  <si>
    <t>URL</t>
  </si>
  <si>
    <t>Azure VM limits</t>
  </si>
  <si>
    <t>https://docs.microsoft.com/en-us/azure/virtual-machines/sizes-memory</t>
  </si>
  <si>
    <t>Azure VM pricing</t>
  </si>
  <si>
    <t>https://azure.microsoft.com/en-us/pricing/details/virtual-machines/linux/</t>
  </si>
  <si>
    <t>https://azure.microsoft.com/en-us/pricing/details/managed-disks/</t>
  </si>
  <si>
    <t>Azure Blob NFS pricing:</t>
  </si>
  <si>
    <t>https://azure.microsoft.com/en-us/pricing/details/storage/blobs/</t>
  </si>
  <si>
    <t>Azure Backup pricing:</t>
  </si>
  <si>
    <t>https://azure.microsoft.com/en-us/pricing/details/backup/</t>
  </si>
  <si>
    <t>Oracle global price list:</t>
  </si>
  <si>
    <t>https://www.oracle.com/assets/technology-price-list-070617.pdf</t>
  </si>
  <si>
    <t>One-time-only Oracle license cost (applying assumed discount)</t>
  </si>
  <si>
    <t>Annual (non-discounted) Oracle Support costs</t>
  </si>
  <si>
    <t>Average Active Sessions</t>
  </si>
  <si>
    <t>Database Names</t>
  </si>
  <si>
    <t>308000 / 1936</t>
  </si>
  <si>
    <t>Recommended configuration of Azure infrastructure (compute and storage)</t>
  </si>
  <si>
    <t>Estimated TCO for recommended Azure infrastructure with Oracle licensing/support costs</t>
  </si>
  <si>
    <t>193000 / 1211</t>
  </si>
  <si>
    <t>Azure only, per year</t>
  </si>
  <si>
    <t>Azure plus Oracle licenses plus Oracle support fees, 1st year</t>
  </si>
  <si>
    <t>Azure plus Oracle Support fees only, 2nd year and beyond</t>
  </si>
  <si>
    <t>Standard_M192is_v2</t>
  </si>
  <si>
    <t>80000 / 2000</t>
  </si>
  <si>
    <t>Throughput (MiB/s)</t>
  </si>
  <si>
    <t>Capacity Pool Size (TiB)</t>
  </si>
  <si>
    <t>Capacity Pool Cost (USD/month)</t>
  </si>
  <si>
    <t>Azure NetApp Files</t>
  </si>
  <si>
    <r>
      <t xml:space="preserve">Premium </t>
    </r>
    <r>
      <rPr>
        <b/>
        <sz val="8"/>
        <color theme="1"/>
        <rFont val="Calibri"/>
        <family val="2"/>
        <scheme val="minor"/>
      </rPr>
      <t>(64 MiB/s per TiB)</t>
    </r>
  </si>
  <si>
    <r>
      <t>Ultra</t>
    </r>
    <r>
      <rPr>
        <b/>
        <sz val="8"/>
        <color theme="1"/>
        <rFont val="Calibri"/>
        <family val="2"/>
        <scheme val="minor"/>
      </rPr>
      <t xml:space="preserve"> (128 MiB/s per TiB)</t>
    </r>
  </si>
  <si>
    <t>Azure NetApp Files Ultra service-tier: monthly</t>
  </si>
  <si>
    <t>Compute: PAYG pricing monthly</t>
  </si>
  <si>
    <t>OsDisk: PAYG pricing monthly</t>
  </si>
  <si>
    <t>40000 / 1000</t>
  </si>
  <si>
    <t>Standard_M208s_v2</t>
  </si>
  <si>
    <t>80000 / 800</t>
  </si>
  <si>
    <t>Note: pricing and availability assumes SouthCentralUS region</t>
  </si>
  <si>
    <t>Standard_M128s_v2</t>
  </si>
  <si>
    <t>Azure NetApp Files calculator</t>
  </si>
  <si>
    <t>https://anftechteam.github.io/calc/</t>
  </si>
  <si>
    <t>Azure managed disk pricing</t>
  </si>
  <si>
    <t>Azure total cost: monthly</t>
  </si>
  <si>
    <t>EXAMPLE</t>
  </si>
  <si>
    <t>example1</t>
  </si>
  <si>
    <t>example2</t>
  </si>
  <si>
    <t>example3</t>
  </si>
  <si>
    <t>example4</t>
  </si>
  <si>
    <t>dbserver1</t>
  </si>
  <si>
    <t>dbserver2</t>
  </si>
  <si>
    <t>dbserver3</t>
  </si>
  <si>
    <t>dbserver4</t>
  </si>
  <si>
    <t>Est'd Peak CPU factor</t>
  </si>
  <si>
    <t>Est'd Peak RAM factor</t>
  </si>
  <si>
    <t>Est'd Peak I/O factor</t>
  </si>
  <si>
    <t>%Busy CPU-thrashing threshold</t>
  </si>
  <si>
    <t>%Busy CPU-thrashing multiplier</t>
  </si>
  <si>
    <t>vCPU HT multiplier</t>
  </si>
  <si>
    <t>Name of "fudge factor" adjustable</t>
  </si>
  <si>
    <t>Setting</t>
  </si>
  <si>
    <t>Default value</t>
  </si>
  <si>
    <t>Please do not change the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</si>
</sst>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%"/>
    <numFmt numFmtId="165" formatCode="_-* #,##0_-;\-* #,##0_-;_-* &quot;-&quot;??_-;_-@_-"/>
    <numFmt numFmtId="166" formatCode="&quot;$&quot;#,##0.0000"/>
    <numFmt numFmtId="167" formatCode="&quot;$&quot;#,##0.00"/>
    <numFmt numFmtId="168" formatCode="[$$-1009]#,##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4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4"/>
      <name val="Calibri"/>
      <family val="2"/>
      <scheme val="minor"/>
    </font>
    <font>
      <i/>
      <u/>
      <sz val="10"/>
      <color theme="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10" fillId="2" borderId="0" xfId="0" applyFont="1" applyFill="1" applyAlignment="1">
      <alignment horizontal="left" vertical="top" wrapText="1"/>
    </xf>
    <xf numFmtId="3" fontId="11" fillId="0" borderId="0" xfId="0" applyNumberFormat="1" applyFont="1"/>
    <xf numFmtId="3" fontId="11" fillId="2" borderId="0" xfId="0" applyNumberFormat="1" applyFont="1" applyFill="1"/>
    <xf numFmtId="0" fontId="8" fillId="0" borderId="0" xfId="0" applyFont="1"/>
    <xf numFmtId="0" fontId="12" fillId="0" borderId="0" xfId="0" applyFont="1"/>
    <xf numFmtId="4" fontId="8" fillId="0" borderId="0" xfId="0" applyNumberFormat="1" applyFont="1"/>
    <xf numFmtId="164" fontId="12" fillId="0" borderId="0" xfId="0" applyNumberFormat="1" applyFont="1"/>
    <xf numFmtId="0" fontId="8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3" fillId="0" borderId="0" xfId="0" applyNumberFormat="1" applyFont="1" applyFill="1"/>
    <xf numFmtId="3" fontId="13" fillId="0" borderId="0" xfId="0" applyNumberFormat="1" applyFont="1" applyFill="1"/>
    <xf numFmtId="164" fontId="13" fillId="0" borderId="0" xfId="0" applyNumberFormat="1" applyFont="1" applyFill="1"/>
    <xf numFmtId="165" fontId="13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1" fontId="14" fillId="0" borderId="0" xfId="0" applyNumberFormat="1" applyFont="1"/>
    <xf numFmtId="3" fontId="3" fillId="0" borderId="0" xfId="0" applyNumberFormat="1" applyFont="1" applyFill="1"/>
    <xf numFmtId="3" fontId="11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0" fillId="0" borderId="0" xfId="0" applyFont="1" applyAlignment="1">
      <alignment horizontal="right" wrapText="1"/>
    </xf>
    <xf numFmtId="3" fontId="14" fillId="0" borderId="0" xfId="0" applyNumberFormat="1" applyFont="1" applyAlignment="1">
      <alignment horizontal="right" vertical="top"/>
    </xf>
    <xf numFmtId="4" fontId="14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right" vertical="top"/>
    </xf>
    <xf numFmtId="1" fontId="11" fillId="0" borderId="0" xfId="0" applyNumberFormat="1" applyFont="1"/>
    <xf numFmtId="10" fontId="13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5" fillId="0" borderId="0" xfId="0" applyFont="1"/>
    <xf numFmtId="0" fontId="16" fillId="0" borderId="0" xfId="0" applyFont="1" applyAlignment="1">
      <alignment horizontal="left" vertical="top" wrapText="1"/>
    </xf>
    <xf numFmtId="0" fontId="17" fillId="0" borderId="0" xfId="0" applyFont="1"/>
    <xf numFmtId="0" fontId="18" fillId="2" borderId="0" xfId="0" applyFont="1" applyFill="1" applyAlignment="1">
      <alignment horizontal="left" vertical="top" wrapText="1"/>
    </xf>
    <xf numFmtId="4" fontId="11" fillId="0" borderId="0" xfId="0" applyNumberFormat="1" applyFont="1"/>
    <xf numFmtId="4" fontId="11" fillId="2" borderId="0" xfId="0" applyNumberFormat="1" applyFont="1" applyFill="1"/>
    <xf numFmtId="1" fontId="11" fillId="2" borderId="0" xfId="0" applyNumberFormat="1" applyFont="1" applyFill="1"/>
    <xf numFmtId="0" fontId="18" fillId="2" borderId="0" xfId="0" applyFont="1" applyFill="1" applyAlignment="1">
      <alignment horizontal="right" vertical="top" wrapText="1"/>
    </xf>
    <xf numFmtId="164" fontId="14" fillId="0" borderId="0" xfId="0" applyNumberFormat="1" applyFont="1"/>
    <xf numFmtId="2" fontId="14" fillId="0" borderId="0" xfId="0" applyNumberFormat="1" applyFont="1"/>
    <xf numFmtId="164" fontId="14" fillId="2" borderId="0" xfId="0" applyNumberFormat="1" applyFont="1" applyFill="1"/>
    <xf numFmtId="2" fontId="14" fillId="2" borderId="0" xfId="0" applyNumberFormat="1" applyFont="1" applyFill="1"/>
    <xf numFmtId="4" fontId="14" fillId="0" borderId="0" xfId="0" applyNumberFormat="1" applyFont="1"/>
    <xf numFmtId="3" fontId="14" fillId="0" borderId="0" xfId="0" applyNumberFormat="1" applyFont="1"/>
    <xf numFmtId="4" fontId="14" fillId="2" borderId="0" xfId="0" applyNumberFormat="1" applyFont="1" applyFill="1"/>
    <xf numFmtId="10" fontId="14" fillId="2" borderId="0" xfId="0" applyNumberFormat="1" applyFont="1" applyFill="1"/>
    <xf numFmtId="3" fontId="14" fillId="2" borderId="0" xfId="0" applyNumberFormat="1" applyFont="1" applyFill="1"/>
    <xf numFmtId="1" fontId="14" fillId="2" borderId="0" xfId="0" applyNumberFormat="1" applyFont="1" applyFill="1"/>
    <xf numFmtId="167" fontId="0" fillId="0" borderId="1" xfId="0" applyNumberFormat="1" applyBorder="1"/>
    <xf numFmtId="166" fontId="0" fillId="0" borderId="1" xfId="0" applyNumberFormat="1" applyBorder="1"/>
    <xf numFmtId="0" fontId="15" fillId="0" borderId="0" xfId="0" applyFont="1" applyFill="1"/>
    <xf numFmtId="0" fontId="19" fillId="0" borderId="0" xfId="0" applyFont="1" applyFill="1"/>
    <xf numFmtId="0" fontId="17" fillId="0" borderId="0" xfId="0" applyFont="1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10" fontId="25" fillId="0" borderId="0" xfId="0" applyNumberFormat="1" applyFont="1"/>
    <xf numFmtId="3" fontId="25" fillId="0" borderId="0" xfId="0" applyNumberFormat="1" applyFont="1"/>
    <xf numFmtId="3" fontId="26" fillId="0" borderId="0" xfId="0" applyNumberFormat="1" applyFont="1"/>
    <xf numFmtId="4" fontId="25" fillId="0" borderId="0" xfId="0" applyNumberFormat="1" applyFont="1"/>
    <xf numFmtId="4" fontId="26" fillId="0" borderId="0" xfId="0" applyNumberFormat="1" applyFont="1"/>
    <xf numFmtId="1" fontId="25" fillId="0" borderId="0" xfId="0" applyNumberFormat="1" applyFont="1"/>
    <xf numFmtId="1" fontId="26" fillId="0" borderId="0" xfId="0" applyNumberFormat="1" applyFont="1"/>
    <xf numFmtId="4" fontId="27" fillId="0" borderId="0" xfId="0" applyNumberFormat="1" applyFont="1"/>
    <xf numFmtId="0" fontId="1" fillId="3" borderId="6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167" fontId="0" fillId="0" borderId="0" xfId="0" applyNumberFormat="1"/>
    <xf numFmtId="167" fontId="0" fillId="0" borderId="0" xfId="0" applyNumberFormat="1" applyAlignment="1">
      <alignment wrapText="1"/>
    </xf>
    <xf numFmtId="0" fontId="28" fillId="4" borderId="1" xfId="0" applyFont="1" applyFill="1" applyBorder="1" applyAlignment="1">
      <alignment wrapText="1"/>
    </xf>
    <xf numFmtId="0" fontId="9" fillId="0" borderId="1" xfId="0" applyFont="1" applyBorder="1"/>
    <xf numFmtId="9" fontId="9" fillId="0" borderId="1" xfId="0" applyNumberFormat="1" applyFont="1" applyBorder="1"/>
    <xf numFmtId="167" fontId="9" fillId="0" borderId="1" xfId="0" applyNumberFormat="1" applyFont="1" applyBorder="1"/>
    <xf numFmtId="0" fontId="1" fillId="0" borderId="0" xfId="0" applyFont="1"/>
    <xf numFmtId="10" fontId="14" fillId="0" borderId="0" xfId="0" applyNumberFormat="1" applyFont="1"/>
    <xf numFmtId="4" fontId="23" fillId="0" borderId="0" xfId="0" applyNumberFormat="1" applyFont="1"/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29" fillId="0" borderId="0" xfId="0" applyNumberFormat="1" applyFont="1"/>
    <xf numFmtId="0" fontId="1" fillId="0" borderId="7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28" fillId="5" borderId="1" xfId="0" applyFont="1" applyFill="1" applyBorder="1" applyAlignment="1">
      <alignment wrapText="1"/>
    </xf>
    <xf numFmtId="0" fontId="28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wrapText="1"/>
    </xf>
    <xf numFmtId="0" fontId="1" fillId="6" borderId="3" xfId="0" applyFont="1" applyFill="1" applyBorder="1" applyAlignment="1">
      <alignment vertical="center"/>
    </xf>
    <xf numFmtId="0" fontId="0" fillId="6" borderId="4" xfId="0" applyFill="1" applyBorder="1"/>
    <xf numFmtId="0" fontId="0" fillId="6" borderId="5" xfId="0" applyFill="1" applyBorder="1"/>
    <xf numFmtId="0" fontId="0" fillId="6" borderId="3" xfId="0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6" borderId="3" xfId="0" applyFill="1" applyBorder="1" applyAlignment="1">
      <alignment vertical="center" wrapText="1"/>
    </xf>
    <xf numFmtId="0" fontId="30" fillId="0" borderId="4" xfId="0" applyFont="1" applyBorder="1"/>
    <xf numFmtId="0" fontId="30" fillId="0" borderId="5" xfId="0" applyFont="1" applyBorder="1"/>
    <xf numFmtId="168" fontId="0" fillId="0" borderId="1" xfId="0" applyNumberFormat="1" applyBorder="1"/>
    <xf numFmtId="8" fontId="0" fillId="0" borderId="0" xfId="0" applyNumberFormat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3" fontId="0" fillId="0" borderId="1" xfId="0" applyNumberFormat="1" applyFont="1" applyFill="1" applyBorder="1" applyAlignment="1">
      <alignment wrapText="1"/>
    </xf>
    <xf numFmtId="168" fontId="0" fillId="0" borderId="1" xfId="0" applyNumberFormat="1" applyFont="1" applyFill="1" applyBorder="1" applyAlignment="1">
      <alignment wrapText="1"/>
    </xf>
    <xf numFmtId="167" fontId="0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64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" fontId="0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2" fillId="0" borderId="3" xfId="0" applyFont="1" applyBorder="1"/>
    <xf numFmtId="0" fontId="33" fillId="0" borderId="3" xfId="1" applyFont="1" applyBorder="1"/>
    <xf numFmtId="0" fontId="32" fillId="0" borderId="3" xfId="1" applyFont="1" applyBorder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right" vertical="top"/>
    </xf>
    <xf numFmtId="4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horizontal="left"/>
    </xf>
    <xf numFmtId="4" fontId="34" fillId="4" borderId="1" xfId="0" applyNumberFormat="1" applyFont="1" applyFill="1" applyBorder="1" applyAlignment="1">
      <alignment shrinkToFit="1"/>
    </xf>
    <xf numFmtId="2" fontId="34" fillId="4" borderId="1" xfId="0" applyNumberFormat="1" applyFont="1" applyFill="1" applyBorder="1"/>
    <xf numFmtId="3" fontId="34" fillId="4" borderId="1" xfId="0" applyNumberFormat="1" applyFont="1" applyFill="1" applyBorder="1" applyAlignment="1">
      <alignment shrinkToFit="1"/>
    </xf>
    <xf numFmtId="0" fontId="1" fillId="2" borderId="6" xfId="0" applyFont="1" applyFill="1" applyBorder="1"/>
    <xf numFmtId="0" fontId="28" fillId="2" borderId="11" xfId="0" applyFont="1" applyFill="1" applyBorder="1"/>
    <xf numFmtId="0" fontId="1" fillId="4" borderId="12" xfId="0" applyFont="1" applyFill="1" applyBorder="1" applyAlignment="1">
      <alignment shrinkToFit="1"/>
    </xf>
    <xf numFmtId="0" fontId="1" fillId="4" borderId="13" xfId="0" applyFont="1" applyFill="1" applyBorder="1" applyAlignment="1">
      <alignment shrinkToFit="1"/>
    </xf>
    <xf numFmtId="4" fontId="34" fillId="4" borderId="14" xfId="0" applyNumberFormat="1" applyFont="1" applyFill="1" applyBorder="1" applyAlignment="1">
      <alignment shrinkToFit="1"/>
    </xf>
    <xf numFmtId="0" fontId="1" fillId="2" borderId="2" xfId="0" applyFont="1" applyFill="1" applyBorder="1" applyAlignment="1"/>
    <xf numFmtId="0" fontId="35" fillId="0" borderId="0" xfId="0" applyFont="1" applyFill="1" applyBorder="1" applyAlignment="1">
      <alignment shrinkToFit="1"/>
    </xf>
    <xf numFmtId="4" fontId="0" fillId="7" borderId="10" xfId="0" applyNumberFormat="1" applyFill="1" applyBorder="1" applyAlignment="1">
      <alignment shrinkToFit="1"/>
    </xf>
    <xf numFmtId="4" fontId="0" fillId="7" borderId="8" xfId="0" applyNumberFormat="1" applyFill="1" applyBorder="1" applyAlignment="1">
      <alignment shrinkToFit="1"/>
    </xf>
    <xf numFmtId="2" fontId="0" fillId="7" borderId="8" xfId="0" applyNumberFormat="1" applyFill="1" applyBorder="1"/>
    <xf numFmtId="3" fontId="0" fillId="7" borderId="8" xfId="0" applyNumberFormat="1" applyFill="1" applyBorder="1" applyAlignment="1">
      <alignment shrinkToFit="1"/>
    </xf>
    <xf numFmtId="4" fontId="0" fillId="7" borderId="9" xfId="0" applyNumberFormat="1" applyFill="1" applyBorder="1" applyAlignment="1">
      <alignment shrinkToFit="1"/>
    </xf>
    <xf numFmtId="4" fontId="0" fillId="0" borderId="1" xfId="0" applyNumberForma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7:W15" headerRowDxfId="88">
  <autoFilter ref="B7:W15" xr:uid="{BAFCDA4E-1455-4186-B446-55AD7B6FF08E}"/>
  <tableColumns count="22">
    <tableColumn id="1" xr3:uid="{12DBE624-1E4C-43DE-8EBA-89FC03FB8A2E}" name="DB Name" totalsRowLabel="Total" dataDxfId="87" totalsRowDxfId="86"/>
    <tableColumn id="2" xr3:uid="{12EF2CB8-2718-4987-B485-71AAC2C42177}" name="Instance Name" dataDxfId="85" totalsRowDxfId="84"/>
    <tableColumn id="3" xr3:uid="{EE4D87CE-B854-4D79-98B0-4B433DE0DFC5}" name="Host Name" dataDxfId="83" totalsRowDxfId="82"/>
    <tableColumn id="18" xr3:uid="{9652353C-76B4-424D-B14E-4474B1D2E864}" name="Elapsed Time (mins)" totalsRowFunction="custom" dataDxfId="81" totalsRowDxfId="80">
      <totalsRowFormula>SUM(E8:E15)</totalsRowFormula>
    </tableColumn>
    <tableColumn id="4" xr3:uid="{E245B233-16D0-4175-B2B6-7CC6C7D5EC1E}" name="DB Time (mins)" totalsRowFunction="sum" dataDxfId="79" totalsRowDxfId="78"/>
    <tableColumn id="5" xr3:uid="{18DE2E70-642F-48C7-8588-E203573FBC6C}" name="DB CPU (s)" totalsRowFunction="sum" dataDxfId="77" totalsRowDxfId="76"/>
    <tableColumn id="17" xr3:uid="{CB45C1E7-36C0-4529-BD9C-742C452F7BAB}" name="CPUs" totalsRowFunction="custom" dataDxfId="75" totalsRowDxfId="74">
      <totalsRowFormula>SUM(H8:H15)</totalsRowFormula>
    </tableColumn>
    <tableColumn id="16" xr3:uid="{8DEF82EF-8D6D-43C8-9A6E-479EF081F1C5}" name="Cores" totalsRowFunction="custom" dataDxfId="73" totalsRowDxfId="72">
      <totalsRowFormula>SUM(I8:I15)</totalsRowFormula>
    </tableColumn>
    <tableColumn id="19" xr3:uid="{6CC3E0A3-0D85-416B-B5E5-E013322B324E}" name="Memory (GB)" totalsRowFunction="custom" dataDxfId="71" totalsRowDxfId="70">
      <totalsRowFormula>SUM(J8:J15)</totalsRowFormula>
    </tableColumn>
    <tableColumn id="20" xr3:uid="{801E69F7-F685-4E5B-89E7-B8236A24C142}" name="%busy CPU" totalsRowFunction="custom" dataDxfId="69" totalsRowDxfId="68">
      <totalsRowFormula>SUM(K8:K15)</totalsRowFormula>
    </tableColumn>
    <tableColumn id="8" xr3:uid="{D9D9DE5D-BFAF-4BB6-9C57-68AD5D802EE2}" name="SGA use (MB)" totalsRowFunction="sum" dataDxfId="67" totalsRowDxfId="66"/>
    <tableColumn id="9" xr3:uid="{12911006-64ED-4042-B1A5-C18EC5E137FE}" name="PGA use (MB)" totalsRowFunction="sum" dataDxfId="65" totalsRowDxfId="64"/>
    <tableColumn id="6" xr3:uid="{D6E85EB5-7EE1-48F6-A66E-B76E4EECD483}" name="Read Throughput (MB/s)" dataDxfId="63" totalsRowDxfId="62"/>
    <tableColumn id="7" xr3:uid="{F3F3AB13-35F9-4DE8-BCED-CC8576E3F23E}" name="Write Throughput (MB/s)" dataDxfId="61" totalsRowDxfId="60"/>
    <tableColumn id="10" xr3:uid="{BE4DE103-F7E4-4B9E-A27F-11EFFA4A99BF}" name="Read IOPS" totalsRowFunction="sum" dataDxfId="59" totalsRowDxfId="58"/>
    <tableColumn id="11" xr3:uid="{A52E7F8E-4721-4010-BECE-F070E24DDA1F}" name="Write IOPS" totalsRowFunction="sum" dataDxfId="57" totalsRowDxfId="56"/>
    <tableColumn id="15" xr3:uid="{F0C74357-6F45-494C-B3DC-D3215156DFFB}" name="Total Throughput (MB/s)" dataDxfId="55" totalsRowDxfId="54">
      <calculatedColumnFormula>N8+O8</calculatedColumnFormula>
    </tableColumn>
    <tableColumn id="12" xr3:uid="{A0F8EBD1-73A3-4ABE-B0BE-D33E8C7ADD32}" name="Total IOPS" totalsRowFunction="sum" dataDxfId="53" totalsRowDxfId="52">
      <calculatedColumnFormula>(P8+Q8)</calculatedColumnFormula>
    </tableColumn>
    <tableColumn id="22" xr3:uid="{12A4389A-523C-421D-BD24-6272B453F2CD}" name="Average Active Sessions" dataDxfId="51" totalsRowDxfId="50">
      <calculatedColumnFormula>F8/E8</calculatedColumnFormula>
    </tableColumn>
    <tableColumn id="13" xr3:uid="{3F2ED276-F76A-423E-8069-892C6C886ED0}" name="CPU total capacity (s)" totalsRowFunction="custom" dataDxfId="49">
      <calculatedColumnFormula>(E8*60)*H8</calculatedColumnFormula>
      <totalsRowFormula>SUM(U8:U15)</totalsRowFormula>
    </tableColumn>
    <tableColumn id="14" xr3:uid="{6D50E1DB-D2A8-4634-9623-2B8FF9FB8B97}" name="ORA use (GB)" totalsRowFunction="custom" dataDxfId="48">
      <calculatedColumnFormula>(L8+M8)/1024</calculatedColumnFormula>
      <totalsRowFormula>SUBTOTAL(109,#REF!)</totalsRowFormula>
    </tableColumn>
    <tableColumn id="21" xr3:uid="{06271738-5AFB-4416-88EC-0F36A42588B4}" name="source CPU HT factor" dataDxfId="47">
      <calculatedColumnFormula>H8/I8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9:H28" totalsRowCount="1" headerRowDxfId="46" dataDxfId="45">
  <autoFilter ref="B19:H27" xr:uid="{2131DD88-95A4-4546-AD92-E31ADE17AE10}"/>
  <tableColumns count="7">
    <tableColumn id="1" xr3:uid="{E48AF7E1-022E-4559-9DF8-AA91B706DE37}" name="Host" totalsRowLabel="Total" dataDxfId="44"/>
    <tableColumn id="6" xr3:uid="{E7152265-984C-41C1-985E-AC0ACC8400BD}" name="Name"/>
    <tableColumn id="3" xr3:uid="{042A02F8-3035-4F96-B880-FF705D8AF8AD}" name="%DB Time of Elapsed Time (aka Avg Active Sessions or &quot;AAS&quot;)" totalsRowFunction="sum" dataDxfId="43" totalsRowDxfId="13">
      <calculatedColumnFormula>IF(HostSummary[[#This Row],[Host]]="","",SUMIFS(AWRData[Average Active Sessions],AWRData[Host Name],HostSummary[[#This Row],[Host]]))</calculatedColumnFormula>
    </tableColumn>
    <tableColumn id="10" xr3:uid="{85E8367C-F408-44E2-8D1A-47BCF5A88ABE}" name="Observed memory use (GB)" totalsRowFunction="sum" dataDxfId="42" totalsRowDxfId="12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Observed IOPS" totalsRowFunction="sum" dataDxfId="41" totalsRowDxfId="11">
      <calculatedColumnFormula>IF(HostSummary[[#This Row],[Host]]="","",SUMIFS(AWRData[Total IOPS],AWRData[Host Name],HostSummary[[#This Row],[Host]]))</calculatedColumnFormula>
    </tableColumn>
    <tableColumn id="4" xr3:uid="{D2224B36-6E90-4845-81DA-1DB10E1661B4}" name="Observed Throughput (MB/s)" totalsRowFunction="sum" dataDxfId="40" totalsRowDxfId="10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9" totalsRowDxfId="9">
      <calculatedColumnFormula>IF(HostSummary[[#This Row],[Host]]="","",ROUND(HostSummary[[#This Row],[%DB Time of Elapsed Time (aka Avg Active Sessions or "AAS")]]+0.5,0)*(vCPUHTFactor/AVERAGEIFS(AWRData[source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1:K36" totalsRowCount="1" headerRowDxfId="38" dataDxfId="37">
  <autoFilter ref="B31:K35" xr:uid="{49AD5955-00E8-4584-8ED2-B99212AE569A}"/>
  <tableColumns count="10">
    <tableColumn id="1" xr3:uid="{F79507E8-49B9-479A-B974-70532B5FC009}" name="DB Name" totalsRowLabel="Total" dataDxfId="36"/>
    <tableColumn id="3" xr3:uid="{D14FF7E7-B38D-4451-8EE3-64724E717E5F}" name="%DB Time of Elapsed Time (aka Avg Active Sessions or &quot;AAS&quot;)" totalsRowFunction="sum" dataDxfId="35" totalsRowDxfId="8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Observed memory (GiB) consumed only by Oracle" totalsRowFunction="sum" dataDxfId="34" totalsRowDxfId="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33" totalsRowDxfId="6">
      <calculatedColumnFormula>IF(DBSummary[[#This Row],[DB Name]]="","",PeakRAMfactor*DBSummary[[#This Row],[Observed memory (GiB) consumed only by Oracle]])</calculatedColumnFormula>
    </tableColumn>
    <tableColumn id="11" xr3:uid="{AB2CFCBB-C7A4-4993-BFD0-A84164ED0160}" name="Observed IOPS" totalsRowFunction="sum" dataDxfId="32" totalsRowDxfId="5">
      <calculatedColumnFormula>IF(DBSummary[[#This Row],[DB Name]]="","",SUMIFS(AWRData[Total IOPS],AWRData[DB Name],DBSummary[[#This Row],[DB Name]]))</calculatedColumnFormula>
    </tableColumn>
    <tableColumn id="5" xr3:uid="{28273868-E127-405F-B656-70C478E70B07}" name="Observed I/O throughput (MB/s)" totalsRowFunction="sum" dataDxfId="31" totalsRowDxfId="4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30" totalsRowDxfId="3">
      <calculatedColumnFormula>IF(DBSummary[[#This Row],[DB Name]]="","",DBSummary[[#This Row],[Observed IOPS]]*IoMetricsFactor)</calculatedColumnFormula>
    </tableColumn>
    <tableColumn id="8" xr3:uid="{C38DB1AD-B018-489B-B3E6-31BE998C2B17}" name="Est'd Azure Throughput (MB/s) for peak load" totalsRowFunction="sum" dataDxfId="29" totalsRowDxfId="2">
      <calculatedColumnFormula>IF(DBSummary[[#This Row],[DB Name]]="","",DBSummary[[#This Row],[Observed I/O throughput (MB/s)]]*IoMetricsFactor)</calculatedColumnFormula>
    </tableColumn>
    <tableColumn id="6" xr3:uid="{AAFEF038-B223-49E2-B515-EC61D231972F}" name="Est'd Azure vCPUs for avg load" totalsRowFunction="sum" dataDxfId="28" totalsRowDxfId="1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27" totalsRowDxfId="0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7:H16" totalsRowCount="1" headerRowDxfId="26">
  <autoFilter ref="B7:H15" xr:uid="{DDC9EB0F-FC45-450E-9D91-FB84A3B2BFF9}"/>
  <tableColumns count="7">
    <tableColumn id="19" xr3:uid="{9D996974-BBE3-4BD2-A49E-7636AF84D9BD}" name="DB Name" dataDxfId="25"/>
    <tableColumn id="2" xr3:uid="{1EB02893-C83E-48B5-937F-61E7D4A0C092}" name="Instance Name" dataDxfId="24"/>
    <tableColumn id="5" xr3:uid="{FFDD672E-0E4E-4ADB-9E76-1EB11CF3E627}" name="%DB Time of Elapsed Time (aka Avg Active Sessions or &quot;AAS&quot;)" totalsRowFunction="sum" dataDxfId="23" totalsRowDxfId="18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14" xr3:uid="{EE92F036-09CB-4182-9F1C-C53D87FDFEA7}" name="Observed memory use (GB)" totalsRowFunction="sum" dataDxfId="22" totalsRowDxfId="17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Observed IOPS" totalsRowFunction="sum" dataDxfId="21" totalsRowDxfId="16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Observed Throughput (MB/s)" totalsRowFunction="sum" dataDxfId="20" totalsRowDxfId="15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19" totalsRowDxfId="14">
      <calculatedColumnFormula>IF(InstSummary[[#This Row],[Instance Name]]="","",InstSummary[[#This Row],[%DB Time of Elapsed Time (aka Avg Active Sessions or "AAS")]]*(vCPUHTFactor/SUMIFS(AWRData[source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zure.microsoft.com/en-us/pricing/details/backup/" TargetMode="External"/><Relationship Id="rId2" Type="http://schemas.openxmlformats.org/officeDocument/2006/relationships/hyperlink" Target="https://azure.microsoft.com/en-us/pricing/details/storage/blobs/" TargetMode="External"/><Relationship Id="rId1" Type="http://schemas.openxmlformats.org/officeDocument/2006/relationships/hyperlink" Target="https://anftechteam.github.io/calc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oracle.com/assets/technology-price-list-070617.pdf" TargetMode="External"/><Relationship Id="rId4" Type="http://schemas.openxmlformats.org/officeDocument/2006/relationships/hyperlink" Target="https://azure.microsoft.com/en-us/pricing/details/managed-dis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W24"/>
  <sheetViews>
    <sheetView zoomScaleNormal="100" workbookViewId="0">
      <selection activeCell="G21" sqref="G21"/>
    </sheetView>
  </sheetViews>
  <sheetFormatPr defaultRowHeight="15" x14ac:dyDescent="0.25"/>
  <cols>
    <col min="1" max="1" width="4.140625" customWidth="1"/>
    <col min="2" max="2" width="10.5703125" customWidth="1"/>
    <col min="3" max="3" width="15.42578125" customWidth="1"/>
    <col min="4" max="4" width="32.28515625" customWidth="1"/>
    <col min="5" max="5" width="14.5703125" customWidth="1"/>
    <col min="6" max="6" width="12.5703125" style="3" customWidth="1"/>
    <col min="7" max="7" width="14.42578125" customWidth="1"/>
    <col min="8" max="8" width="12.5703125" style="3" customWidth="1"/>
    <col min="9" max="17" width="12.5703125" customWidth="1"/>
    <col min="18" max="18" width="12.5703125" style="48" hidden="1" customWidth="1"/>
    <col min="19" max="20" width="12.5703125" hidden="1" customWidth="1"/>
    <col min="21" max="21" width="13.85546875" hidden="1" customWidth="1"/>
    <col min="22" max="22" width="10.42578125" hidden="1" customWidth="1"/>
    <col min="23" max="23" width="11.140625" hidden="1" customWidth="1"/>
    <col min="24" max="24" width="12.5703125" customWidth="1"/>
  </cols>
  <sheetData>
    <row r="1" spans="2:23" s="15" customFormat="1" ht="18.75" x14ac:dyDescent="0.3">
      <c r="B1" s="15" t="s">
        <v>23</v>
      </c>
      <c r="F1" s="16"/>
      <c r="H1" s="16"/>
      <c r="R1" s="46"/>
    </row>
    <row r="3" spans="2:23" ht="21" x14ac:dyDescent="0.35">
      <c r="B3" s="69" t="s">
        <v>44</v>
      </c>
    </row>
    <row r="4" spans="2:23" s="71" customFormat="1" ht="15.75" x14ac:dyDescent="0.25">
      <c r="B4" s="70" t="s">
        <v>45</v>
      </c>
      <c r="F4" s="72"/>
      <c r="H4" s="72"/>
    </row>
    <row r="6" spans="2:23" s="15" customFormat="1" ht="18.75" x14ac:dyDescent="0.3">
      <c r="B6" s="15" t="s">
        <v>15</v>
      </c>
      <c r="F6" s="16"/>
      <c r="H6" s="16"/>
      <c r="R6" s="46"/>
    </row>
    <row r="7" spans="2:23" s="2" customFormat="1" ht="45" x14ac:dyDescent="0.25">
      <c r="B7" s="4" t="s">
        <v>0</v>
      </c>
      <c r="C7" s="4" t="s">
        <v>1</v>
      </c>
      <c r="D7" s="4" t="s">
        <v>2</v>
      </c>
      <c r="E7" s="4" t="s">
        <v>10</v>
      </c>
      <c r="F7" s="4" t="s">
        <v>11</v>
      </c>
      <c r="G7" s="4" t="s">
        <v>19</v>
      </c>
      <c r="H7" s="4" t="s">
        <v>13</v>
      </c>
      <c r="I7" s="4" t="s">
        <v>14</v>
      </c>
      <c r="J7" s="4" t="s">
        <v>12</v>
      </c>
      <c r="K7" s="4" t="s">
        <v>16</v>
      </c>
      <c r="L7" s="4" t="s">
        <v>17</v>
      </c>
      <c r="M7" s="4" t="s">
        <v>18</v>
      </c>
      <c r="N7" s="4" t="s">
        <v>28</v>
      </c>
      <c r="O7" s="4" t="s">
        <v>29</v>
      </c>
      <c r="P7" s="4" t="s">
        <v>3</v>
      </c>
      <c r="Q7" s="4" t="s">
        <v>4</v>
      </c>
      <c r="R7" s="47" t="s">
        <v>30</v>
      </c>
      <c r="S7" s="4" t="s">
        <v>5</v>
      </c>
      <c r="T7" s="4" t="s">
        <v>97</v>
      </c>
      <c r="U7" s="4" t="s">
        <v>20</v>
      </c>
      <c r="V7" s="4" t="s">
        <v>21</v>
      </c>
      <c r="W7" s="4" t="s">
        <v>22</v>
      </c>
    </row>
    <row r="8" spans="2:23" s="39" customFormat="1" x14ac:dyDescent="0.25">
      <c r="B8" s="73" t="s">
        <v>126</v>
      </c>
      <c r="C8" s="73" t="s">
        <v>127</v>
      </c>
      <c r="D8" s="73" t="s">
        <v>131</v>
      </c>
      <c r="E8" s="74">
        <v>10080</v>
      </c>
      <c r="F8" s="74">
        <v>98003.47</v>
      </c>
      <c r="G8" s="74">
        <v>254308.2</v>
      </c>
      <c r="H8" s="75">
        <v>96</v>
      </c>
      <c r="I8" s="75">
        <v>48</v>
      </c>
      <c r="J8" s="74">
        <v>2040</v>
      </c>
      <c r="K8" s="74">
        <v>55</v>
      </c>
      <c r="L8" s="74">
        <v>409810.3</v>
      </c>
      <c r="M8" s="74">
        <v>38805.4</v>
      </c>
      <c r="N8" s="74">
        <v>3200</v>
      </c>
      <c r="O8" s="74">
        <v>83.153999999999996</v>
      </c>
      <c r="P8" s="74">
        <v>16759.37</v>
      </c>
      <c r="Q8" s="74">
        <v>1743.18</v>
      </c>
      <c r="R8" s="41">
        <f t="shared" ref="R8:R15" si="0">N8+O8</f>
        <v>3283.154</v>
      </c>
      <c r="S8" s="41">
        <f t="shared" ref="S8:S15" si="1">(P8+Q8)</f>
        <v>18502.55</v>
      </c>
      <c r="T8" s="41">
        <f t="shared" ref="T8:T15" si="2">F8/E8</f>
        <v>9.7225664682539676</v>
      </c>
      <c r="U8" s="40">
        <f t="shared" ref="U8:U15" si="3">(E8*60)*H8</f>
        <v>58060800</v>
      </c>
      <c r="V8" s="40">
        <f t="shared" ref="V8:V15" si="4">(L8+M8)/1024</f>
        <v>438.10126953125001</v>
      </c>
      <c r="W8" s="42">
        <f t="shared" ref="W8:W15" si="5">H8/I8</f>
        <v>2</v>
      </c>
    </row>
    <row r="9" spans="2:23" x14ac:dyDescent="0.25">
      <c r="B9" s="73" t="s">
        <v>126</v>
      </c>
      <c r="C9" s="73" t="s">
        <v>128</v>
      </c>
      <c r="D9" s="73" t="s">
        <v>132</v>
      </c>
      <c r="E9" s="74">
        <v>10080</v>
      </c>
      <c r="F9" s="74">
        <v>111222.33</v>
      </c>
      <c r="G9" s="74">
        <v>287333.09999999998</v>
      </c>
      <c r="H9" s="75">
        <v>96</v>
      </c>
      <c r="I9" s="75">
        <v>48</v>
      </c>
      <c r="J9" s="74">
        <v>2040</v>
      </c>
      <c r="K9" s="74">
        <v>56</v>
      </c>
      <c r="L9" s="74">
        <v>409810.3</v>
      </c>
      <c r="M9" s="74">
        <v>15977.2</v>
      </c>
      <c r="N9" s="74">
        <v>1100</v>
      </c>
      <c r="O9" s="74">
        <v>14.391999999999999</v>
      </c>
      <c r="P9" s="74">
        <v>5781.49</v>
      </c>
      <c r="Q9" s="74">
        <v>308.27999999999997</v>
      </c>
      <c r="R9" s="41">
        <f t="shared" si="0"/>
        <v>1114.3920000000001</v>
      </c>
      <c r="S9" s="41">
        <f t="shared" si="1"/>
        <v>6089.7699999999995</v>
      </c>
      <c r="T9" s="41">
        <f t="shared" si="2"/>
        <v>11.033961309523809</v>
      </c>
      <c r="U9" s="40">
        <f t="shared" si="3"/>
        <v>58060800</v>
      </c>
      <c r="V9" s="40">
        <f t="shared" si="4"/>
        <v>415.80810546875</v>
      </c>
      <c r="W9" s="42">
        <f t="shared" si="5"/>
        <v>2</v>
      </c>
    </row>
    <row r="10" spans="2:23" s="39" customFormat="1" x14ac:dyDescent="0.25">
      <c r="B10" s="73" t="s">
        <v>126</v>
      </c>
      <c r="C10" s="76" t="s">
        <v>129</v>
      </c>
      <c r="D10" s="73" t="s">
        <v>133</v>
      </c>
      <c r="E10" s="74">
        <v>10080</v>
      </c>
      <c r="F10" s="74">
        <v>101232.44</v>
      </c>
      <c r="G10" s="74">
        <v>275757.57</v>
      </c>
      <c r="H10" s="75">
        <v>96</v>
      </c>
      <c r="I10" s="75">
        <v>48</v>
      </c>
      <c r="J10" s="74">
        <v>2040</v>
      </c>
      <c r="K10" s="74">
        <v>60.18</v>
      </c>
      <c r="L10" s="74">
        <v>409810.3</v>
      </c>
      <c r="M10" s="74">
        <v>20480</v>
      </c>
      <c r="N10" s="74">
        <v>2487.5300000000002</v>
      </c>
      <c r="O10" s="74">
        <v>41.24</v>
      </c>
      <c r="P10" s="74">
        <v>9191.73</v>
      </c>
      <c r="Q10" s="74">
        <v>545.54</v>
      </c>
      <c r="R10" s="41">
        <f t="shared" si="0"/>
        <v>2528.77</v>
      </c>
      <c r="S10" s="41">
        <f t="shared" si="1"/>
        <v>9737.27</v>
      </c>
      <c r="T10" s="41">
        <f t="shared" si="2"/>
        <v>10.042900793650794</v>
      </c>
      <c r="U10" s="40">
        <f t="shared" si="3"/>
        <v>58060800</v>
      </c>
      <c r="V10" s="40">
        <f t="shared" si="4"/>
        <v>420.20537109374999</v>
      </c>
      <c r="W10" s="42">
        <f t="shared" si="5"/>
        <v>2</v>
      </c>
    </row>
    <row r="11" spans="2:23" s="39" customFormat="1" x14ac:dyDescent="0.25">
      <c r="B11" s="73" t="s">
        <v>126</v>
      </c>
      <c r="C11" s="76" t="s">
        <v>130</v>
      </c>
      <c r="D11" s="73" t="s">
        <v>134</v>
      </c>
      <c r="E11" s="74">
        <v>10080</v>
      </c>
      <c r="F11" s="74">
        <v>154575.88</v>
      </c>
      <c r="G11" s="74">
        <v>303404.55</v>
      </c>
      <c r="H11" s="75">
        <v>96</v>
      </c>
      <c r="I11" s="75">
        <v>48</v>
      </c>
      <c r="J11" s="74">
        <v>2040</v>
      </c>
      <c r="K11" s="74">
        <v>66.739999999999995</v>
      </c>
      <c r="L11" s="74">
        <v>409810.3</v>
      </c>
      <c r="M11" s="74">
        <v>30760</v>
      </c>
      <c r="N11" s="74">
        <v>4028.67</v>
      </c>
      <c r="O11" s="74">
        <v>23.45</v>
      </c>
      <c r="P11" s="74">
        <v>7861.45</v>
      </c>
      <c r="Q11" s="74">
        <v>211.81</v>
      </c>
      <c r="R11" s="41">
        <f t="shared" si="0"/>
        <v>4052.12</v>
      </c>
      <c r="S11" s="41">
        <f t="shared" si="1"/>
        <v>8073.26</v>
      </c>
      <c r="T11" s="41">
        <f t="shared" si="2"/>
        <v>15.33490873015873</v>
      </c>
      <c r="U11" s="40">
        <f t="shared" si="3"/>
        <v>58060800</v>
      </c>
      <c r="V11" s="40">
        <f t="shared" si="4"/>
        <v>430.24443359374999</v>
      </c>
      <c r="W11" s="42">
        <f t="shared" si="5"/>
        <v>2</v>
      </c>
    </row>
    <row r="12" spans="2:23" s="39" customFormat="1" x14ac:dyDescent="0.25">
      <c r="B12" s="73"/>
      <c r="C12" s="73"/>
      <c r="D12" s="73"/>
      <c r="E12" s="74"/>
      <c r="F12" s="74"/>
      <c r="G12" s="74"/>
      <c r="H12" s="75"/>
      <c r="I12" s="75"/>
      <c r="J12" s="74"/>
      <c r="K12" s="74"/>
      <c r="L12" s="74"/>
      <c r="M12" s="74"/>
      <c r="N12" s="74"/>
      <c r="O12" s="74"/>
      <c r="P12" s="74"/>
      <c r="Q12" s="74"/>
      <c r="R12" s="41">
        <f t="shared" si="0"/>
        <v>0</v>
      </c>
      <c r="S12" s="41">
        <f t="shared" si="1"/>
        <v>0</v>
      </c>
      <c r="T12" s="41" t="e">
        <f t="shared" si="2"/>
        <v>#DIV/0!</v>
      </c>
      <c r="U12" s="40">
        <f t="shared" si="3"/>
        <v>0</v>
      </c>
      <c r="V12" s="40">
        <f t="shared" si="4"/>
        <v>0</v>
      </c>
      <c r="W12" s="42" t="e">
        <f t="shared" si="5"/>
        <v>#DIV/0!</v>
      </c>
    </row>
    <row r="13" spans="2:23" s="39" customFormat="1" x14ac:dyDescent="0.25">
      <c r="B13" s="136"/>
      <c r="C13" s="136"/>
      <c r="D13" s="136"/>
      <c r="E13" s="74"/>
      <c r="F13" s="74"/>
      <c r="G13" s="75"/>
      <c r="H13" s="75"/>
      <c r="I13" s="75"/>
      <c r="J13" s="74"/>
      <c r="K13" s="137"/>
      <c r="L13" s="75"/>
      <c r="M13" s="75"/>
      <c r="N13" s="138"/>
      <c r="O13" s="138"/>
      <c r="P13" s="74"/>
      <c r="Q13" s="139"/>
      <c r="R13" s="41">
        <f>N13+O13</f>
        <v>0</v>
      </c>
      <c r="S13" s="41">
        <f>(P13+Q13)</f>
        <v>0</v>
      </c>
      <c r="T13" s="41" t="e">
        <f>F13/E13</f>
        <v>#DIV/0!</v>
      </c>
      <c r="U13" s="40">
        <f>(E13*60)*H13</f>
        <v>0</v>
      </c>
      <c r="V13" s="40">
        <f>(L13+M13)/1024</f>
        <v>0</v>
      </c>
      <c r="W13" s="42" t="e">
        <f>H13/I13</f>
        <v>#DIV/0!</v>
      </c>
    </row>
    <row r="14" spans="2:23" s="39" customFormat="1" x14ac:dyDescent="0.25">
      <c r="B14" s="136"/>
      <c r="C14" s="136"/>
      <c r="D14" s="136"/>
      <c r="E14" s="74"/>
      <c r="F14" s="74"/>
      <c r="G14" s="75"/>
      <c r="H14" s="75"/>
      <c r="I14" s="75"/>
      <c r="J14" s="74"/>
      <c r="K14" s="137"/>
      <c r="L14" s="75"/>
      <c r="M14" s="75"/>
      <c r="N14" s="138"/>
      <c r="O14" s="138"/>
      <c r="P14" s="74"/>
      <c r="Q14" s="139"/>
      <c r="R14" s="41">
        <f>N14+O14</f>
        <v>0</v>
      </c>
      <c r="S14" s="41">
        <f>(P14+Q14)</f>
        <v>0</v>
      </c>
      <c r="T14" s="41" t="e">
        <f>F14/E14</f>
        <v>#DIV/0!</v>
      </c>
      <c r="U14" s="40">
        <f>(E14*60)*H14</f>
        <v>0</v>
      </c>
      <c r="V14" s="40">
        <f>(L14+M14)/1024</f>
        <v>0</v>
      </c>
      <c r="W14" s="42" t="e">
        <f>H14/I14</f>
        <v>#DIV/0!</v>
      </c>
    </row>
    <row r="15" spans="2:23" s="39" customFormat="1" x14ac:dyDescent="0.25">
      <c r="B15" s="76"/>
      <c r="C15" s="76"/>
      <c r="D15" s="73"/>
      <c r="E15" s="74"/>
      <c r="F15" s="74"/>
      <c r="G15" s="74"/>
      <c r="H15" s="75"/>
      <c r="I15" s="75"/>
      <c r="J15" s="74"/>
      <c r="K15" s="74"/>
      <c r="L15" s="74"/>
      <c r="M15" s="74"/>
      <c r="N15" s="74"/>
      <c r="O15" s="74"/>
      <c r="P15" s="74"/>
      <c r="Q15" s="74"/>
      <c r="R15" s="41">
        <f t="shared" si="0"/>
        <v>0</v>
      </c>
      <c r="S15" s="41">
        <f t="shared" si="1"/>
        <v>0</v>
      </c>
      <c r="T15" s="41" t="e">
        <f t="shared" si="2"/>
        <v>#DIV/0!</v>
      </c>
      <c r="U15" s="40">
        <f t="shared" si="3"/>
        <v>0</v>
      </c>
      <c r="V15" s="40">
        <f t="shared" si="4"/>
        <v>0</v>
      </c>
      <c r="W15" s="42" t="e">
        <f t="shared" si="5"/>
        <v>#DIV/0!</v>
      </c>
    </row>
    <row r="16" spans="2:23" ht="19.149999999999999" customHeight="1" thickBot="1" x14ac:dyDescent="0.3"/>
    <row r="17" spans="4:18" ht="19.149999999999999" customHeight="1" x14ac:dyDescent="0.25">
      <c r="D17" s="144" t="s">
        <v>141</v>
      </c>
      <c r="E17" s="149" t="s">
        <v>143</v>
      </c>
      <c r="F17" s="145" t="s">
        <v>142</v>
      </c>
    </row>
    <row r="18" spans="4:18" s="15" customFormat="1" ht="18.75" x14ac:dyDescent="0.3">
      <c r="D18" s="146" t="s">
        <v>135</v>
      </c>
      <c r="E18" s="141">
        <v>2</v>
      </c>
      <c r="F18" s="151">
        <v>2</v>
      </c>
      <c r="H18" s="16"/>
      <c r="R18" s="46"/>
    </row>
    <row r="19" spans="4:18" ht="12.4" customHeight="1" x14ac:dyDescent="0.25">
      <c r="D19" s="146" t="s">
        <v>136</v>
      </c>
      <c r="E19" s="141">
        <v>2</v>
      </c>
      <c r="F19" s="152">
        <v>2</v>
      </c>
    </row>
    <row r="20" spans="4:18" ht="12.4" customHeight="1" x14ac:dyDescent="0.25">
      <c r="D20" s="146" t="s">
        <v>137</v>
      </c>
      <c r="E20" s="142">
        <v>2</v>
      </c>
      <c r="F20" s="153">
        <v>2</v>
      </c>
    </row>
    <row r="21" spans="4:18" ht="13.15" customHeight="1" x14ac:dyDescent="0.25">
      <c r="D21" s="146" t="s">
        <v>140</v>
      </c>
      <c r="E21" s="143">
        <v>2</v>
      </c>
      <c r="F21" s="154">
        <v>2</v>
      </c>
    </row>
    <row r="22" spans="4:18" x14ac:dyDescent="0.25">
      <c r="D22" s="146" t="s">
        <v>138</v>
      </c>
      <c r="E22" s="141">
        <v>0.75</v>
      </c>
      <c r="F22" s="152">
        <v>0.75</v>
      </c>
    </row>
    <row r="23" spans="4:18" ht="13.15" customHeight="1" thickBot="1" x14ac:dyDescent="0.3">
      <c r="D23" s="147" t="s">
        <v>139</v>
      </c>
      <c r="E23" s="148">
        <v>1.25</v>
      </c>
      <c r="F23" s="155">
        <v>1.25</v>
      </c>
    </row>
    <row r="24" spans="4:18" x14ac:dyDescent="0.25">
      <c r="D24" s="150" t="s">
        <v>144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38"/>
  <sheetViews>
    <sheetView zoomScaleNormal="100" workbookViewId="0">
      <selection activeCell="E13" sqref="E13"/>
    </sheetView>
  </sheetViews>
  <sheetFormatPr defaultRowHeight="15" x14ac:dyDescent="0.25"/>
  <cols>
    <col min="2" max="3" width="15.42578125" customWidth="1"/>
    <col min="4" max="4" width="19.42578125" customWidth="1"/>
    <col min="5" max="5" width="14.5703125" customWidth="1"/>
    <col min="6" max="6" width="15.140625" style="3" customWidth="1"/>
    <col min="7" max="7" width="14.42578125" customWidth="1"/>
    <col min="8" max="8" width="12.5703125" style="3" customWidth="1"/>
    <col min="9" max="15" width="12.5703125" customWidth="1"/>
    <col min="16" max="19" width="12.5703125" hidden="1" customWidth="1"/>
    <col min="20" max="20" width="13.85546875" customWidth="1"/>
    <col min="21" max="21" width="10.42578125" customWidth="1"/>
    <col min="22" max="22" width="11.140625" bestFit="1" customWidth="1"/>
    <col min="23" max="23" width="12.5703125" customWidth="1"/>
  </cols>
  <sheetData>
    <row r="1" spans="2:17" s="31" customFormat="1" x14ac:dyDescent="0.25">
      <c r="E1" s="23"/>
      <c r="F1" s="23"/>
      <c r="G1" s="24"/>
      <c r="H1" s="24"/>
      <c r="I1" s="24"/>
      <c r="J1" s="32"/>
      <c r="K1" s="26"/>
      <c r="L1" s="24"/>
      <c r="M1" s="23"/>
      <c r="N1" s="23"/>
      <c r="O1" s="23"/>
      <c r="P1" s="23"/>
      <c r="Q1" s="23"/>
    </row>
    <row r="2" spans="2:17" s="19" customFormat="1" ht="18.75" x14ac:dyDescent="0.3">
      <c r="B2" s="19" t="s">
        <v>24</v>
      </c>
      <c r="E2" s="27"/>
      <c r="F2" s="27"/>
      <c r="G2" s="28"/>
      <c r="H2" s="28"/>
      <c r="I2" s="28"/>
      <c r="J2" s="44"/>
      <c r="K2" s="30"/>
      <c r="L2" s="28"/>
      <c r="M2" s="27"/>
      <c r="N2" s="27"/>
      <c r="O2" s="27"/>
      <c r="P2" s="27"/>
      <c r="Q2" s="27"/>
    </row>
    <row r="3" spans="2:17" s="66" customFormat="1" ht="18.75" x14ac:dyDescent="0.3">
      <c r="B3" s="67" t="s">
        <v>25</v>
      </c>
      <c r="E3" s="27"/>
      <c r="F3" s="27"/>
      <c r="G3" s="28"/>
      <c r="H3" s="28"/>
      <c r="I3" s="28"/>
      <c r="J3" s="44"/>
      <c r="K3" s="30"/>
      <c r="L3" s="28"/>
      <c r="M3" s="27"/>
      <c r="N3" s="27"/>
      <c r="O3" s="27"/>
      <c r="P3" s="27"/>
      <c r="Q3" s="27"/>
    </row>
    <row r="4" spans="2:17" s="68" customFormat="1" ht="15.75" x14ac:dyDescent="0.25">
      <c r="B4" s="67" t="s">
        <v>40</v>
      </c>
      <c r="E4" s="23"/>
      <c r="F4" s="23"/>
      <c r="G4" s="24"/>
      <c r="H4" s="24"/>
      <c r="I4" s="24"/>
      <c r="J4" s="32"/>
      <c r="K4" s="26"/>
      <c r="L4" s="24"/>
      <c r="M4" s="23"/>
      <c r="N4" s="23"/>
      <c r="O4" s="23"/>
      <c r="P4" s="23"/>
      <c r="Q4" s="23"/>
    </row>
    <row r="5" spans="2:17" s="31" customFormat="1" ht="18.75" x14ac:dyDescent="0.3">
      <c r="B5" s="19"/>
      <c r="E5" s="23"/>
      <c r="F5" s="23"/>
      <c r="G5" s="24"/>
      <c r="H5" s="24"/>
      <c r="I5" s="24"/>
      <c r="J5" s="32"/>
      <c r="K5" s="26"/>
      <c r="L5" s="24"/>
      <c r="M5" s="23"/>
      <c r="N5" s="23"/>
      <c r="O5" s="23"/>
      <c r="P5" s="23"/>
      <c r="Q5" s="23"/>
    </row>
    <row r="6" spans="2:17" s="15" customFormat="1" ht="18.75" x14ac:dyDescent="0.3">
      <c r="B6" s="15" t="s">
        <v>41</v>
      </c>
      <c r="E6" s="27"/>
      <c r="F6" s="28"/>
      <c r="G6" s="28"/>
      <c r="H6" s="29"/>
      <c r="I6" s="27"/>
      <c r="J6" s="29"/>
      <c r="K6" s="30"/>
      <c r="L6" s="28"/>
      <c r="M6" s="28"/>
      <c r="N6" s="27"/>
      <c r="O6" s="27"/>
      <c r="P6" s="27"/>
      <c r="Q6" s="27"/>
    </row>
    <row r="7" spans="2:17" s="2" customFormat="1" ht="60" x14ac:dyDescent="0.25">
      <c r="B7" s="4" t="s">
        <v>0</v>
      </c>
      <c r="C7" s="4" t="s">
        <v>1</v>
      </c>
      <c r="D7" s="5" t="s">
        <v>37</v>
      </c>
      <c r="E7" s="5" t="s">
        <v>34</v>
      </c>
      <c r="F7" s="5" t="s">
        <v>35</v>
      </c>
      <c r="G7" s="5" t="s">
        <v>36</v>
      </c>
      <c r="H7" s="5" t="s">
        <v>6</v>
      </c>
    </row>
    <row r="8" spans="2:17" x14ac:dyDescent="0.25">
      <c r="B8" s="73" t="s">
        <v>126</v>
      </c>
      <c r="C8" s="73" t="s">
        <v>127</v>
      </c>
      <c r="D8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9.7225664682539676</v>
      </c>
      <c r="E8" s="11">
        <f>IF(InstSummary[[#This Row],[Instance Name]]="","",SUMIFS(AWRData[ORA use (GB)],AWRData[Instance Name],InstSummary[[#This Row],[Instance Name]]))</f>
        <v>438.10126953125001</v>
      </c>
      <c r="F8" s="8">
        <f>IF(InstSummary[[#This Row],[Instance Name]]="","",SUMIFS(AWRData[Total IOPS],AWRData[Instance Name],InstSummary[[#This Row],[Instance Name]]))</f>
        <v>18502.55</v>
      </c>
      <c r="G8" s="8">
        <f>IF(InstSummary[[#This Row],[Instance Name]]="","",SUMIFS(AWRData[Total Throughput (MB/s)],AWRData[Instance Name],InstSummary[[#This Row],[Instance Name]]))</f>
        <v>3283.154</v>
      </c>
      <c r="H8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9.7225664682539676</v>
      </c>
    </row>
    <row r="9" spans="2:17" x14ac:dyDescent="0.25">
      <c r="B9" s="73" t="s">
        <v>126</v>
      </c>
      <c r="C9" s="73" t="s">
        <v>128</v>
      </c>
      <c r="D9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11.033961309523809</v>
      </c>
      <c r="E9" s="11">
        <f>IF(InstSummary[[#This Row],[Instance Name]]="","",SUMIFS(AWRData[ORA use (GB)],AWRData[Instance Name],InstSummary[[#This Row],[Instance Name]]))</f>
        <v>415.80810546875</v>
      </c>
      <c r="F9" s="8">
        <f>IF(InstSummary[[#This Row],[Instance Name]]="","",SUMIFS(AWRData[Total IOPS],AWRData[Instance Name],InstSummary[[#This Row],[Instance Name]]))</f>
        <v>6089.7699999999995</v>
      </c>
      <c r="G9" s="8">
        <f>IF(InstSummary[[#This Row],[Instance Name]]="","",SUMIFS(AWRData[Total Throughput (MB/s)],AWRData[Instance Name],InstSummary[[#This Row],[Instance Name]]))</f>
        <v>1114.3920000000001</v>
      </c>
      <c r="H9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11.033961309523809</v>
      </c>
    </row>
    <row r="10" spans="2:17" x14ac:dyDescent="0.25">
      <c r="B10" s="73" t="s">
        <v>126</v>
      </c>
      <c r="C10" s="76" t="s">
        <v>129</v>
      </c>
      <c r="D10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10.042900793650794</v>
      </c>
      <c r="E10" s="11">
        <f>IF(InstSummary[[#This Row],[Instance Name]]="","",SUMIFS(AWRData[ORA use (GB)],AWRData[Instance Name],InstSummary[[#This Row],[Instance Name]]))</f>
        <v>420.20537109374999</v>
      </c>
      <c r="F10" s="8">
        <f>IF(InstSummary[[#This Row],[Instance Name]]="","",SUMIFS(AWRData[Total IOPS],AWRData[Instance Name],InstSummary[[#This Row],[Instance Name]]))</f>
        <v>9737.27</v>
      </c>
      <c r="G10" s="8">
        <f>IF(InstSummary[[#This Row],[Instance Name]]="","",SUMIFS(AWRData[Total Throughput (MB/s)],AWRData[Instance Name],InstSummary[[#This Row],[Instance Name]]))</f>
        <v>2528.77</v>
      </c>
      <c r="H10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10.042900793650794</v>
      </c>
    </row>
    <row r="11" spans="2:17" x14ac:dyDescent="0.25">
      <c r="B11" s="73" t="s">
        <v>126</v>
      </c>
      <c r="C11" s="76" t="s">
        <v>130</v>
      </c>
      <c r="D11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15.33490873015873</v>
      </c>
      <c r="E11" s="11">
        <f>IF(InstSummary[[#This Row],[Instance Name]]="","",SUMIFS(AWRData[ORA use (GB)],AWRData[Instance Name],InstSummary[[#This Row],[Instance Name]]))</f>
        <v>430.24443359374999</v>
      </c>
      <c r="F11" s="8">
        <f>IF(InstSummary[[#This Row],[Instance Name]]="","",SUMIFS(AWRData[Total IOPS],AWRData[Instance Name],InstSummary[[#This Row],[Instance Name]]))</f>
        <v>8073.26</v>
      </c>
      <c r="G11" s="8">
        <f>IF(InstSummary[[#This Row],[Instance Name]]="","",SUMIFS(AWRData[Total Throughput (MB/s)],AWRData[Instance Name],InstSummary[[#This Row],[Instance Name]]))</f>
        <v>4052.12</v>
      </c>
      <c r="H11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15.33490873015873</v>
      </c>
    </row>
    <row r="12" spans="2:17" x14ac:dyDescent="0.25">
      <c r="B12" s="73"/>
      <c r="C12" s="73"/>
      <c r="D12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11" t="str">
        <f>IF(InstSummary[[#This Row],[Instance Name]]="","",SUMIFS(AWRData[ORA use (GB)],AWRData[Instance Name],InstSummary[[#This Row],[Instance Name]]))</f>
        <v/>
      </c>
      <c r="F12" s="8" t="str">
        <f>IF(InstSummary[[#This Row],[Instance Name]]="","",SUMIFS(AWRData[Total IOPS],AWRData[Instance Name],InstSummary[[#This Row],[Instance Name]]))</f>
        <v/>
      </c>
      <c r="G12" s="8" t="str">
        <f>IF(InstSummary[[#This Row],[Instance Name]]="","",SUMIFS(AWRData[Total Throughput (MB/s)],AWRData[Instance Name],InstSummary[[#This Row],[Instance Name]]))</f>
        <v/>
      </c>
      <c r="H12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3" spans="2:17" x14ac:dyDescent="0.25">
      <c r="B13" s="73"/>
      <c r="C13" s="73"/>
      <c r="D13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11" t="str">
        <f>IF(InstSummary[[#This Row],[Instance Name]]="","",SUMIFS(AWRData[ORA use (GB)],AWRData[Instance Name],InstSummary[[#This Row],[Instance Name]]))</f>
        <v/>
      </c>
      <c r="F13" s="8" t="str">
        <f>IF(InstSummary[[#This Row],[Instance Name]]="","",SUMIFS(AWRData[Total IOPS],AWRData[Instance Name],InstSummary[[#This Row],[Instance Name]]))</f>
        <v/>
      </c>
      <c r="G13" s="8" t="str">
        <f>IF(InstSummary[[#This Row],[Instance Name]]="","",SUMIFS(AWRData[Total Throughput (MB/s)],AWRData[Instance Name],InstSummary[[#This Row],[Instance Name]]))</f>
        <v/>
      </c>
      <c r="H13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4" spans="2:17" x14ac:dyDescent="0.25">
      <c r="B14" s="73"/>
      <c r="C14" s="73"/>
      <c r="D14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11" t="str">
        <f>IF(InstSummary[[#This Row],[Instance Name]]="","",SUMIFS(AWRData[ORA use (GB)],AWRData[Instance Name],InstSummary[[#This Row],[Instance Name]]))</f>
        <v/>
      </c>
      <c r="F14" s="8" t="str">
        <f>IF(InstSummary[[#This Row],[Instance Name]]="","",SUMIFS(AWRData[Total IOPS],AWRData[Instance Name],InstSummary[[#This Row],[Instance Name]]))</f>
        <v/>
      </c>
      <c r="G14" s="8" t="str">
        <f>IF(InstSummary[[#This Row],[Instance Name]]="","",SUMIFS(AWRData[Total Throughput (MB/s)],AWRData[Instance Name],InstSummary[[#This Row],[Instance Name]]))</f>
        <v/>
      </c>
      <c r="H14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5" spans="2:17" x14ac:dyDescent="0.25">
      <c r="B15" s="73"/>
      <c r="C15" s="73"/>
      <c r="D15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5" s="11" t="str">
        <f>IF(InstSummary[[#This Row],[Instance Name]]="","",SUMIFS(AWRData[ORA use (GB)],AWRData[Instance Name],InstSummary[[#This Row],[Instance Name]]))</f>
        <v/>
      </c>
      <c r="F15" s="8" t="str">
        <f>IF(InstSummary[[#This Row],[Instance Name]]="","",SUMIFS(AWRData[Total IOPS],AWRData[Instance Name],InstSummary[[#This Row],[Instance Name]]))</f>
        <v/>
      </c>
      <c r="G15" s="8" t="str">
        <f>IF(InstSummary[[#This Row],[Instance Name]]="","",SUMIFS(AWRData[Total Throughput (MB/s)],AWRData[Instance Name],InstSummary[[#This Row],[Instance Name]]))</f>
        <v/>
      </c>
      <c r="H15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6" spans="2:17" x14ac:dyDescent="0.25">
      <c r="D16" s="7">
        <f>SUBTOTAL(109,InstSummary[%DB Time of Elapsed Time (aka Avg Active Sessions or "AAS")])</f>
        <v>46.134337301587301</v>
      </c>
      <c r="E16" s="10">
        <f>SUBTOTAL(109,InstSummary[Observed memory use (GB)])</f>
        <v>1704.3591796875</v>
      </c>
      <c r="F16" s="9">
        <f>SUBTOTAL(109,InstSummary[Observed IOPS])</f>
        <v>42402.85</v>
      </c>
      <c r="G16" s="9">
        <f>SUBTOTAL(109,InstSummary[Observed Throughput (MB/s)])</f>
        <v>10978.436000000002</v>
      </c>
      <c r="H16" s="9">
        <f>SUBTOTAL(109,InstSummary[Est''d Azure vCPUs])</f>
        <v>46.134337301587301</v>
      </c>
    </row>
    <row r="17" spans="2:17" s="31" customFormat="1" x14ac:dyDescent="0.25">
      <c r="E17" s="23"/>
      <c r="F17" s="24"/>
      <c r="G17" s="24"/>
      <c r="H17" s="25"/>
      <c r="I17" s="23"/>
      <c r="J17" s="25"/>
      <c r="K17"/>
      <c r="L17" s="24"/>
      <c r="M17" s="24"/>
      <c r="N17" s="23"/>
      <c r="O17" s="23"/>
      <c r="P17" s="23"/>
      <c r="Q17" s="23"/>
    </row>
    <row r="18" spans="2:17" s="15" customFormat="1" ht="17.649999999999999" customHeight="1" x14ac:dyDescent="0.3">
      <c r="B18" s="15" t="s">
        <v>42</v>
      </c>
      <c r="E18" s="17"/>
      <c r="F18" s="18"/>
      <c r="G18" s="17"/>
      <c r="H18" s="18"/>
    </row>
    <row r="19" spans="2:17" s="1" customFormat="1" ht="60" x14ac:dyDescent="0.25">
      <c r="B19" s="45" t="s">
        <v>27</v>
      </c>
      <c r="C19" s="4" t="s">
        <v>26</v>
      </c>
      <c r="D19" s="5" t="s">
        <v>37</v>
      </c>
      <c r="E19" s="5" t="s">
        <v>34</v>
      </c>
      <c r="F19" s="5" t="s">
        <v>35</v>
      </c>
      <c r="G19" s="5" t="s">
        <v>36</v>
      </c>
      <c r="H19" s="53" t="s">
        <v>6</v>
      </c>
    </row>
    <row r="20" spans="2:17" x14ac:dyDescent="0.25">
      <c r="B20" s="73" t="s">
        <v>131</v>
      </c>
      <c r="D20" s="54">
        <f>IF(HostSummary[[#This Row],[Host]]="","",SUMIFS(AWRData[Average Active Sessions],AWRData[Host Name],HostSummary[[#This Row],[Host]]))</f>
        <v>9.7225664682539676</v>
      </c>
      <c r="E20" s="55">
        <f>IF(HostSummary[[#This Row],[Host]]="","",SUMIFS(AWRData[ORA use (GB)],AWRData[Host Name],HostSummary[[#This Row],[Host]]))</f>
        <v>438.10126953125001</v>
      </c>
      <c r="F20" s="55">
        <f>IF(HostSummary[[#This Row],[Host]]="","",SUMIFS(AWRData[Total IOPS],AWRData[Host Name],HostSummary[[#This Row],[Host]]))</f>
        <v>18502.55</v>
      </c>
      <c r="G20" s="55">
        <f>IF(HostSummary[[#This Row],[Host]]="","",SUMIFS(AWRData[Total Throughput (MB/s)],AWRData[Host Name],HostSummary[[#This Row],[Host]]))</f>
        <v>3283.154</v>
      </c>
      <c r="H20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10</v>
      </c>
    </row>
    <row r="21" spans="2:17" x14ac:dyDescent="0.25">
      <c r="B21" s="73" t="s">
        <v>132</v>
      </c>
      <c r="D21" s="54">
        <f>IF(HostSummary[[#This Row],[Host]]="","",SUMIFS(AWRData[Average Active Sessions],AWRData[Host Name],HostSummary[[#This Row],[Host]]))</f>
        <v>11.033961309523809</v>
      </c>
      <c r="E21" s="55">
        <f>IF(HostSummary[[#This Row],[Host]]="","",SUMIFS(AWRData[ORA use (GB)],AWRData[Host Name],HostSummary[[#This Row],[Host]]))</f>
        <v>415.80810546875</v>
      </c>
      <c r="F21" s="55">
        <f>IF(HostSummary[[#This Row],[Host]]="","",SUMIFS(AWRData[Total IOPS],AWRData[Host Name],HostSummary[[#This Row],[Host]]))</f>
        <v>6089.7699999999995</v>
      </c>
      <c r="G21" s="55">
        <f>IF(HostSummary[[#This Row],[Host]]="","",SUMIFS(AWRData[Total Throughput (MB/s)],AWRData[Host Name],HostSummary[[#This Row],[Host]]))</f>
        <v>1114.3920000000001</v>
      </c>
      <c r="H21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12</v>
      </c>
    </row>
    <row r="22" spans="2:17" x14ac:dyDescent="0.25">
      <c r="B22" s="73" t="s">
        <v>133</v>
      </c>
      <c r="D22" s="54">
        <f>IF(HostSummary[[#This Row],[Host]]="","",SUMIFS(AWRData[Average Active Sessions],AWRData[Host Name],HostSummary[[#This Row],[Host]]))</f>
        <v>10.042900793650794</v>
      </c>
      <c r="E22" s="55">
        <f>IF(HostSummary[[#This Row],[Host]]="","",SUMIFS(AWRData[ORA use (GB)],AWRData[Host Name],HostSummary[[#This Row],[Host]]))</f>
        <v>420.20537109374999</v>
      </c>
      <c r="F22" s="55">
        <f>IF(HostSummary[[#This Row],[Host]]="","",SUMIFS(AWRData[Total IOPS],AWRData[Host Name],HostSummary[[#This Row],[Host]]))</f>
        <v>9737.27</v>
      </c>
      <c r="G22" s="55">
        <f>IF(HostSummary[[#This Row],[Host]]="","",SUMIFS(AWRData[Total Throughput (MB/s)],AWRData[Host Name],HostSummary[[#This Row],[Host]]))</f>
        <v>2528.77</v>
      </c>
      <c r="H22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11</v>
      </c>
    </row>
    <row r="23" spans="2:17" x14ac:dyDescent="0.25">
      <c r="B23" s="73" t="s">
        <v>134</v>
      </c>
      <c r="D23" s="54">
        <f>IF(HostSummary[[#This Row],[Host]]="","",SUMIFS(AWRData[Average Active Sessions],AWRData[Host Name],HostSummary[[#This Row],[Host]]))</f>
        <v>15.33490873015873</v>
      </c>
      <c r="E23" s="55">
        <f>IF(HostSummary[[#This Row],[Host]]="","",SUMIFS(AWRData[ORA use (GB)],AWRData[Host Name],HostSummary[[#This Row],[Host]]))</f>
        <v>430.24443359374999</v>
      </c>
      <c r="F23" s="55">
        <f>IF(HostSummary[[#This Row],[Host]]="","",SUMIFS(AWRData[Total IOPS],AWRData[Host Name],HostSummary[[#This Row],[Host]]))</f>
        <v>8073.26</v>
      </c>
      <c r="G23" s="55">
        <f>IF(HostSummary[[#This Row],[Host]]="","",SUMIFS(AWRData[Total Throughput (MB/s)],AWRData[Host Name],HostSummary[[#This Row],[Host]]))</f>
        <v>4052.12</v>
      </c>
      <c r="H23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16</v>
      </c>
    </row>
    <row r="24" spans="2:17" x14ac:dyDescent="0.25">
      <c r="B24" s="73"/>
      <c r="D24" s="54" t="str">
        <f>IF(HostSummary[[#This Row],[Host]]="","",SUMIFS(AWRData[Average Active Sessions],AWRData[Host Name],HostSummary[[#This Row],[Host]]))</f>
        <v/>
      </c>
      <c r="E24" s="55" t="str">
        <f>IF(HostSummary[[#This Row],[Host]]="","",SUMIFS(AWRData[ORA use (GB)],AWRData[Host Name],HostSummary[[#This Row],[Host]]))</f>
        <v/>
      </c>
      <c r="F24" s="55" t="str">
        <f>IF(HostSummary[[#This Row],[Host]]="","",SUMIFS(AWRData[Total IOPS],AWRData[Host Name],HostSummary[[#This Row],[Host]]))</f>
        <v/>
      </c>
      <c r="G24" s="55" t="str">
        <f>IF(HostSummary[[#This Row],[Host]]="","",SUMIFS(AWRData[Total Throughput (MB/s)],AWRData[Host Name],HostSummary[[#This Row],[Host]]))</f>
        <v/>
      </c>
      <c r="H24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5" spans="2:17" x14ac:dyDescent="0.25">
      <c r="B25" s="73"/>
      <c r="D25" s="54" t="str">
        <f>IF(HostSummary[[#This Row],[Host]]="","",SUMIFS(AWRData[Average Active Sessions],AWRData[Host Name],HostSummary[[#This Row],[Host]]))</f>
        <v/>
      </c>
      <c r="E25" s="55" t="str">
        <f>IF(HostSummary[[#This Row],[Host]]="","",SUMIFS(AWRData[ORA use (GB)],AWRData[Host Name],HostSummary[[#This Row],[Host]]))</f>
        <v/>
      </c>
      <c r="F25" s="55" t="str">
        <f>IF(HostSummary[[#This Row],[Host]]="","",SUMIFS(AWRData[Total IOPS],AWRData[Host Name],HostSummary[[#This Row],[Host]]))</f>
        <v/>
      </c>
      <c r="G25" s="55" t="str">
        <f>IF(HostSummary[[#This Row],[Host]]="","",SUMIFS(AWRData[Total Throughput (MB/s)],AWRData[Host Name],HostSummary[[#This Row],[Host]]))</f>
        <v/>
      </c>
      <c r="H25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6" spans="2:17" x14ac:dyDescent="0.25">
      <c r="B26" s="73"/>
      <c r="D26" s="54" t="str">
        <f>IF(HostSummary[[#This Row],[Host]]="","",SUMIFS(AWRData[Average Active Sessions],AWRData[Host Name],HostSummary[[#This Row],[Host]]))</f>
        <v/>
      </c>
      <c r="E26" s="55" t="str">
        <f>IF(HostSummary[[#This Row],[Host]]="","",SUMIFS(AWRData[ORA use (GB)],AWRData[Host Name],HostSummary[[#This Row],[Host]]))</f>
        <v/>
      </c>
      <c r="F26" s="55" t="str">
        <f>IF(HostSummary[[#This Row],[Host]]="","",SUMIFS(AWRData[Total IOPS],AWRData[Host Name],HostSummary[[#This Row],[Host]]))</f>
        <v/>
      </c>
      <c r="G26" s="55" t="str">
        <f>IF(HostSummary[[#This Row],[Host]]="","",SUMIFS(AWRData[Total Throughput (MB/s)],AWRData[Host Name],HostSummary[[#This Row],[Host]]))</f>
        <v/>
      </c>
      <c r="H26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7" spans="2:17" x14ac:dyDescent="0.25">
      <c r="B27" s="73"/>
      <c r="D27" s="54" t="str">
        <f>IF(HostSummary[[#This Row],[Host]]="","",SUMIFS(AWRData[Average Active Sessions],AWRData[Host Name],HostSummary[[#This Row],[Host]]))</f>
        <v/>
      </c>
      <c r="E27" s="55" t="str">
        <f>IF(HostSummary[[#This Row],[Host]]="","",SUMIFS(AWRData[ORA use (GB)],AWRData[Host Name],HostSummary[[#This Row],[Host]]))</f>
        <v/>
      </c>
      <c r="F27" s="55" t="str">
        <f>IF(HostSummary[[#This Row],[Host]]="","",SUMIFS(AWRData[Total IOPS],AWRData[Host Name],HostSummary[[#This Row],[Host]]))</f>
        <v/>
      </c>
      <c r="G27" s="55" t="str">
        <f>IF(HostSummary[[#This Row],[Host]]="","",SUMIFS(AWRData[Total Throughput (MB/s)],AWRData[Host Name],HostSummary[[#This Row],[Host]]))</f>
        <v/>
      </c>
      <c r="H27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8" spans="2:17" x14ac:dyDescent="0.25">
      <c r="B28" t="s">
        <v>7</v>
      </c>
      <c r="D28" s="56">
        <f>SUBTOTAL(109,HostSummary[%DB Time of Elapsed Time (aka Avg Active Sessions or "AAS")])</f>
        <v>46.134337301587301</v>
      </c>
      <c r="E28" s="57">
        <f>SUBTOTAL(109,HostSummary[Observed memory use (GB)])</f>
        <v>1704.3591796875</v>
      </c>
      <c r="F28" s="57">
        <f>SUBTOTAL(109,HostSummary[Observed IOPS])</f>
        <v>42402.85</v>
      </c>
      <c r="G28" s="57">
        <f>SUBTOTAL(109,HostSummary[Observed Throughput (MB/s)])</f>
        <v>10978.436000000002</v>
      </c>
      <c r="H28" s="57">
        <f>SUBTOTAL(109,HostSummary[Est''d Azure vCPUs])</f>
        <v>49</v>
      </c>
      <c r="J28" s="128"/>
    </row>
    <row r="29" spans="2:17" x14ac:dyDescent="0.25">
      <c r="F29"/>
      <c r="H29"/>
    </row>
    <row r="30" spans="2:17" s="19" customFormat="1" ht="18.75" x14ac:dyDescent="0.3">
      <c r="B30" s="19" t="s">
        <v>43</v>
      </c>
      <c r="D30" s="20"/>
      <c r="F30" s="21"/>
      <c r="G30" s="22"/>
    </row>
    <row r="31" spans="2:17" s="2" customFormat="1" ht="75" x14ac:dyDescent="0.25">
      <c r="B31" s="4" t="s">
        <v>0</v>
      </c>
      <c r="C31" s="5" t="s">
        <v>37</v>
      </c>
      <c r="D31" s="49" t="s">
        <v>38</v>
      </c>
      <c r="E31" s="12" t="s">
        <v>33</v>
      </c>
      <c r="F31" s="49" t="s">
        <v>35</v>
      </c>
      <c r="G31" s="49" t="s">
        <v>39</v>
      </c>
      <c r="H31" s="12" t="s">
        <v>31</v>
      </c>
      <c r="I31" s="12" t="s">
        <v>32</v>
      </c>
      <c r="J31" s="49" t="s">
        <v>8</v>
      </c>
      <c r="K31" s="12" t="s">
        <v>9</v>
      </c>
    </row>
    <row r="32" spans="2:17" x14ac:dyDescent="0.25">
      <c r="B32" s="73" t="s">
        <v>126</v>
      </c>
      <c r="C32" s="54">
        <f>IF(DBSummary[[#This Row],[DB Name]]="","",SUMIFS(AWRData[DB Time (mins)],AWRData[DB Name],DBSummary[[#This Row],[DB Name]])/SUMIFS(AWRData[Elapsed Time (mins)],AWRData[DB Name],DBSummary[[#This Row],[DB Name]]))</f>
        <v>11.533584325396825</v>
      </c>
      <c r="D32" s="59">
        <f>IF(DBSummary[[#This Row],[DB Name]]="","",SUMIFS(AWRData[ORA use (GB)],AWRData[DB Name],DBSummary[[#This Row],[DB Name]]))</f>
        <v>1704.3591796875</v>
      </c>
      <c r="E32" s="13">
        <f>IF(DBSummary[[#This Row],[DB Name]]="","",PeakRAMfactor*DBSummary[[#This Row],[Observed memory (GiB) consumed only by Oracle]])</f>
        <v>3408.7183593750001</v>
      </c>
      <c r="F32" s="58">
        <f>IF(DBSummary[[#This Row],[DB Name]]="","",SUMIFS(AWRData[Total IOPS],AWRData[DB Name],DBSummary[[#This Row],[DB Name]]))</f>
        <v>42402.85</v>
      </c>
      <c r="G32" s="58">
        <f>IF(DBSummary[[#This Row],[DB Name]]="","",SUMIFS(AWRData[Total Throughput (MB/s)],AWRData[DB Name],DBSummary[[#This Row],[DB Name]]))</f>
        <v>10978.436000000002</v>
      </c>
      <c r="H32" s="50">
        <f>IF(DBSummary[[#This Row],[DB Name]]="","",DBSummary[[#This Row],[Observed IOPS]]*IoMetricsFactor)</f>
        <v>84805.7</v>
      </c>
      <c r="I32" s="50">
        <f>IF(DBSummary[[#This Row],[DB Name]]="","",DBSummary[[#This Row],[Observed I/O throughput (MB/s)]]*IoMetricsFactor)</f>
        <v>21956.872000000003</v>
      </c>
      <c r="J32" s="33">
        <f>IF(DBSummary[[#This Row],[DB Name]]="","",ROUND(SUMIFS(InstSummary[Est''d Azure vCPUs],InstSummary[DB Name],DBSummary[[#This Row],[DB Name]])+0.5,0))</f>
        <v>47</v>
      </c>
      <c r="K32" s="43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117.5</v>
      </c>
    </row>
    <row r="33" spans="2:14" x14ac:dyDescent="0.25">
      <c r="B33" s="76"/>
      <c r="C33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59" t="str">
        <f>IF(DBSummary[[#This Row],[DB Name]]="","",SUMIFS(AWRData[ORA use (GB)],AWRData[DB Name],DBSummary[[#This Row],[DB Name]]))</f>
        <v/>
      </c>
      <c r="E33" s="13" t="str">
        <f>IF(DBSummary[[#This Row],[DB Name]]="","",PeakRAMfactor*DBSummary[[#This Row],[Observed memory (GiB) consumed only by Oracle]])</f>
        <v/>
      </c>
      <c r="F33" s="58" t="str">
        <f>IF(DBSummary[[#This Row],[DB Name]]="","",SUMIFS(AWRData[Total IOPS],AWRData[DB Name],DBSummary[[#This Row],[DB Name]]))</f>
        <v/>
      </c>
      <c r="G33" s="58" t="str">
        <f>IF(DBSummary[[#This Row],[DB Name]]="","",SUMIFS(AWRData[Total Throughput (MB/s)],AWRData[DB Name],DBSummary[[#This Row],[DB Name]]))</f>
        <v/>
      </c>
      <c r="H33" s="50" t="str">
        <f>IF(DBSummary[[#This Row],[DB Name]]="","",DBSummary[[#This Row],[Observed IOPS]]*IoMetricsFactor)</f>
        <v/>
      </c>
      <c r="I33" s="50" t="str">
        <f>IF(DBSummary[[#This Row],[DB Name]]="","",DBSummary[[#This Row],[Observed I/O throughput (MB/s)]]*IoMetricsFactor)</f>
        <v/>
      </c>
      <c r="J33" s="33" t="str">
        <f>IF(DBSummary[[#This Row],[DB Name]]="","",ROUND(SUMIFS(InstSummary[Est''d Azure vCPUs],InstSummary[DB Name],DBSummary[[#This Row],[DB Name]])+0.5,0))</f>
        <v/>
      </c>
      <c r="K33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25">
      <c r="B34" s="73"/>
      <c r="C34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59" t="str">
        <f>IF(DBSummary[[#This Row],[DB Name]]="","",SUMIFS(AWRData[ORA use (GB)],AWRData[DB Name],DBSummary[[#This Row],[DB Name]]))</f>
        <v/>
      </c>
      <c r="E34" s="13" t="str">
        <f>IF(DBSummary[[#This Row],[DB Name]]="","",PeakRAMfactor*DBSummary[[#This Row],[Observed memory (GiB) consumed only by Oracle]])</f>
        <v/>
      </c>
      <c r="F34" s="58" t="str">
        <f>IF(DBSummary[[#This Row],[DB Name]]="","",SUMIFS(AWRData[Total IOPS],AWRData[DB Name],DBSummary[[#This Row],[DB Name]]))</f>
        <v/>
      </c>
      <c r="G34" s="58" t="str">
        <f>IF(DBSummary[[#This Row],[DB Name]]="","",SUMIFS(AWRData[Total Throughput (MB/s)],AWRData[DB Name],DBSummary[[#This Row],[DB Name]]))</f>
        <v/>
      </c>
      <c r="H34" s="50" t="str">
        <f>IF(DBSummary[[#This Row],[DB Name]]="","",DBSummary[[#This Row],[Observed IOPS]]*IoMetricsFactor)</f>
        <v/>
      </c>
      <c r="I34" s="50" t="str">
        <f>IF(DBSummary[[#This Row],[DB Name]]="","",DBSummary[[#This Row],[Observed I/O throughput (MB/s)]]*IoMetricsFactor)</f>
        <v/>
      </c>
      <c r="J34" s="33" t="str">
        <f>IF(DBSummary[[#This Row],[DB Name]]="","",ROUND(SUMIFS(InstSummary[Est''d Azure vCPUs],InstSummary[DB Name],DBSummary[[#This Row],[DB Name]])+0.5,0))</f>
        <v/>
      </c>
      <c r="K34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25">
      <c r="B35" s="76"/>
      <c r="C35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59" t="str">
        <f>IF(DBSummary[[#This Row],[DB Name]]="","",SUMIFS(AWRData[ORA use (GB)],AWRData[DB Name],DBSummary[[#This Row],[DB Name]]))</f>
        <v/>
      </c>
      <c r="E35" s="13" t="str">
        <f>IF(DBSummary[[#This Row],[DB Name]]="","",PeakRAMfactor*DBSummary[[#This Row],[Observed memory (GiB) consumed only by Oracle]])</f>
        <v/>
      </c>
      <c r="F35" s="58" t="str">
        <f>IF(DBSummary[[#This Row],[DB Name]]="","",SUMIFS(AWRData[Total IOPS],AWRData[DB Name],DBSummary[[#This Row],[DB Name]]))</f>
        <v/>
      </c>
      <c r="G35" s="58" t="str">
        <f>IF(DBSummary[[#This Row],[DB Name]]="","",SUMIFS(AWRData[Total Throughput (MB/s)],AWRData[DB Name],DBSummary[[#This Row],[DB Name]]))</f>
        <v/>
      </c>
      <c r="H35" s="50" t="str">
        <f>IF(DBSummary[[#This Row],[DB Name]]="","",DBSummary[[#This Row],[Observed IOPS]]*IoMetricsFactor)</f>
        <v/>
      </c>
      <c r="I35" s="50" t="str">
        <f>IF(DBSummary[[#This Row],[DB Name]]="","",DBSummary[[#This Row],[Observed I/O throughput (MB/s)]]*IoMetricsFactor)</f>
        <v/>
      </c>
      <c r="J35" s="33" t="str">
        <f>IF(DBSummary[[#This Row],[DB Name]]="","",ROUND(SUMIFS(InstSummary[Est''d Azure vCPUs],InstSummary[DB Name],DBSummary[[#This Row],[DB Name]])+0.5,0))</f>
        <v/>
      </c>
      <c r="K35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s="31" customFormat="1" x14ac:dyDescent="0.25">
      <c r="B36" t="s">
        <v>7</v>
      </c>
      <c r="C36" s="61">
        <f>SUBTOTAL(109,DBSummary[%DB Time of Elapsed Time (aka Avg Active Sessions or "AAS")])</f>
        <v>11.533584325396825</v>
      </c>
      <c r="D36" s="62">
        <f>SUBTOTAL(109,DBSummary[Observed memory (GiB) consumed only by Oracle])</f>
        <v>1704.3591796875</v>
      </c>
      <c r="E36" s="14">
        <f>SUBTOTAL(109,DBSummary[Est''d Azure vRAM for server])</f>
        <v>3408.7183593750001</v>
      </c>
      <c r="F36" s="60">
        <f>SUBTOTAL(109,DBSummary[Observed IOPS])</f>
        <v>42402.85</v>
      </c>
      <c r="G36" s="60">
        <f>SUBTOTAL(109,DBSummary[Observed I/O throughput (MB/s)])</f>
        <v>10978.436000000002</v>
      </c>
      <c r="H36" s="51">
        <f>SUBTOTAL(109,DBSummary[Est''d Azure IOPS for peak load])</f>
        <v>84805.7</v>
      </c>
      <c r="I36" s="51">
        <f>SUBTOTAL(109,DBSummary[Est''d Azure Throughput (MB/s) for peak load])</f>
        <v>21956.872000000003</v>
      </c>
      <c r="J36" s="63">
        <f>SUBTOTAL(109,DBSummary[Est''d Azure vCPUs for avg load])</f>
        <v>47</v>
      </c>
      <c r="K36" s="52">
        <f>SUBTOTAL(109,DBSummary[Est''d Azure vCPUs for peak load])</f>
        <v>117.5</v>
      </c>
    </row>
    <row r="37" spans="2:14" s="31" customFormat="1" x14ac:dyDescent="0.25">
      <c r="C37" s="23"/>
      <c r="D37" s="32"/>
      <c r="E37" s="24"/>
      <c r="F37" s="24"/>
      <c r="G37" s="34"/>
      <c r="H37" s="35"/>
      <c r="I37" s="23"/>
      <c r="J37" s="23"/>
      <c r="K37" s="23"/>
      <c r="L37" s="36"/>
      <c r="M37" s="37"/>
      <c r="N37" s="38"/>
    </row>
    <row r="38" spans="2:14" s="31" customFormat="1" x14ac:dyDescent="0.25">
      <c r="C38" s="23"/>
      <c r="D38" s="32"/>
      <c r="E38" s="24"/>
      <c r="F38" s="24"/>
      <c r="G38" s="34"/>
      <c r="H38" s="35"/>
      <c r="I38" s="23"/>
      <c r="J38" s="23"/>
      <c r="K38" s="23"/>
      <c r="L38" s="36"/>
      <c r="M38" s="37"/>
      <c r="N38" s="38"/>
    </row>
  </sheetData>
  <sheetProtection algorithmName="SHA-512" hashValue="BBYvxQN8J3GDm3OH2nwBTNkJOaRkmdAknS54z1CXgM5v5PUIWxXeWz/GADkO3ZvdBUMdNvegWE++AjRV4GO+3Q==" saltValue="tpjvcNEPNwMm2K5xjJPMjw==" spinCount="100000" sheet="1" objects="1" scenarios="1"/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8AF5-5053-46CA-9445-3E203530708E}">
  <dimension ref="A1:S40"/>
  <sheetViews>
    <sheetView tabSelected="1" workbookViewId="0">
      <selection activeCell="F20" sqref="F20"/>
    </sheetView>
  </sheetViews>
  <sheetFormatPr defaultRowHeight="15" x14ac:dyDescent="0.25"/>
  <cols>
    <col min="2" max="2" width="19.28515625" customWidth="1"/>
    <col min="3" max="3" width="13.7109375" customWidth="1"/>
    <col min="4" max="4" width="20.42578125" customWidth="1"/>
    <col min="5" max="5" width="13.42578125" customWidth="1"/>
    <col min="6" max="7" width="14.42578125" customWidth="1"/>
    <col min="8" max="8" width="14.28515625" customWidth="1"/>
    <col min="9" max="10" width="14.140625" customWidth="1"/>
    <col min="11" max="11" width="12.42578125" customWidth="1"/>
    <col min="12" max="14" width="13.7109375" customWidth="1"/>
  </cols>
  <sheetData>
    <row r="1" spans="1:19" s="15" customFormat="1" ht="19.5" thickBot="1" x14ac:dyDescent="0.35">
      <c r="A1" s="15" t="s">
        <v>100</v>
      </c>
      <c r="C1" s="77"/>
      <c r="D1" s="78"/>
      <c r="E1" s="79"/>
      <c r="F1" s="80"/>
      <c r="G1" s="80"/>
      <c r="H1" s="81"/>
      <c r="I1" s="81"/>
      <c r="J1" s="82"/>
      <c r="K1" s="83"/>
      <c r="L1" s="84"/>
    </row>
    <row r="2" spans="1:19" ht="75" x14ac:dyDescent="0.25">
      <c r="B2" s="85" t="s">
        <v>98</v>
      </c>
      <c r="C2" s="86" t="s">
        <v>46</v>
      </c>
      <c r="D2" s="86" t="s">
        <v>47</v>
      </c>
      <c r="E2" s="86" t="s">
        <v>115</v>
      </c>
      <c r="F2" s="86" t="s">
        <v>48</v>
      </c>
      <c r="G2" s="86" t="s">
        <v>49</v>
      </c>
      <c r="H2" s="86" t="s">
        <v>116</v>
      </c>
      <c r="I2" s="86" t="s">
        <v>114</v>
      </c>
      <c r="J2" s="86" t="s">
        <v>125</v>
      </c>
    </row>
    <row r="3" spans="1:19" s="122" customFormat="1" x14ac:dyDescent="0.25">
      <c r="B3" s="127" t="s">
        <v>126</v>
      </c>
      <c r="C3" s="124">
        <v>50000</v>
      </c>
      <c r="D3" s="123" t="s">
        <v>121</v>
      </c>
      <c r="E3" s="125">
        <f>K12</f>
        <v>11317.19</v>
      </c>
      <c r="F3" s="123" t="s">
        <v>50</v>
      </c>
      <c r="G3" s="123">
        <v>128</v>
      </c>
      <c r="H3" s="126">
        <f>D25</f>
        <v>17.920000000000002</v>
      </c>
      <c r="I3" s="126">
        <f>C20*(C3/SUM(C3:C3))</f>
        <v>21388.79</v>
      </c>
      <c r="J3" s="126">
        <f>E3+H3+I3</f>
        <v>32723.9</v>
      </c>
    </row>
    <row r="4" spans="1:19" x14ac:dyDescent="0.25">
      <c r="B4" s="87"/>
      <c r="C4" s="88"/>
      <c r="D4" s="87"/>
      <c r="E4" s="89"/>
      <c r="F4" s="89"/>
      <c r="G4" s="87"/>
      <c r="H4" s="87"/>
      <c r="I4" s="90"/>
      <c r="J4" s="91"/>
      <c r="K4" s="87"/>
      <c r="L4" s="87"/>
      <c r="M4" s="87"/>
      <c r="R4" s="92"/>
      <c r="S4" s="92"/>
    </row>
    <row r="5" spans="1:19" ht="18.75" x14ac:dyDescent="0.3">
      <c r="A5" s="15" t="s">
        <v>101</v>
      </c>
      <c r="B5" s="87"/>
      <c r="C5" s="88"/>
      <c r="D5" s="87"/>
      <c r="E5" s="89"/>
      <c r="F5" s="89"/>
      <c r="G5" s="87"/>
      <c r="H5" s="87"/>
      <c r="I5" s="90"/>
      <c r="J5" s="91"/>
      <c r="K5" s="87"/>
      <c r="L5" s="87"/>
      <c r="M5" s="87"/>
      <c r="R5" s="92"/>
      <c r="S5" s="92"/>
    </row>
    <row r="6" spans="1:19" ht="90" x14ac:dyDescent="0.25">
      <c r="B6" s="121"/>
      <c r="C6" s="93" t="s">
        <v>51</v>
      </c>
      <c r="D6" s="93" t="s">
        <v>52</v>
      </c>
      <c r="E6" s="93" t="s">
        <v>95</v>
      </c>
      <c r="F6" s="93" t="s">
        <v>96</v>
      </c>
      <c r="G6" s="121" t="s">
        <v>103</v>
      </c>
      <c r="H6" s="93" t="s">
        <v>104</v>
      </c>
      <c r="I6" s="93" t="s">
        <v>105</v>
      </c>
      <c r="M6" s="92"/>
      <c r="N6" s="92"/>
    </row>
    <row r="7" spans="1:19" x14ac:dyDescent="0.25">
      <c r="B7" s="140" t="s">
        <v>126</v>
      </c>
      <c r="C7" s="94">
        <v>96</v>
      </c>
      <c r="D7" s="95">
        <v>0.75</v>
      </c>
      <c r="E7" s="96">
        <f>(C7*(F29+G29+H29))*(1-D7)</f>
        <v>1716000</v>
      </c>
      <c r="F7" s="96">
        <f>(C7*(F29+G29+H29))*0.22</f>
        <v>1510080</v>
      </c>
      <c r="G7" s="64">
        <f>(E3+H3+I3)*12</f>
        <v>392686.80000000005</v>
      </c>
      <c r="H7" s="96">
        <f>E7+F7+G7</f>
        <v>3618766.8</v>
      </c>
      <c r="I7" s="64">
        <f>F7+G7</f>
        <v>1902766.8</v>
      </c>
      <c r="M7" s="92"/>
      <c r="N7" s="92"/>
    </row>
    <row r="8" spans="1:19" x14ac:dyDescent="0.25">
      <c r="F8" s="3"/>
      <c r="H8" s="3"/>
    </row>
    <row r="9" spans="1:19" s="15" customFormat="1" ht="18.75" x14ac:dyDescent="0.3">
      <c r="A9" s="15" t="s">
        <v>53</v>
      </c>
      <c r="C9" s="77"/>
      <c r="D9" s="78"/>
      <c r="E9" s="79"/>
      <c r="F9" s="80"/>
      <c r="G9" s="80"/>
      <c r="H9" s="81"/>
      <c r="I9" s="81"/>
      <c r="J9" s="82"/>
      <c r="K9" s="83"/>
      <c r="L9" s="84"/>
    </row>
    <row r="10" spans="1:19" x14ac:dyDescent="0.25">
      <c r="B10" s="97" t="s">
        <v>54</v>
      </c>
      <c r="C10" s="98"/>
      <c r="D10" s="59"/>
      <c r="E10" s="13"/>
      <c r="F10" s="58"/>
      <c r="G10" s="58"/>
      <c r="H10" s="50"/>
      <c r="I10" s="50"/>
      <c r="J10" s="33"/>
      <c r="K10" s="43"/>
      <c r="L10" s="99"/>
    </row>
    <row r="11" spans="1:19" ht="71.25" customHeight="1" x14ac:dyDescent="0.25">
      <c r="B11" s="100" t="s">
        <v>55</v>
      </c>
      <c r="C11" s="100" t="s">
        <v>56</v>
      </c>
      <c r="D11" s="100" t="s">
        <v>57</v>
      </c>
      <c r="E11" s="100" t="s">
        <v>58</v>
      </c>
      <c r="F11" s="100" t="s">
        <v>59</v>
      </c>
      <c r="G11" s="100" t="s">
        <v>60</v>
      </c>
      <c r="H11" s="100" t="s">
        <v>61</v>
      </c>
      <c r="I11" s="100" t="s">
        <v>62</v>
      </c>
      <c r="J11" s="100" t="s">
        <v>63</v>
      </c>
      <c r="K11" s="100" t="s">
        <v>64</v>
      </c>
      <c r="L11" s="100" t="s">
        <v>65</v>
      </c>
      <c r="M11" s="100" t="s">
        <v>66</v>
      </c>
      <c r="O11" s="104"/>
      <c r="P11" s="104"/>
      <c r="Q11" s="104"/>
    </row>
    <row r="12" spans="1:19" x14ac:dyDescent="0.25">
      <c r="B12" s="101" t="s">
        <v>121</v>
      </c>
      <c r="C12" s="101">
        <v>128</v>
      </c>
      <c r="D12" s="101">
        <v>2048</v>
      </c>
      <c r="E12" s="101">
        <v>0</v>
      </c>
      <c r="F12" s="101">
        <v>64</v>
      </c>
      <c r="G12" s="101" t="s">
        <v>102</v>
      </c>
      <c r="H12" t="s">
        <v>107</v>
      </c>
      <c r="I12" s="101">
        <v>8</v>
      </c>
      <c r="J12" s="101">
        <v>30000</v>
      </c>
      <c r="K12" s="119">
        <v>11317.19</v>
      </c>
      <c r="L12" s="119">
        <v>6582.0815000000002</v>
      </c>
      <c r="M12" s="119">
        <v>3177.8579</v>
      </c>
      <c r="P12" s="104"/>
    </row>
    <row r="13" spans="1:19" x14ac:dyDescent="0.25">
      <c r="B13" s="101" t="s">
        <v>106</v>
      </c>
      <c r="C13" s="101">
        <v>192</v>
      </c>
      <c r="D13" s="101">
        <v>2048</v>
      </c>
      <c r="E13" s="101">
        <v>0</v>
      </c>
      <c r="F13" s="101">
        <v>64</v>
      </c>
      <c r="G13" s="101" t="s">
        <v>99</v>
      </c>
      <c r="H13" s="101" t="s">
        <v>107</v>
      </c>
      <c r="I13" s="101">
        <v>8</v>
      </c>
      <c r="J13" s="101">
        <v>30000</v>
      </c>
      <c r="K13" s="119">
        <v>13675.09</v>
      </c>
      <c r="L13" s="119">
        <v>7953.5860000000002</v>
      </c>
      <c r="M13" s="119">
        <v>3840.0263</v>
      </c>
      <c r="O13" s="104"/>
      <c r="P13" s="104"/>
      <c r="Q13" s="104"/>
      <c r="R13" s="104"/>
    </row>
    <row r="14" spans="1:19" x14ac:dyDescent="0.25">
      <c r="B14" s="101" t="s">
        <v>118</v>
      </c>
      <c r="C14" s="101">
        <v>208</v>
      </c>
      <c r="D14" s="101">
        <v>2850</v>
      </c>
      <c r="E14" s="101">
        <v>4096</v>
      </c>
      <c r="F14" s="101">
        <v>64</v>
      </c>
      <c r="G14" s="101" t="s">
        <v>119</v>
      </c>
      <c r="H14" s="101" t="s">
        <v>117</v>
      </c>
      <c r="I14" s="101">
        <v>8</v>
      </c>
      <c r="J14" s="101">
        <v>16000</v>
      </c>
      <c r="K14" s="119">
        <v>19543.560000000001</v>
      </c>
      <c r="L14" s="119">
        <v>11366.3336</v>
      </c>
      <c r="M14" s="119">
        <v>5487.19</v>
      </c>
      <c r="O14" s="104"/>
      <c r="P14" s="104"/>
    </row>
    <row r="15" spans="1:19" x14ac:dyDescent="0.25">
      <c r="C15" s="98"/>
      <c r="D15" s="102" t="s">
        <v>120</v>
      </c>
      <c r="E15" s="13"/>
      <c r="F15" s="58"/>
      <c r="G15" s="58"/>
      <c r="I15" s="50"/>
      <c r="J15" s="33"/>
      <c r="P15" s="104"/>
      <c r="Q15" s="104"/>
      <c r="R15" s="104"/>
    </row>
    <row r="16" spans="1:19" x14ac:dyDescent="0.25">
      <c r="C16" s="98"/>
      <c r="D16" s="59"/>
      <c r="E16" s="13"/>
      <c r="F16" s="58"/>
      <c r="G16" s="58"/>
      <c r="H16" s="102"/>
      <c r="I16" s="104"/>
      <c r="J16" s="104"/>
      <c r="K16" s="104"/>
      <c r="L16" s="104"/>
      <c r="M16" s="104"/>
      <c r="N16" s="104"/>
      <c r="O16" s="104"/>
      <c r="P16" s="104"/>
    </row>
    <row r="17" spans="2:18" s="122" customFormat="1" ht="26.25" x14ac:dyDescent="0.25">
      <c r="B17" s="100" t="s">
        <v>111</v>
      </c>
      <c r="C17" s="100" t="s">
        <v>112</v>
      </c>
      <c r="D17" s="100" t="s">
        <v>113</v>
      </c>
      <c r="E17" s="58"/>
      <c r="F17" s="104"/>
      <c r="G17" s="104"/>
      <c r="H17" s="104"/>
      <c r="I17" s="104"/>
      <c r="J17" s="104"/>
      <c r="K17" s="104"/>
      <c r="L17" s="104"/>
    </row>
    <row r="18" spans="2:18" s="122" customFormat="1" x14ac:dyDescent="0.25">
      <c r="B18" s="132" t="s">
        <v>108</v>
      </c>
      <c r="C18" s="131">
        <v>4500</v>
      </c>
      <c r="D18" s="131">
        <v>4500</v>
      </c>
      <c r="E18" s="58"/>
      <c r="F18" s="129"/>
      <c r="G18" s="129"/>
      <c r="H18" s="129"/>
      <c r="I18" s="129"/>
      <c r="J18" s="129"/>
      <c r="K18" s="129"/>
      <c r="L18" s="129"/>
    </row>
    <row r="19" spans="2:18" s="122" customFormat="1" ht="30" x14ac:dyDescent="0.25">
      <c r="B19" s="132" t="s">
        <v>109</v>
      </c>
      <c r="C19" s="130">
        <v>71</v>
      </c>
      <c r="D19" s="130">
        <v>60</v>
      </c>
      <c r="E19" s="58"/>
      <c r="F19" s="129"/>
      <c r="G19" s="129"/>
      <c r="H19" s="129"/>
      <c r="I19" s="129"/>
      <c r="J19" s="129"/>
      <c r="K19" s="129"/>
      <c r="L19" s="129"/>
    </row>
    <row r="20" spans="2:18" s="122" customFormat="1" ht="30" x14ac:dyDescent="0.25">
      <c r="B20" s="132" t="s">
        <v>110</v>
      </c>
      <c r="C20" s="156">
        <v>21388.79</v>
      </c>
      <c r="D20" s="156">
        <v>24129.95</v>
      </c>
      <c r="E20" s="58"/>
      <c r="F20" s="129"/>
      <c r="G20" s="129"/>
      <c r="H20" s="129"/>
      <c r="I20" s="129"/>
      <c r="J20" s="129"/>
      <c r="K20" s="129"/>
      <c r="L20" s="129"/>
    </row>
    <row r="21" spans="2:18" s="122" customFormat="1" x14ac:dyDescent="0.25">
      <c r="B21"/>
      <c r="C21" s="98"/>
      <c r="D21" s="102" t="s">
        <v>120</v>
      </c>
      <c r="E21" s="58"/>
      <c r="F21" s="58"/>
      <c r="G21" s="102"/>
      <c r="H21" s="129"/>
      <c r="I21" s="129"/>
      <c r="J21" s="129"/>
      <c r="K21" s="129"/>
      <c r="L21" s="129"/>
      <c r="M21" s="129"/>
      <c r="N21" s="129"/>
      <c r="O21" s="129"/>
    </row>
    <row r="22" spans="2:18" s="122" customFormat="1" x14ac:dyDescent="0.25">
      <c r="B22"/>
      <c r="C22" s="98"/>
      <c r="D22" s="59"/>
      <c r="E22" s="58"/>
      <c r="F22" s="58"/>
      <c r="G22" s="102"/>
      <c r="H22" s="129"/>
      <c r="I22" s="129"/>
      <c r="J22" s="129"/>
      <c r="K22" s="129"/>
      <c r="L22" s="129"/>
      <c r="M22" s="129"/>
      <c r="N22" s="129"/>
      <c r="O22" s="129"/>
    </row>
    <row r="23" spans="2:18" x14ac:dyDescent="0.25">
      <c r="B23" s="103" t="s">
        <v>67</v>
      </c>
      <c r="C23" s="3"/>
      <c r="E23" s="13"/>
      <c r="F23" s="58"/>
      <c r="G23" s="58"/>
      <c r="H23" s="102"/>
      <c r="I23" s="104"/>
      <c r="J23" s="104"/>
      <c r="K23" s="104"/>
      <c r="L23" s="104"/>
      <c r="M23" s="104"/>
      <c r="N23" s="104"/>
      <c r="O23" s="104"/>
      <c r="P23" s="104"/>
    </row>
    <row r="24" spans="2:18" ht="45" x14ac:dyDescent="0.25">
      <c r="B24" s="105" t="s">
        <v>68</v>
      </c>
      <c r="C24" s="105" t="s">
        <v>69</v>
      </c>
      <c r="D24" s="105" t="s">
        <v>70</v>
      </c>
      <c r="E24" s="105" t="s">
        <v>71</v>
      </c>
      <c r="F24" s="105" t="s">
        <v>72</v>
      </c>
      <c r="G24" s="105" t="s">
        <v>73</v>
      </c>
      <c r="H24" s="105" t="s">
        <v>74</v>
      </c>
      <c r="I24" s="105" t="s">
        <v>75</v>
      </c>
      <c r="J24" s="104"/>
      <c r="K24" s="104"/>
      <c r="L24" s="104"/>
      <c r="M24" s="104"/>
      <c r="N24" s="104"/>
      <c r="O24" s="104"/>
      <c r="P24" s="104"/>
    </row>
    <row r="25" spans="2:18" ht="19.899999999999999" customHeight="1" x14ac:dyDescent="0.25">
      <c r="B25" s="106" t="s">
        <v>50</v>
      </c>
      <c r="C25" s="107">
        <v>128</v>
      </c>
      <c r="D25" s="108">
        <v>17.920000000000002</v>
      </c>
      <c r="E25" s="108">
        <v>17.920000000000002</v>
      </c>
      <c r="F25" s="109">
        <v>500</v>
      </c>
      <c r="G25" s="109">
        <v>3500</v>
      </c>
      <c r="H25" s="109">
        <v>100</v>
      </c>
      <c r="I25" s="109">
        <v>170</v>
      </c>
      <c r="J25" s="104"/>
      <c r="K25" s="104"/>
      <c r="L25" s="104"/>
      <c r="P25" s="104"/>
      <c r="Q25" s="104"/>
      <c r="R25" s="104"/>
    </row>
    <row r="26" spans="2:18" x14ac:dyDescent="0.25">
      <c r="C26" s="102"/>
      <c r="D26" s="102" t="s">
        <v>120</v>
      </c>
      <c r="K26" s="120"/>
      <c r="L26" s="120"/>
      <c r="M26" s="104"/>
      <c r="N26" s="104"/>
    </row>
    <row r="27" spans="2:18" x14ac:dyDescent="0.25">
      <c r="K27" s="120"/>
      <c r="L27" s="120"/>
      <c r="M27" s="104"/>
      <c r="N27" s="104"/>
    </row>
    <row r="28" spans="2:18" ht="120" x14ac:dyDescent="0.25">
      <c r="B28" s="100" t="s">
        <v>76</v>
      </c>
      <c r="C28" s="100" t="s">
        <v>77</v>
      </c>
      <c r="D28" s="100" t="s">
        <v>78</v>
      </c>
      <c r="F28" s="105" t="s">
        <v>79</v>
      </c>
      <c r="G28" s="105" t="s">
        <v>80</v>
      </c>
      <c r="H28" s="105" t="s">
        <v>81</v>
      </c>
    </row>
    <row r="29" spans="2:18" x14ac:dyDescent="0.25">
      <c r="B29" s="65">
        <v>1.84E-2</v>
      </c>
      <c r="C29" s="65">
        <v>80</v>
      </c>
      <c r="D29" s="65">
        <v>2.24E-2</v>
      </c>
      <c r="F29" s="96">
        <v>47500</v>
      </c>
      <c r="G29" s="96">
        <v>12500</v>
      </c>
      <c r="H29" s="96">
        <v>11500</v>
      </c>
    </row>
    <row r="30" spans="2:18" x14ac:dyDescent="0.25">
      <c r="D30" s="102" t="s">
        <v>120</v>
      </c>
    </row>
    <row r="32" spans="2:18" x14ac:dyDescent="0.25">
      <c r="B32" s="110" t="s">
        <v>82</v>
      </c>
      <c r="C32" s="110" t="s">
        <v>83</v>
      </c>
      <c r="D32" s="111"/>
      <c r="E32" s="111"/>
      <c r="F32" s="112"/>
      <c r="H32" s="3"/>
    </row>
    <row r="33" spans="2:8" x14ac:dyDescent="0.25">
      <c r="B33" s="113" t="s">
        <v>84</v>
      </c>
      <c r="C33" s="133" t="s">
        <v>85</v>
      </c>
      <c r="D33" s="114"/>
      <c r="E33" s="114"/>
      <c r="F33" s="115"/>
      <c r="H33" s="3"/>
    </row>
    <row r="34" spans="2:8" x14ac:dyDescent="0.25">
      <c r="B34" s="113" t="s">
        <v>86</v>
      </c>
      <c r="C34" s="133" t="s">
        <v>87</v>
      </c>
      <c r="D34" s="114"/>
      <c r="E34" s="114"/>
      <c r="F34" s="115"/>
      <c r="H34" s="3"/>
    </row>
    <row r="35" spans="2:8" ht="30" x14ac:dyDescent="0.25">
      <c r="B35" s="116" t="s">
        <v>124</v>
      </c>
      <c r="C35" s="134" t="s">
        <v>88</v>
      </c>
      <c r="D35" s="114"/>
      <c r="E35" s="114"/>
      <c r="F35" s="115"/>
      <c r="H35" s="3"/>
    </row>
    <row r="36" spans="2:8" x14ac:dyDescent="0.25">
      <c r="B36" s="113" t="s">
        <v>89</v>
      </c>
      <c r="C36" s="134" t="s">
        <v>90</v>
      </c>
      <c r="D36" s="114"/>
      <c r="E36" s="114"/>
      <c r="F36" s="115"/>
      <c r="H36" s="3"/>
    </row>
    <row r="37" spans="2:8" x14ac:dyDescent="0.25">
      <c r="B37" s="113" t="s">
        <v>91</v>
      </c>
      <c r="C37" s="134" t="s">
        <v>92</v>
      </c>
      <c r="D37" s="114"/>
      <c r="E37" s="114"/>
      <c r="F37" s="115"/>
      <c r="H37" s="3"/>
    </row>
    <row r="38" spans="2:8" ht="30" x14ac:dyDescent="0.25">
      <c r="B38" s="116" t="s">
        <v>122</v>
      </c>
      <c r="C38" s="134" t="s">
        <v>123</v>
      </c>
      <c r="D38" s="117"/>
      <c r="E38" s="117"/>
      <c r="F38" s="118"/>
      <c r="H38" s="3"/>
    </row>
    <row r="39" spans="2:8" ht="30" x14ac:dyDescent="0.25">
      <c r="B39" s="116" t="s">
        <v>93</v>
      </c>
      <c r="C39" s="135" t="s">
        <v>94</v>
      </c>
      <c r="D39" s="117"/>
      <c r="E39" s="117"/>
      <c r="F39" s="118"/>
      <c r="H39" s="3"/>
    </row>
    <row r="40" spans="2:8" x14ac:dyDescent="0.25">
      <c r="H40" s="3"/>
    </row>
  </sheetData>
  <hyperlinks>
    <hyperlink ref="C38" r:id="rId1" xr:uid="{9FE62FC3-97F3-4DDD-9676-391CEC09C577}"/>
    <hyperlink ref="C36" r:id="rId2" xr:uid="{B8398AF0-2982-4890-9914-C4E23BD776C7}"/>
    <hyperlink ref="C37" r:id="rId3" xr:uid="{E1AE79D8-9F1D-4087-B516-11F7685A9BD5}"/>
    <hyperlink ref="C35" r:id="rId4" xr:uid="{1BDC1588-2A54-4215-9313-0C182F9703D8}"/>
    <hyperlink ref="C39" r:id="rId5" xr:uid="{028AC853-9820-43F1-A2DB-F3E33F6769FD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Props1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3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AWR</vt:lpstr>
      <vt:lpstr>Calculations</vt:lpstr>
      <vt:lpstr>Recommendations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Tim Gorman</cp:lastModifiedBy>
  <cp:revision/>
  <dcterms:created xsi:type="dcterms:W3CDTF">2020-01-17T18:08:18Z</dcterms:created>
  <dcterms:modified xsi:type="dcterms:W3CDTF">2021-05-14T22:12:33Z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</Properties>
</file>