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uedataiga/Desktop/grad-research/data_analysis/epilog/"/>
    </mc:Choice>
  </mc:AlternateContent>
  <xr:revisionPtr revIDLastSave="0" documentId="13_ncr:1_{1A57FC31-7CD4-A341-B999-B89EDC0D6BB7}" xr6:coauthVersionLast="47" xr6:coauthVersionMax="47" xr10:uidLastSave="{00000000-0000-0000-0000-000000000000}"/>
  <bookViews>
    <workbookView xWindow="0" yWindow="500" windowWidth="28540" windowHeight="16300" xr2:uid="{B4EB5C19-4ED2-1B45-8BA3-D03252A81D4F}"/>
  </bookViews>
  <sheets>
    <sheet name="log" sheetId="1" r:id="rId1"/>
    <sheet name="測定設定値" sheetId="2" r:id="rId2"/>
  </sheets>
  <definedNames>
    <definedName name="_xlnm._FilterDatabase" localSheetId="0">log!$A$1:$BO$1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2" i="1"/>
  <c r="BL3" i="1"/>
  <c r="BM3" i="1"/>
  <c r="BN3" i="1"/>
  <c r="BO3" i="1"/>
  <c r="BL4" i="1"/>
  <c r="BM4" i="1"/>
  <c r="BN4" i="1"/>
  <c r="BO4" i="1"/>
  <c r="BL5" i="1"/>
  <c r="BM5" i="1"/>
  <c r="BN5" i="1"/>
  <c r="BO5" i="1"/>
  <c r="BL6" i="1"/>
  <c r="BM6" i="1"/>
  <c r="BN6" i="1"/>
  <c r="BO6" i="1"/>
  <c r="BL7" i="1"/>
  <c r="BM7" i="1"/>
  <c r="BN7" i="1"/>
  <c r="BO7" i="1"/>
  <c r="BL8" i="1"/>
  <c r="BM8" i="1"/>
  <c r="BN8" i="1"/>
  <c r="BO8" i="1"/>
  <c r="BL9" i="1"/>
  <c r="BM9" i="1"/>
  <c r="BN9" i="1"/>
  <c r="BO9" i="1"/>
  <c r="BL10" i="1"/>
  <c r="BM10" i="1"/>
  <c r="BN10" i="1"/>
  <c r="BO10" i="1"/>
  <c r="BL11" i="1"/>
  <c r="BM11" i="1"/>
  <c r="BN11" i="1"/>
  <c r="BO11" i="1"/>
  <c r="BL12" i="1"/>
  <c r="BM12" i="1"/>
  <c r="BN12" i="1"/>
  <c r="BO12" i="1"/>
  <c r="BL13" i="1"/>
  <c r="BM13" i="1"/>
  <c r="BN13" i="1"/>
  <c r="BO13" i="1"/>
  <c r="BO2" i="1"/>
  <c r="BN2" i="1"/>
  <c r="BM2" i="1"/>
  <c r="BL2" i="1"/>
  <c r="AX14" i="1"/>
  <c r="AZ14" i="1"/>
  <c r="AW15" i="1"/>
  <c r="BA15" i="1" s="1"/>
  <c r="AX15" i="1"/>
  <c r="AY15" i="1"/>
  <c r="AZ15" i="1"/>
  <c r="AW16" i="1"/>
  <c r="BA16" i="1" s="1"/>
  <c r="AX16" i="1"/>
  <c r="AY16" i="1"/>
  <c r="AZ16" i="1"/>
  <c r="AW17" i="1"/>
  <c r="BA17" i="1" s="1"/>
  <c r="AX17" i="1"/>
  <c r="AY17" i="1"/>
  <c r="AZ17" i="1"/>
  <c r="AW18" i="1"/>
  <c r="BA18" i="1" s="1"/>
  <c r="AX18" i="1"/>
  <c r="AY18" i="1"/>
  <c r="AZ18" i="1"/>
  <c r="AW19" i="1"/>
  <c r="BA19" i="1" s="1"/>
  <c r="AX19" i="1"/>
  <c r="AY19" i="1"/>
  <c r="AZ19" i="1"/>
  <c r="AW20" i="1"/>
  <c r="BA20" i="1" s="1"/>
  <c r="AX20" i="1"/>
  <c r="AY20" i="1"/>
  <c r="AZ20" i="1"/>
  <c r="AW21" i="1"/>
  <c r="BA21" i="1" s="1"/>
  <c r="AX21" i="1"/>
  <c r="AY21" i="1"/>
  <c r="AZ21" i="1"/>
  <c r="AW3" i="1"/>
  <c r="BA3" i="1" s="1"/>
  <c r="AX3" i="1"/>
  <c r="AY3" i="1"/>
  <c r="AZ3" i="1"/>
  <c r="AW4" i="1"/>
  <c r="BA4" i="1" s="1"/>
  <c r="AX4" i="1"/>
  <c r="AY4" i="1"/>
  <c r="AZ4" i="1"/>
  <c r="AW5" i="1"/>
  <c r="BA5" i="1" s="1"/>
  <c r="AX5" i="1"/>
  <c r="AY5" i="1"/>
  <c r="AZ5" i="1"/>
  <c r="AW6" i="1"/>
  <c r="BA6" i="1" s="1"/>
  <c r="AX6" i="1"/>
  <c r="AY6" i="1"/>
  <c r="AZ6" i="1"/>
  <c r="AW7" i="1"/>
  <c r="BA7" i="1" s="1"/>
  <c r="AX7" i="1"/>
  <c r="AY7" i="1"/>
  <c r="AZ7" i="1"/>
  <c r="AW8" i="1"/>
  <c r="AX8" i="1"/>
  <c r="AY8" i="1"/>
  <c r="AZ8" i="1"/>
  <c r="AW9" i="1"/>
  <c r="AX9" i="1"/>
  <c r="AY9" i="1"/>
  <c r="AZ9" i="1"/>
  <c r="AW10" i="1"/>
  <c r="AX10" i="1"/>
  <c r="AY10" i="1"/>
  <c r="AZ10" i="1"/>
  <c r="AW11" i="1"/>
  <c r="BA11" i="1" s="1"/>
  <c r="AX11" i="1"/>
  <c r="AY11" i="1"/>
  <c r="AZ11" i="1"/>
  <c r="AW12" i="1"/>
  <c r="AX12" i="1"/>
  <c r="AY12" i="1"/>
  <c r="AZ12" i="1"/>
  <c r="AW13" i="1"/>
  <c r="AX13" i="1"/>
  <c r="AY13" i="1"/>
  <c r="AZ13" i="1"/>
  <c r="AZ2" i="1"/>
  <c r="AW2" i="1"/>
  <c r="AX2" i="1"/>
  <c r="AY2" i="1"/>
  <c r="AT14" i="1"/>
  <c r="AY14" i="1" s="1"/>
  <c r="BA9" i="1" l="1"/>
  <c r="BA2" i="1"/>
  <c r="BA10" i="1"/>
  <c r="AW14" i="1"/>
  <c r="BA14" i="1" s="1"/>
  <c r="BA13" i="1"/>
  <c r="BA8" i="1"/>
  <c r="BA12" i="1"/>
  <c r="L32" i="1"/>
  <c r="Z18" i="1"/>
  <c r="L29" i="1"/>
  <c r="L26" i="1"/>
  <c r="L27" i="1"/>
  <c r="L28" i="1"/>
  <c r="L30" i="1"/>
  <c r="P31" i="1"/>
  <c r="R31" i="1" s="1"/>
  <c r="G31" i="1"/>
  <c r="G25" i="1"/>
  <c r="G26" i="1"/>
  <c r="G27" i="1"/>
  <c r="G28" i="1"/>
  <c r="G29" i="1"/>
  <c r="G30" i="1"/>
  <c r="P30" i="1"/>
  <c r="R30" i="1" s="1"/>
  <c r="P29" i="1"/>
  <c r="R29" i="1" s="1"/>
  <c r="P28" i="1"/>
  <c r="R28" i="1" s="1"/>
  <c r="P27" i="1"/>
  <c r="R27" i="1" s="1"/>
  <c r="P26" i="1"/>
  <c r="R26" i="1" s="1"/>
  <c r="P25" i="1"/>
  <c r="H25" i="1" s="1"/>
  <c r="G21" i="1"/>
  <c r="G22" i="1"/>
  <c r="G24" i="1"/>
  <c r="P21" i="1"/>
  <c r="R21" i="1" s="1"/>
  <c r="P22" i="1"/>
  <c r="R22" i="1" s="1"/>
  <c r="P23" i="1"/>
  <c r="R23" i="1" s="1"/>
  <c r="P24" i="1"/>
  <c r="R24" i="1" s="1"/>
  <c r="G2" i="1"/>
  <c r="G6" i="1"/>
  <c r="G5" i="1"/>
  <c r="M14" i="1"/>
  <c r="N14" i="1"/>
  <c r="B2" i="2"/>
  <c r="G13" i="1"/>
  <c r="P13" i="1"/>
  <c r="H13" i="1" s="1"/>
  <c r="G11" i="1"/>
  <c r="G12" i="1"/>
  <c r="P6" i="1"/>
  <c r="H6" i="1" s="1"/>
  <c r="P7" i="1"/>
  <c r="H7" i="1" s="1"/>
  <c r="P8" i="1"/>
  <c r="P9" i="1"/>
  <c r="H9" i="1" s="1"/>
  <c r="P10" i="1"/>
  <c r="H10" i="1" s="1"/>
  <c r="P2" i="1"/>
  <c r="H2" i="1" s="1"/>
  <c r="P11" i="1"/>
  <c r="H11" i="1" s="1"/>
  <c r="P12" i="1"/>
  <c r="H12" i="1" s="1"/>
  <c r="P17" i="1"/>
  <c r="H17" i="1" s="1"/>
  <c r="P18" i="1"/>
  <c r="H18" i="1" s="1"/>
  <c r="P19" i="1"/>
  <c r="H19" i="1" s="1"/>
  <c r="P20" i="1"/>
  <c r="H20" i="1" s="1"/>
  <c r="G7" i="1"/>
  <c r="G8" i="1"/>
  <c r="G9" i="1"/>
  <c r="G10" i="1"/>
  <c r="G17" i="1"/>
  <c r="G18" i="1"/>
  <c r="G19" i="1"/>
  <c r="G20" i="1"/>
  <c r="P5" i="1"/>
  <c r="H5" i="1" s="1"/>
  <c r="H8" i="1" l="1"/>
  <c r="H31" i="1"/>
  <c r="H29" i="1"/>
  <c r="H27" i="1"/>
  <c r="H30" i="1"/>
  <c r="H28" i="1"/>
  <c r="H26" i="1"/>
  <c r="R25" i="1"/>
  <c r="H24" i="1"/>
  <c r="H22" i="1"/>
  <c r="H21" i="1"/>
  <c r="M15" i="1"/>
  <c r="N15" i="1"/>
  <c r="R20" i="1"/>
  <c r="R19" i="1"/>
  <c r="R18" i="1"/>
  <c r="R17" i="1"/>
  <c r="R7" i="1"/>
  <c r="R2" i="1"/>
  <c r="R6" i="1"/>
  <c r="R13" i="1"/>
  <c r="R5" i="1"/>
  <c r="R12" i="1"/>
  <c r="R11" i="1"/>
  <c r="R10" i="1"/>
  <c r="R9" i="1"/>
  <c r="R8" i="1"/>
  <c r="G14" i="1"/>
  <c r="P14" i="1"/>
  <c r="M16" i="1" l="1"/>
  <c r="P15" i="1"/>
  <c r="R15" i="1" s="1"/>
  <c r="N16" i="1"/>
  <c r="P16" i="1" s="1"/>
  <c r="G15" i="1"/>
  <c r="H14" i="1"/>
  <c r="R14" i="1"/>
  <c r="H15" i="1" l="1"/>
  <c r="G16" i="1"/>
  <c r="H16" i="1"/>
  <c r="R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tc={D0B33AC1-37E9-C048-8C0B-37793E08754C}</author>
    <author>tc={584D5211-C912-3346-A153-1A3569D717AC}</author>
    <author>tc={38AE21C7-E5A6-9642-BCE8-604BEB133C07}</author>
    <author>tc={E8E97943-5D27-EF4B-88D3-1202825354B6}</author>
  </authors>
  <commentList>
    <comment ref="G1" authorId="0" shapeId="0" xr:uid="{D0B33AC1-37E9-C048-8C0B-37793E0875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Cr_x(Bi_{1-y}Sb_y)_{2-x}Te_3</t>
      </text>
    </comment>
    <comment ref="L1" authorId="1" shapeId="0" xr:uid="{584D5211-C912-3346-A153-1A3569D71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バッファー層（ST, BST）含む成長時間．Te anneal timeは除く</t>
      </text>
    </comment>
    <comment ref="W1" authorId="2" shapeId="0" xr:uid="{38AE21C7-E5A6-9642-BCE8-604BEB133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 = 2 K，単位は磁束密度（V s m^-2）の逆数に対応</t>
      </text>
    </comment>
    <comment ref="AT1" authorId="3" shapeId="0" xr:uid="{E8E97943-5D27-EF4B-88D3-1202825354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ラウエフリンジのピークの位置θ_0として，x0 = sin(θ_0)</t>
      </text>
    </comment>
  </commentList>
</comments>
</file>

<file path=xl/sharedStrings.xml><?xml version="1.0" encoding="utf-8"?>
<sst xmlns="http://schemas.openxmlformats.org/spreadsheetml/2006/main" count="265" uniqueCount="129">
  <si>
    <t>Holder</t>
    <phoneticPr fontId="1"/>
  </si>
  <si>
    <t>Bi(ideal)[Pa]</t>
    <phoneticPr fontId="1"/>
  </si>
  <si>
    <t>Sb(ideal)[Pa]</t>
    <phoneticPr fontId="1"/>
  </si>
  <si>
    <t>Te(ideal)[Pa]</t>
    <phoneticPr fontId="1"/>
  </si>
  <si>
    <t>Cr(ideal)[Pa]</t>
    <phoneticPr fontId="1"/>
  </si>
  <si>
    <t>subs temp[deg]</t>
    <phoneticPr fontId="1"/>
  </si>
  <si>
    <t>Pre Anneal temp[deg]</t>
    <phoneticPr fontId="1"/>
  </si>
  <si>
    <t>Anneal temp[deg]</t>
    <phoneticPr fontId="1"/>
  </si>
  <si>
    <t>recipe</t>
    <phoneticPr fontId="1"/>
  </si>
  <si>
    <t>#6</t>
    <phoneticPr fontId="1"/>
  </si>
  <si>
    <t>1357.txt</t>
    <phoneticPr fontId="1"/>
  </si>
  <si>
    <t>*</t>
    <phoneticPr fontId="1"/>
  </si>
  <si>
    <t>AFM</t>
    <phoneticPr fontId="1"/>
  </si>
  <si>
    <t>PPMS</t>
    <phoneticPr fontId="1"/>
  </si>
  <si>
    <t>XRD</t>
    <phoneticPr fontId="1"/>
  </si>
  <si>
    <t>memo</t>
    <phoneticPr fontId="1"/>
  </si>
  <si>
    <t>転移温度が高い</t>
    <rPh sb="0" eb="4">
      <t>テンイオ</t>
    </rPh>
    <rPh sb="5" eb="6">
      <t>タカイ</t>
    </rPh>
    <phoneticPr fontId="1"/>
  </si>
  <si>
    <t>x</t>
    <phoneticPr fontId="1"/>
  </si>
  <si>
    <t>y</t>
    <phoneticPr fontId="1"/>
  </si>
  <si>
    <t>Bi+Sb(ideal)[Pa]</t>
    <phoneticPr fontId="1"/>
  </si>
  <si>
    <t>1362.txt</t>
    <phoneticPr fontId="1"/>
  </si>
  <si>
    <t>BST</t>
    <phoneticPr fontId="1"/>
  </si>
  <si>
    <t>rho_yxの1Tで高くない→移動度高くない（逆かも）</t>
    <rPh sb="10" eb="11">
      <t>タカク</t>
    </rPh>
    <rPh sb="15" eb="19">
      <t>イドウ</t>
    </rPh>
    <rPh sb="23" eb="24">
      <t>ギャク</t>
    </rPh>
    <phoneticPr fontId="1"/>
  </si>
  <si>
    <t>?</t>
    <phoneticPr fontId="1"/>
  </si>
  <si>
    <r>
      <t>#1-1359のrho_xxが発散しており，rho_yxのTが高い領域でn型の傾向が見られた（負の傾き）ため，CBST蒸着を65minにし，y=0.84→0.78にした．→</t>
    </r>
    <r>
      <rPr>
        <sz val="12"/>
        <color rgb="FFFF0000"/>
        <rFont val="游ゴシック"/>
        <family val="3"/>
        <charset val="128"/>
      </rPr>
      <t>これ1360の可能性が大きい</t>
    </r>
    <rPh sb="15" eb="17">
      <t>Hassan's</t>
    </rPh>
    <rPh sb="37" eb="38">
      <t>ガタノ</t>
    </rPh>
    <rPh sb="39" eb="41">
      <t>ケイコ</t>
    </rPh>
    <rPh sb="47" eb="48">
      <t>フノカタ</t>
    </rPh>
    <rPh sb="59" eb="61">
      <t>ジョウチャク</t>
    </rPh>
    <rPh sb="97" eb="98">
      <t>オオキイ</t>
    </rPh>
    <phoneticPr fontId="1"/>
  </si>
  <si>
    <t>#6</t>
  </si>
  <si>
    <t>目標x</t>
  </si>
  <si>
    <t>目標y</t>
    <rPh sb="0" eb="2">
      <t>モクヒョウ</t>
    </rPh>
    <phoneticPr fontId="1"/>
  </si>
  <si>
    <t>基板位置のずれにより温度が表示より増加，サンプルが蒸着していなかった</t>
    <rPh sb="0" eb="4">
      <t>キバンイ</t>
    </rPh>
    <rPh sb="10" eb="12">
      <t>オンドガヘ</t>
    </rPh>
    <rPh sb="17" eb="19">
      <t>ゾウカ</t>
    </rPh>
    <phoneticPr fontId="1"/>
  </si>
  <si>
    <t>1358.txt</t>
    <phoneticPr fontId="1"/>
  </si>
  <si>
    <t>(006)θ1</t>
  </si>
  <si>
    <t>(006)θ2</t>
  </si>
  <si>
    <t>λ</t>
    <phoneticPr fontId="1"/>
  </si>
  <si>
    <t>Cr+Bi+Sb</t>
    <phoneticPr fontId="1"/>
  </si>
  <si>
    <t>物質</t>
    <rPh sb="0" eb="2">
      <t>ブッシテゥ</t>
    </rPh>
    <phoneticPr fontId="1"/>
  </si>
  <si>
    <t>CBST</t>
    <phoneticPr fontId="1"/>
  </si>
  <si>
    <t>main_growth_time (min)</t>
    <phoneticPr fontId="1"/>
  </si>
  <si>
    <t>thickness (nm)</t>
    <phoneticPr fontId="1"/>
  </si>
  <si>
    <t>sample</t>
    <phoneticPr fontId="1"/>
  </si>
  <si>
    <t>#1-1354</t>
    <phoneticPr fontId="1"/>
  </si>
  <si>
    <t>#1-1357</t>
    <phoneticPr fontId="1"/>
  </si>
  <si>
    <t>#1-1358</t>
    <phoneticPr fontId="1"/>
  </si>
  <si>
    <t>#1-1359</t>
    <phoneticPr fontId="1"/>
  </si>
  <si>
    <t>#1-1360</t>
    <phoneticPr fontId="1"/>
  </si>
  <si>
    <t>#1-1361</t>
    <phoneticPr fontId="1"/>
  </si>
  <si>
    <t>#1-1362</t>
    <phoneticPr fontId="1"/>
  </si>
  <si>
    <t>#1-1363</t>
    <phoneticPr fontId="1"/>
  </si>
  <si>
    <t>#1-1364</t>
    <phoneticPr fontId="1"/>
  </si>
  <si>
    <t>#1-1365</t>
    <phoneticPr fontId="1"/>
  </si>
  <si>
    <t>#1-1366</t>
    <phoneticPr fontId="1"/>
  </si>
  <si>
    <t>#1-1367</t>
    <phoneticPr fontId="1"/>
  </si>
  <si>
    <t>#1-1368</t>
    <phoneticPr fontId="1"/>
  </si>
  <si>
    <t>#1-1369</t>
    <phoneticPr fontId="1"/>
  </si>
  <si>
    <t>#1-1370</t>
    <phoneticPr fontId="1"/>
  </si>
  <si>
    <t>#1-1371</t>
    <phoneticPr fontId="1"/>
  </si>
  <si>
    <t>#1-1372</t>
    <phoneticPr fontId="1"/>
  </si>
  <si>
    <t>(006)θ-2</t>
  </si>
  <si>
    <t>(006)θ-1</t>
  </si>
  <si>
    <t>(006)θ0</t>
  </si>
  <si>
    <t>(006)x-2</t>
  </si>
  <si>
    <t>(006)x-1</t>
  </si>
  <si>
    <t>(006)x0</t>
  </si>
  <si>
    <t>(006)x1</t>
  </si>
  <si>
    <t>(006)x2</t>
  </si>
  <si>
    <t>t_by_0_1</t>
  </si>
  <si>
    <t>t_by_1_2</t>
  </si>
  <si>
    <t>t_by_0_-1</t>
  </si>
  <si>
    <t>t_by_-1_-2</t>
  </si>
  <si>
    <t>growth rate</t>
  </si>
  <si>
    <t>(0015)θ-2</t>
  </si>
  <si>
    <t>(0015)θ-1</t>
  </si>
  <si>
    <t>(0015)θ0</t>
  </si>
  <si>
    <t>(0015)θ1</t>
  </si>
  <si>
    <t>(0015)θ2</t>
  </si>
  <si>
    <t>(0015)x-2</t>
  </si>
  <si>
    <t>(0015)x-1</t>
  </si>
  <si>
    <t>(0015)x0</t>
  </si>
  <si>
    <t>(0015)x1</t>
  </si>
  <si>
    <t>(0015)x2</t>
  </si>
  <si>
    <t>T_C (K)</t>
    <phoneticPr fontId="1"/>
  </si>
  <si>
    <t>Teを減らした</t>
    <rPh sb="3" eb="4">
      <t>ヘラセィ</t>
    </rPh>
    <phoneticPr fontId="1"/>
  </si>
  <si>
    <t>growth_rate (nm/min)</t>
    <phoneticPr fontId="1"/>
  </si>
  <si>
    <t>#1-1373</t>
  </si>
  <si>
    <t>#1-1374</t>
  </si>
  <si>
    <t>#1-1375</t>
  </si>
  <si>
    <t>#1-1376</t>
  </si>
  <si>
    <t>#1-1355</t>
    <phoneticPr fontId="1"/>
  </si>
  <si>
    <t>#1-1356</t>
    <phoneticPr fontId="1"/>
  </si>
  <si>
    <t>CT</t>
    <phoneticPr fontId="1"/>
  </si>
  <si>
    <t>CT単層膜</t>
    <rPh sb="2" eb="4">
      <t>タンソ</t>
    </rPh>
    <rPh sb="4" eb="5">
      <t>マク</t>
    </rPh>
    <phoneticPr fontId="1"/>
  </si>
  <si>
    <t>1375.txt</t>
    <phoneticPr fontId="1"/>
  </si>
  <si>
    <t>1374.txt</t>
    <phoneticPr fontId="1"/>
  </si>
  <si>
    <t>1369.txt</t>
    <phoneticPr fontId="1"/>
  </si>
  <si>
    <t>1366.txt</t>
    <phoneticPr fontId="1"/>
  </si>
  <si>
    <t>(006)peak θ (deg)</t>
    <phoneticPr fontId="1"/>
  </si>
  <si>
    <t>(0015)FWHM</t>
    <phoneticPr fontId="1"/>
  </si>
  <si>
    <t>(006)FWHM</t>
    <phoneticPr fontId="1"/>
  </si>
  <si>
    <t>(0015)peak θ (deg)</t>
    <phoneticPr fontId="1"/>
  </si>
  <si>
    <t>#1-1377</t>
    <phoneticPr fontId="1"/>
  </si>
  <si>
    <t>#1-1378</t>
    <phoneticPr fontId="1"/>
  </si>
  <si>
    <t>#1-1379</t>
  </si>
  <si>
    <t>#1-1380</t>
  </si>
  <si>
    <t>#1-1381</t>
  </si>
  <si>
    <t>#1-1382</t>
  </si>
  <si>
    <t>#1-1383</t>
  </si>
  <si>
    <t>CST/CBT</t>
    <phoneticPr fontId="1"/>
  </si>
  <si>
    <t>CBT/CST</t>
    <phoneticPr fontId="1"/>
  </si>
  <si>
    <t>10 nm/10 nm</t>
    <phoneticPr fontId="1"/>
  </si>
  <si>
    <t>mobility  (cm^2V^-1s^-1)</t>
    <phoneticPr fontId="1"/>
  </si>
  <si>
    <t>carrier (cm^-2)</t>
    <phoneticPr fontId="1"/>
  </si>
  <si>
    <t>CBST/BST/CBST/BST tetra layer</t>
    <phoneticPr fontId="1"/>
  </si>
  <si>
    <t>t~100nm, Te annealなし</t>
    <phoneticPr fontId="1"/>
  </si>
  <si>
    <t>H_C (T)</t>
    <phoneticPr fontId="1"/>
  </si>
  <si>
    <t>1379.txt</t>
    <phoneticPr fontId="1"/>
  </si>
  <si>
    <t>1380.txt</t>
    <phoneticPr fontId="1"/>
  </si>
  <si>
    <t>1381.txt</t>
    <phoneticPr fontId="1"/>
  </si>
  <si>
    <t>Hall Angle (tanθ)</t>
    <phoneticPr fontId="1"/>
  </si>
  <si>
    <t>1376.txt</t>
    <phoneticPr fontId="1"/>
  </si>
  <si>
    <t>t ~ 50 nm</t>
    <phoneticPr fontId="1"/>
  </si>
  <si>
    <t>t ~ 100nm, Te annealなし</t>
    <phoneticPr fontId="1"/>
  </si>
  <si>
    <t>t ~ 50nm, Te anneal×3</t>
    <phoneticPr fontId="1"/>
  </si>
  <si>
    <t>落とした</t>
    <rPh sb="0" eb="1">
      <t>オトセィ</t>
    </rPh>
    <phoneticPr fontId="1"/>
  </si>
  <si>
    <t>測定してない</t>
    <rPh sb="0" eb="2">
      <t>ソクテイ</t>
    </rPh>
    <phoneticPr fontId="1"/>
  </si>
  <si>
    <t>rho_xxが発散しており，rho_yxのTが高い領域でn型の傾向が見られた</t>
    <phoneticPr fontId="1"/>
  </si>
  <si>
    <t>σ_xy (0T)  (Ω^-1)</t>
    <phoneticPr fontId="1"/>
  </si>
  <si>
    <t>σ_xx (0T)  (Ω^-1)</t>
    <phoneticPr fontId="1"/>
  </si>
  <si>
    <t>ρ_xx (0 T) (Ω)</t>
    <phoneticPr fontId="1"/>
  </si>
  <si>
    <t>R_H</t>
    <phoneticPr fontId="1"/>
  </si>
  <si>
    <t>ρ_yx(0T)(Ω)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</si>
</sst>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
    <numFmt numFmtId="177" formatCode="0_);[Red]\(0\)"/>
    <numFmt numFmtId="178" formatCode="0.000_ "/>
    <numFmt numFmtId="179" formatCode="0.000_);[Red]\(0.000\)"/>
    <numFmt numFmtId="180" formatCode="0.000E+00"/>
  </numFmts>
  <fonts count="7">
    <font>
      <sz val="12"/>
      <color theme="1"/>
      <name val="游ゴシック"/>
      <family val="2"/>
      <charset val="128"/>
      <scheme val="minor"/>
    </font>
    <font>
      <sz val="6"/>
      <name val="游ゴシック"/>
      <family val="2"/>
      <charset val="128"/>
      <scheme val="minor"/>
    </font>
    <font>
      <sz val="12"/>
      <color rgb="FFFF0000"/>
      <name val="游ゴシック"/>
      <family val="3"/>
      <charset val="128"/>
    </font>
    <font>
      <sz val="12"/>
      <color rgb="FF000000"/>
      <name val="游ゴシック"/>
      <family val="3"/>
      <charset val="128"/>
      <scheme val="minor"/>
    </font>
    <font>
      <sz val="12"/>
      <color theme="1"/>
      <name val="Yu Gothic"/>
      <family val="3"/>
      <charset val="128"/>
    </font>
    <font>
      <sz val="12"/>
      <color rgb="FFFF0000"/>
      <name val="游ゴシック"/>
      <family val="2"/>
      <charset val="128"/>
      <scheme val="minor"/>
    </font>
    <font>
      <sz val="12"/>
      <color rgb="FFFF0000"/>
      <name val="游ゴシック"/>
      <family val="3"/>
      <charset val="128"/>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alignment vertical="center"/>
    </xf>
  </cellStyleXfs>
  <cellXfs count="47">
    <xf numFmtId="0" fontId="0" fillId="0" borderId="0" xfId="0">
      <alignment vertical="center"/>
    </xf>
    <xf numFmtId="11" fontId="0" fillId="0" borderId="0" xfId="0" applyNumberFormat="1">
      <alignment vertical="center"/>
    </xf>
    <xf numFmtId="176" fontId="0" fillId="0" borderId="0" xfId="0" applyNumberFormat="1">
      <alignment vertical="center"/>
    </xf>
    <xf numFmtId="0" fontId="3" fillId="0" borderId="0" xfId="0" applyFont="1">
      <alignment vertical="center"/>
    </xf>
    <xf numFmtId="0" fontId="4" fillId="0" borderId="0" xfId="0" applyFon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0" fillId="2" borderId="0" xfId="0" applyFill="1">
      <alignment vertical="center"/>
    </xf>
    <xf numFmtId="0" fontId="5" fillId="2" borderId="0" xfId="0" applyFont="1" applyFill="1">
      <alignment vertical="center"/>
    </xf>
    <xf numFmtId="176" fontId="0" fillId="2" borderId="0" xfId="0" applyNumberFormat="1" applyFill="1">
      <alignment vertical="center"/>
    </xf>
    <xf numFmtId="11" fontId="0" fillId="2" borderId="0" xfId="0" applyNumberFormat="1" applyFill="1">
      <alignment vertical="center"/>
    </xf>
    <xf numFmtId="177" fontId="0" fillId="2" borderId="0" xfId="0" applyNumberFormat="1" applyFill="1">
      <alignment vertical="center"/>
    </xf>
    <xf numFmtId="178" fontId="0" fillId="2" borderId="0" xfId="0" applyNumberFormat="1" applyFill="1">
      <alignment vertical="center"/>
    </xf>
    <xf numFmtId="180" fontId="0" fillId="2" borderId="0" xfId="0" applyNumberFormat="1" applyFill="1">
      <alignment vertical="center"/>
    </xf>
    <xf numFmtId="179" fontId="0" fillId="2" borderId="0" xfId="0" applyNumberFormat="1" applyFill="1">
      <alignment vertical="center"/>
    </xf>
    <xf numFmtId="0" fontId="4" fillId="2" borderId="0" xfId="0" applyFont="1" applyFill="1">
      <alignment vertical="center"/>
    </xf>
    <xf numFmtId="0" fontId="3" fillId="2" borderId="0" xfId="0" applyFont="1" applyFill="1">
      <alignment vertical="center"/>
    </xf>
    <xf numFmtId="0" fontId="6" fillId="2" borderId="0" xfId="0" applyFont="1" applyFill="1">
      <alignment vertical="center"/>
    </xf>
    <xf numFmtId="0" fontId="0" fillId="3" borderId="0" xfId="0" applyFill="1">
      <alignment vertical="center"/>
    </xf>
    <xf numFmtId="176" fontId="0" fillId="3" borderId="0" xfId="0" applyNumberFormat="1" applyFill="1">
      <alignment vertical="center"/>
    </xf>
    <xf numFmtId="11" fontId="0" fillId="3" borderId="0" xfId="0" applyNumberFormat="1" applyFill="1">
      <alignment vertical="center"/>
    </xf>
    <xf numFmtId="177" fontId="0" fillId="3" borderId="0" xfId="0" applyNumberFormat="1" applyFill="1">
      <alignment vertical="center"/>
    </xf>
    <xf numFmtId="178" fontId="0" fillId="3" borderId="0" xfId="0" applyNumberFormat="1" applyFill="1">
      <alignment vertical="center"/>
    </xf>
    <xf numFmtId="180" fontId="0" fillId="3" borderId="0" xfId="0" applyNumberFormat="1" applyFill="1">
      <alignment vertical="center"/>
    </xf>
    <xf numFmtId="179" fontId="0" fillId="3" borderId="0" xfId="0" applyNumberFormat="1" applyFill="1">
      <alignment vertical="center"/>
    </xf>
    <xf numFmtId="0" fontId="4" fillId="3" borderId="0" xfId="0" applyFont="1" applyFill="1">
      <alignment vertical="center"/>
    </xf>
    <xf numFmtId="0" fontId="3" fillId="3" borderId="0" xfId="0" applyFont="1" applyFill="1">
      <alignment vertical="center"/>
    </xf>
    <xf numFmtId="0" fontId="5" fillId="3" borderId="0" xfId="0" applyFont="1" applyFill="1">
      <alignment vertical="center"/>
    </xf>
    <xf numFmtId="0" fontId="0" fillId="4" borderId="0" xfId="0" applyFill="1">
      <alignment vertical="center"/>
    </xf>
    <xf numFmtId="176" fontId="0" fillId="4" borderId="0" xfId="0" applyNumberFormat="1" applyFill="1">
      <alignment vertical="center"/>
    </xf>
    <xf numFmtId="11" fontId="0" fillId="4" borderId="0" xfId="0" applyNumberFormat="1" applyFill="1">
      <alignment vertical="center"/>
    </xf>
    <xf numFmtId="177" fontId="0" fillId="4" borderId="0" xfId="0" applyNumberFormat="1" applyFill="1">
      <alignment vertical="center"/>
    </xf>
    <xf numFmtId="178" fontId="0" fillId="4" borderId="0" xfId="0" applyNumberFormat="1" applyFill="1">
      <alignment vertical="center"/>
    </xf>
    <xf numFmtId="180" fontId="0" fillId="4" borderId="0" xfId="0" applyNumberFormat="1" applyFill="1">
      <alignment vertical="center"/>
    </xf>
    <xf numFmtId="179" fontId="0" fillId="4" borderId="0" xfId="0" applyNumberFormat="1" applyFill="1">
      <alignment vertical="center"/>
    </xf>
    <xf numFmtId="0" fontId="3" fillId="4" borderId="0" xfId="0" applyFont="1" applyFill="1">
      <alignment vertical="center"/>
    </xf>
    <xf numFmtId="0" fontId="0" fillId="0" borderId="0" xfId="0" applyFill="1">
      <alignment vertical="center"/>
    </xf>
    <xf numFmtId="176" fontId="0" fillId="0" borderId="0" xfId="0" applyNumberFormat="1" applyFill="1">
      <alignment vertical="center"/>
    </xf>
    <xf numFmtId="11" fontId="0" fillId="0" borderId="0" xfId="0" applyNumberFormat="1" applyFill="1">
      <alignment vertical="center"/>
    </xf>
    <xf numFmtId="177" fontId="0" fillId="0" borderId="0" xfId="0" applyNumberFormat="1" applyFill="1">
      <alignment vertical="center"/>
    </xf>
    <xf numFmtId="178" fontId="0" fillId="0" borderId="0" xfId="0" applyNumberFormat="1" applyFill="1">
      <alignment vertical="center"/>
    </xf>
    <xf numFmtId="180" fontId="0" fillId="0" borderId="0" xfId="0" applyNumberFormat="1" applyFill="1">
      <alignment vertical="center"/>
    </xf>
    <xf numFmtId="179" fontId="0" fillId="0" borderId="0" xfId="0" applyNumberFormat="1" applyFill="1">
      <alignment vertical="center"/>
    </xf>
    <xf numFmtId="0" fontId="4" fillId="0" borderId="0" xfId="0" applyFont="1" applyFill="1">
      <alignment vertical="center"/>
    </xf>
    <xf numFmtId="0" fontId="3" fillId="0"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t>Growth rate vs Cr</a:t>
            </a:r>
            <a:r>
              <a:rPr lang="ja-JP" altLang="en-US" sz="1800"/>
              <a:t>濃度（</a:t>
            </a:r>
            <a:r>
              <a:rPr lang="en-US" altLang="ja-JP" sz="1800"/>
              <a:t>1_0,</a:t>
            </a:r>
            <a:r>
              <a:rPr lang="en-US" altLang="ja-JP" sz="1800" baseline="0"/>
              <a:t> -1_0</a:t>
            </a:r>
            <a:r>
              <a:rPr lang="ja-JP" altLang="en-US" sz="1800" baseline="0"/>
              <a:t>平均）</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5400" cap="rnd">
              <a:noFill/>
              <a:round/>
            </a:ln>
            <a:effectLst/>
          </c:spPr>
          <c:marker>
            <c:symbol val="circle"/>
            <c:size val="5"/>
            <c:spPr>
              <a:solidFill>
                <a:srgbClr val="FF0000"/>
              </a:solidFill>
              <a:ln w="9525">
                <a:solidFill>
                  <a:schemeClr val="accent1"/>
                </a:solidFill>
              </a:ln>
              <a:effectLst/>
            </c:spPr>
          </c:marker>
          <c:trendline>
            <c:spPr>
              <a:ln w="19050" cap="rnd">
                <a:solidFill>
                  <a:srgbClr val="FF0000"/>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trendlineLbl>
          </c:trendline>
          <c:xVal>
            <c:numRef>
              <c:f>log!$E$2:$E$13</c:f>
              <c:numCache>
                <c:formatCode>General</c:formatCode>
                <c:ptCount val="12"/>
                <c:pt idx="0">
                  <c:v>0</c:v>
                </c:pt>
                <c:pt idx="3">
                  <c:v>0.08</c:v>
                </c:pt>
                <c:pt idx="4">
                  <c:v>0.02</c:v>
                </c:pt>
                <c:pt idx="5">
                  <c:v>0.02</c:v>
                </c:pt>
                <c:pt idx="6">
                  <c:v>8.0000000000000002E-3</c:v>
                </c:pt>
                <c:pt idx="7">
                  <c:v>0.05</c:v>
                </c:pt>
                <c:pt idx="8">
                  <c:v>0.02</c:v>
                </c:pt>
                <c:pt idx="9" formatCode="0.00000">
                  <c:v>1.2E-2</c:v>
                </c:pt>
                <c:pt idx="10" formatCode="0.00000">
                  <c:v>1.2E-2</c:v>
                </c:pt>
                <c:pt idx="11">
                  <c:v>1.6E-2</c:v>
                </c:pt>
              </c:numCache>
            </c:numRef>
          </c:xVal>
          <c:yVal>
            <c:numRef>
              <c:f>log!$BA$2:$BA$13</c:f>
              <c:numCache>
                <c:formatCode>General</c:formatCode>
                <c:ptCount val="12"/>
                <c:pt idx="0">
                  <c:v>0.14448293222596917</c:v>
                </c:pt>
                <c:pt idx="1">
                  <c:v>0</c:v>
                </c:pt>
                <c:pt idx="2">
                  <c:v>0</c:v>
                </c:pt>
                <c:pt idx="3">
                  <c:v>0</c:v>
                </c:pt>
                <c:pt idx="4">
                  <c:v>0</c:v>
                </c:pt>
                <c:pt idx="5">
                  <c:v>0</c:v>
                </c:pt>
                <c:pt idx="6">
                  <c:v>0.17325790027158913</c:v>
                </c:pt>
                <c:pt idx="7">
                  <c:v>0.25357453382717993</c:v>
                </c:pt>
                <c:pt idx="8">
                  <c:v>0.20750954419893086</c:v>
                </c:pt>
                <c:pt idx="9">
                  <c:v>0</c:v>
                </c:pt>
                <c:pt idx="10">
                  <c:v>0.21331872759355186</c:v>
                </c:pt>
                <c:pt idx="11">
                  <c:v>0.22897114276233529</c:v>
                </c:pt>
              </c:numCache>
            </c:numRef>
          </c:yVal>
          <c:smooth val="0"/>
          <c:extLst>
            <c:ext xmlns:c16="http://schemas.microsoft.com/office/drawing/2014/chart" uri="{C3380CC4-5D6E-409C-BE32-E72D297353CC}">
              <c16:uniqueId val="{00000000-ADE0-B447-93B3-A32A1D98FCDA}"/>
            </c:ext>
          </c:extLst>
        </c:ser>
        <c:dLbls>
          <c:showLegendKey val="0"/>
          <c:showVal val="0"/>
          <c:showCatName val="0"/>
          <c:showSerName val="0"/>
          <c:showPercent val="0"/>
          <c:showBubbleSize val="0"/>
        </c:dLbls>
        <c:axId val="1914052704"/>
        <c:axId val="1863895024"/>
      </c:scatterChart>
      <c:valAx>
        <c:axId val="19140527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Cr (x)</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863895024"/>
        <c:crosses val="autoZero"/>
        <c:crossBetween val="midCat"/>
      </c:valAx>
      <c:valAx>
        <c:axId val="1863895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growth</a:t>
                </a:r>
                <a:r>
                  <a:rPr lang="en-US" altLang="ja-JP" sz="1800" baseline="0"/>
                  <a:t> rate (nm/min)</a:t>
                </a:r>
                <a:endParaRPr lang="ja-JP" alt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9140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41</xdr:col>
      <xdr:colOff>560722</xdr:colOff>
      <xdr:row>24</xdr:row>
      <xdr:rowOff>7203</xdr:rowOff>
    </xdr:from>
    <xdr:to>
      <xdr:col>49</xdr:col>
      <xdr:colOff>270934</xdr:colOff>
      <xdr:row>44</xdr:row>
      <xdr:rowOff>160488</xdr:rowOff>
    </xdr:to>
    <xdr:graphicFrame macro="">
      <xdr:nvGraphicFramePr>
        <xdr:cNvPr id="4" name="グラフ 3">
          <a:extLst>
            <a:ext uri="{FF2B5EF4-FFF2-40B4-BE49-F238E27FC236}">
              <a16:creationId xmlns:a16="http://schemas.microsoft.com/office/drawing/2014/main" id="{3FE850DB-2FB2-0376-BFEA-353EA947F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植田　大雅" id="{B2D3856E-30D3-0A4D-815A-93DA8BD7F80B}" userId="S::4287075998@utac.u-tokyo.ac.jp::e49b90ff-71eb-411e-9a20-78b7a0ca1c0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7-13T05:51:10.97" personId="{B2D3856E-30D3-0A4D-815A-93DA8BD7F80B}" id="{D0B33AC1-37E9-C048-8C0B-37793E08754C}">
    <text>Cr_x(Bi_{1-y}Sb_y)_{2-x}Te_3</text>
  </threadedComment>
  <threadedComment ref="L1" dT="2023-10-30T16:27:32.98" personId="{B2D3856E-30D3-0A4D-815A-93DA8BD7F80B}" id="{584D5211-C912-3346-A153-1A3569D717AC}">
    <text>バッファー層（ST, BST）含む成長時間．Te anneal timeは除く</text>
  </threadedComment>
  <threadedComment ref="W1" dT="2023-11-17T08:09:00.55" personId="{B2D3856E-30D3-0A4D-815A-93DA8BD7F80B}" id="{38AE21C7-E5A6-9642-BCE8-604BEB133C07}">
    <text>T = 2 K，単位は磁束密度（V s m^-2）の逆数に対応</text>
  </threadedComment>
  <threadedComment ref="AT1" dT="2023-10-03T04:13:04.53" personId="{B2D3856E-30D3-0A4D-815A-93DA8BD7F80B}" id="{E8E97943-5D27-EF4B-88D3-1202825354B6}">
    <text>ラウエフリンジのピークの位置θ_0として，x0 = sin(θ_0)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CE4E-E89E-FA42-9F7F-129A12C3C5AA}">
  <dimension ref="A1:CE54"/>
  <sheetViews>
    <sheetView tabSelected="1" zoomScale="88" workbookViewId="0">
      <pane xSplit="5" ySplit="1" topLeftCell="F2" activePane="bottomRight" state="frozen"/>
      <selection pane="topRight" activeCell="F1" sqref="F1"/>
      <selection pane="bottomLeft" activeCell="A2" sqref="A2"/>
      <selection pane="bottomRight" activeCell="C10" sqref="C10"/>
    </sheetView>
  </sheetViews>
  <sheetFormatPr baseColWidth="10" defaultRowHeight="20"/>
  <cols>
    <col min="3" max="3" width="28.28515625" customWidth="1"/>
    <col min="11" max="12" width="10.7109375" style="5"/>
    <col min="23" max="23" width="13" style="6" bestFit="1" customWidth="1"/>
    <col min="24" max="24" width="13.28515625" style="8" bestFit="1" customWidth="1"/>
    <col min="25" max="25" width="11.140625" style="8" customWidth="1"/>
    <col min="26" max="31" width="10.7109375" style="7"/>
    <col min="45" max="45" width="13" bestFit="1" customWidth="1"/>
  </cols>
  <sheetData>
    <row r="1" spans="1:83">
      <c r="A1" t="s">
        <v>38</v>
      </c>
      <c r="B1" t="s">
        <v>34</v>
      </c>
      <c r="C1" t="s">
        <v>15</v>
      </c>
      <c r="D1" t="s">
        <v>0</v>
      </c>
      <c r="E1" t="s">
        <v>26</v>
      </c>
      <c r="F1" t="s">
        <v>27</v>
      </c>
      <c r="G1" t="s">
        <v>17</v>
      </c>
      <c r="H1" t="s">
        <v>18</v>
      </c>
      <c r="I1" t="s">
        <v>5</v>
      </c>
      <c r="J1" t="s">
        <v>6</v>
      </c>
      <c r="K1" s="5" t="s">
        <v>7</v>
      </c>
      <c r="L1" s="5" t="s">
        <v>36</v>
      </c>
      <c r="M1" t="s">
        <v>1</v>
      </c>
      <c r="N1" t="s">
        <v>2</v>
      </c>
      <c r="O1" t="s">
        <v>3</v>
      </c>
      <c r="P1" t="s">
        <v>19</v>
      </c>
      <c r="Q1" t="s">
        <v>4</v>
      </c>
      <c r="R1" t="s">
        <v>33</v>
      </c>
      <c r="S1" t="s">
        <v>8</v>
      </c>
      <c r="T1" t="s">
        <v>12</v>
      </c>
      <c r="U1" t="s">
        <v>14</v>
      </c>
      <c r="V1" t="s">
        <v>13</v>
      </c>
      <c r="W1" s="6" t="s">
        <v>108</v>
      </c>
      <c r="X1" s="8" t="s">
        <v>109</v>
      </c>
      <c r="Y1" s="8" t="s">
        <v>127</v>
      </c>
      <c r="Z1" s="7" t="s">
        <v>112</v>
      </c>
      <c r="AA1" s="7" t="s">
        <v>128</v>
      </c>
      <c r="AB1" s="7" t="s">
        <v>124</v>
      </c>
      <c r="AC1" s="7" t="s">
        <v>125</v>
      </c>
      <c r="AD1" s="7" t="s">
        <v>126</v>
      </c>
      <c r="AE1" s="7" t="s">
        <v>116</v>
      </c>
      <c r="AF1" t="s">
        <v>37</v>
      </c>
      <c r="AG1" t="s">
        <v>81</v>
      </c>
      <c r="AH1" t="s">
        <v>79</v>
      </c>
      <c r="AI1" t="s">
        <v>94</v>
      </c>
      <c r="AJ1" t="s">
        <v>97</v>
      </c>
      <c r="AK1" t="s">
        <v>96</v>
      </c>
      <c r="AL1" t="s">
        <v>95</v>
      </c>
      <c r="AM1" s="4" t="s">
        <v>56</v>
      </c>
      <c r="AN1" s="4" t="s">
        <v>57</v>
      </c>
      <c r="AO1" s="4" t="s">
        <v>58</v>
      </c>
      <c r="AP1" s="4" t="s">
        <v>30</v>
      </c>
      <c r="AQ1" s="4" t="s">
        <v>31</v>
      </c>
      <c r="AR1" s="4" t="s">
        <v>59</v>
      </c>
      <c r="AS1" s="4" t="s">
        <v>60</v>
      </c>
      <c r="AT1" s="4" t="s">
        <v>61</v>
      </c>
      <c r="AU1" s="4" t="s">
        <v>62</v>
      </c>
      <c r="AV1" s="4" t="s">
        <v>63</v>
      </c>
      <c r="AW1" s="4" t="s">
        <v>64</v>
      </c>
      <c r="AX1" s="4" t="s">
        <v>65</v>
      </c>
      <c r="AY1" s="4" t="s">
        <v>66</v>
      </c>
      <c r="AZ1" s="4" t="s">
        <v>67</v>
      </c>
      <c r="BA1" s="4" t="s">
        <v>68</v>
      </c>
      <c r="BB1" s="4" t="s">
        <v>69</v>
      </c>
      <c r="BC1" s="4" t="s">
        <v>70</v>
      </c>
      <c r="BD1" s="4" t="s">
        <v>71</v>
      </c>
      <c r="BE1" s="4" t="s">
        <v>72</v>
      </c>
      <c r="BF1" s="4" t="s">
        <v>73</v>
      </c>
      <c r="BG1" s="4" t="s">
        <v>74</v>
      </c>
      <c r="BH1" s="4" t="s">
        <v>75</v>
      </c>
      <c r="BI1" s="4" t="s">
        <v>76</v>
      </c>
      <c r="BJ1" s="4" t="s">
        <v>77</v>
      </c>
      <c r="BK1" s="4" t="s">
        <v>78</v>
      </c>
      <c r="BL1" s="4" t="s">
        <v>64</v>
      </c>
      <c r="BM1" s="4" t="s">
        <v>65</v>
      </c>
      <c r="BN1" s="4" t="s">
        <v>66</v>
      </c>
      <c r="BO1" s="4" t="s">
        <v>67</v>
      </c>
    </row>
    <row r="2" spans="1:83" s="20" customFormat="1">
      <c r="A2" s="20" t="s">
        <v>39</v>
      </c>
      <c r="B2" s="20" t="s">
        <v>21</v>
      </c>
      <c r="D2" s="20" t="s">
        <v>9</v>
      </c>
      <c r="E2" s="20">
        <v>0</v>
      </c>
      <c r="F2" s="20">
        <v>0.84</v>
      </c>
      <c r="G2" s="21">
        <f>2*Q2/(Q2+M2+N2)</f>
        <v>0</v>
      </c>
      <c r="H2" s="22">
        <f t="shared" ref="H2:H20" si="0">N2/P2</f>
        <v>0.84</v>
      </c>
      <c r="I2" s="22">
        <v>200</v>
      </c>
      <c r="J2" s="22">
        <v>380</v>
      </c>
      <c r="K2" s="23">
        <v>380</v>
      </c>
      <c r="L2" s="23">
        <v>55</v>
      </c>
      <c r="M2" s="22">
        <v>7.9999999999999996E-7</v>
      </c>
      <c r="N2" s="22">
        <v>4.1999999999999996E-6</v>
      </c>
      <c r="O2" s="22">
        <v>1E-4</v>
      </c>
      <c r="P2" s="22">
        <f t="shared" ref="P2:P24" si="1">M2+N2</f>
        <v>4.9999999999999996E-6</v>
      </c>
      <c r="Q2" s="22">
        <v>0</v>
      </c>
      <c r="R2" s="22">
        <f>P2+Q2</f>
        <v>4.9999999999999996E-6</v>
      </c>
      <c r="S2" s="22" t="s">
        <v>23</v>
      </c>
      <c r="T2" s="20" t="s">
        <v>11</v>
      </c>
      <c r="U2" s="20" t="s">
        <v>11</v>
      </c>
      <c r="W2" s="24"/>
      <c r="X2" s="25">
        <v>-388513000000</v>
      </c>
      <c r="Y2" s="22">
        <f>0.0001/(1.602E-19*X2)</f>
        <v>-1606.6894166818638</v>
      </c>
      <c r="Z2" s="26"/>
      <c r="AA2" s="26"/>
      <c r="AB2" s="26"/>
      <c r="AC2" s="26">
        <v>1.3368000000000001E-4</v>
      </c>
      <c r="AD2" s="26">
        <v>7480.3</v>
      </c>
      <c r="AE2" s="26"/>
      <c r="AM2" s="27"/>
      <c r="AN2" s="27">
        <v>15.744</v>
      </c>
      <c r="AO2" s="27">
        <v>17.367999999999999</v>
      </c>
      <c r="AP2" s="27">
        <v>19.12</v>
      </c>
      <c r="AQ2" s="27"/>
      <c r="AR2" s="27">
        <v>0</v>
      </c>
      <c r="AS2" s="27">
        <v>0.136960475</v>
      </c>
      <c r="AT2" s="27">
        <v>0.15098477499999999</v>
      </c>
      <c r="AU2" s="27">
        <v>0.16608035099999999</v>
      </c>
      <c r="AV2" s="27">
        <v>0</v>
      </c>
      <c r="AW2" s="27">
        <f>3*測定設定値!$B$2/(4*(AU2-AT2))</f>
        <v>7.6542193553926001</v>
      </c>
      <c r="AX2" s="27">
        <f>測定設定値!$B$2/(2*(AV2-AU2))</f>
        <v>-0.46381103806795304</v>
      </c>
      <c r="AY2" s="27">
        <f>3*測定設定値!$B$2/(4*(AT2-AS2))</f>
        <v>8.2389031894640077</v>
      </c>
      <c r="AZ2" s="27">
        <f>測定設定値!$B$2/(2*(AS2-AR2))</f>
        <v>0.56242430526033149</v>
      </c>
      <c r="BA2" s="28">
        <f>AVERAGE(AW2,AY2)/L2</f>
        <v>0.14448293222596917</v>
      </c>
      <c r="BB2" s="27"/>
      <c r="BC2" s="27">
        <v>42.787999999999997</v>
      </c>
      <c r="BD2" s="27">
        <v>44.524000000000001</v>
      </c>
      <c r="BE2" s="27">
        <v>46.335999999999999</v>
      </c>
      <c r="BF2" s="27"/>
      <c r="BG2" s="27">
        <v>0</v>
      </c>
      <c r="BH2" s="27">
        <v>0.67928761699999995</v>
      </c>
      <c r="BI2" s="27">
        <v>0.70120796799999996</v>
      </c>
      <c r="BJ2" s="27">
        <v>0.72340109699999999</v>
      </c>
      <c r="BK2" s="27">
        <v>0</v>
      </c>
      <c r="BL2" s="27">
        <f>3*測定設定値!$B$2/(4*(BJ2-BI2))</f>
        <v>5.2063343569083846</v>
      </c>
      <c r="BM2" s="27">
        <f>測定設定値!$B$2/(2*(BK2-BJ2))</f>
        <v>-0.10648297371879711</v>
      </c>
      <c r="BN2" s="27">
        <f>3*測定設定値!$B$2/(4*(BI2-BH2))</f>
        <v>5.2711222552960022</v>
      </c>
      <c r="BO2" s="27">
        <f>測定設定値!$B$2/(2*(BH2-BG2))</f>
        <v>0.11339806301812801</v>
      </c>
    </row>
    <row r="3" spans="1:83">
      <c r="A3" t="s">
        <v>86</v>
      </c>
      <c r="G3" s="2"/>
      <c r="H3" s="1"/>
      <c r="I3" s="1"/>
      <c r="J3" s="1"/>
      <c r="M3" s="1"/>
      <c r="N3" s="1"/>
      <c r="O3" s="1"/>
      <c r="P3" s="1"/>
      <c r="Q3" s="1"/>
      <c r="R3" s="1"/>
      <c r="S3" s="1"/>
      <c r="Y3" s="1" t="e">
        <f t="shared" ref="Y3:Y30" si="2">0.0001/(1.602E-19*X3)</f>
        <v>#DIV/0!</v>
      </c>
      <c r="AM3" s="4"/>
      <c r="AN3" s="4"/>
      <c r="AO3" s="4"/>
      <c r="AP3" s="4"/>
      <c r="AQ3" s="4"/>
      <c r="AR3" s="4"/>
      <c r="AS3" s="4"/>
      <c r="AT3" s="4"/>
      <c r="AU3" s="4"/>
      <c r="AV3" s="4"/>
      <c r="AW3" s="4" t="e">
        <f>3*測定設定値!$B$2/(4*(AU3-AT3))</f>
        <v>#DIV/0!</v>
      </c>
      <c r="AX3" s="4" t="e">
        <f>測定設定値!$B$2/(2*(AV3-AU3))</f>
        <v>#DIV/0!</v>
      </c>
      <c r="AY3" s="4" t="e">
        <f>3*測定設定値!$B$2/(4*(AT3-AS3))</f>
        <v>#DIV/0!</v>
      </c>
      <c r="AZ3" s="4" t="e">
        <f>測定設定値!$B$2/(2*(AS3-AR3))</f>
        <v>#DIV/0!</v>
      </c>
      <c r="BA3" s="3" t="e">
        <f t="shared" ref="BA3:BA13" si="3">AVERAGE(AW3,AY3)/L3</f>
        <v>#DIV/0!</v>
      </c>
      <c r="BB3" s="4"/>
      <c r="BC3" s="4"/>
      <c r="BD3" s="4"/>
      <c r="BE3" s="4"/>
      <c r="BF3" s="4"/>
      <c r="BG3" s="4"/>
      <c r="BH3" s="4"/>
      <c r="BI3" s="4"/>
      <c r="BJ3" s="4"/>
      <c r="BK3" s="4"/>
      <c r="BL3" s="4" t="e">
        <f>3*測定設定値!$B$2/(4*(BJ3-BI3))</f>
        <v>#DIV/0!</v>
      </c>
      <c r="BM3" s="4" t="e">
        <f>測定設定値!$B$2/(2*(BK3-BJ3))</f>
        <v>#DIV/0!</v>
      </c>
      <c r="BN3" s="4" t="e">
        <f>3*測定設定値!$B$2/(4*(BI3-BH3))</f>
        <v>#DIV/0!</v>
      </c>
      <c r="BO3" s="4" t="e">
        <f>測定設定値!$B$2/(2*(BH3-BG3))</f>
        <v>#DIV/0!</v>
      </c>
    </row>
    <row r="4" spans="1:83">
      <c r="A4" t="s">
        <v>87</v>
      </c>
      <c r="G4" s="2"/>
      <c r="H4" s="1"/>
      <c r="I4" s="1"/>
      <c r="J4" s="1"/>
      <c r="M4" s="1"/>
      <c r="N4" s="1"/>
      <c r="O4" s="1"/>
      <c r="P4" s="1"/>
      <c r="Q4" s="1"/>
      <c r="R4" s="1"/>
      <c r="S4" s="1"/>
      <c r="X4"/>
      <c r="Y4" s="1" t="e">
        <f>0.0001/(1.602E-19*X4)</f>
        <v>#DIV/0!</v>
      </c>
      <c r="AM4" s="4"/>
      <c r="AN4" s="4"/>
      <c r="AO4" s="4"/>
      <c r="AP4" s="4"/>
      <c r="AQ4" s="4"/>
      <c r="AR4" s="4"/>
      <c r="AS4" s="4"/>
      <c r="AT4" s="4"/>
      <c r="AU4" s="4"/>
      <c r="AV4" s="4"/>
      <c r="AW4" s="4" t="e">
        <f>3*測定設定値!$B$2/(4*(AU4-AT4))</f>
        <v>#DIV/0!</v>
      </c>
      <c r="AX4" s="4" t="e">
        <f>測定設定値!$B$2/(2*(AV4-AU4))</f>
        <v>#DIV/0!</v>
      </c>
      <c r="AY4" s="4" t="e">
        <f>3*測定設定値!$B$2/(4*(AT4-AS4))</f>
        <v>#DIV/0!</v>
      </c>
      <c r="AZ4" s="4" t="e">
        <f>測定設定値!$B$2/(2*(AS4-AR4))</f>
        <v>#DIV/0!</v>
      </c>
      <c r="BA4" s="3" t="e">
        <f t="shared" si="3"/>
        <v>#DIV/0!</v>
      </c>
      <c r="BB4" s="4"/>
      <c r="BC4" s="4"/>
      <c r="BD4" s="4"/>
      <c r="BE4" s="4"/>
      <c r="BF4" s="4"/>
      <c r="BG4" s="4"/>
      <c r="BH4" s="4"/>
      <c r="BI4" s="4"/>
      <c r="BJ4" s="4"/>
      <c r="BK4" s="4"/>
      <c r="BL4" s="4" t="e">
        <f>3*測定設定値!$B$2/(4*(BJ4-BI4))</f>
        <v>#DIV/0!</v>
      </c>
      <c r="BM4" s="4" t="e">
        <f>測定設定値!$B$2/(2*(BK4-BJ4))</f>
        <v>#DIV/0!</v>
      </c>
      <c r="BN4" s="4" t="e">
        <f>3*測定設定値!$B$2/(4*(BI4-BH4))</f>
        <v>#DIV/0!</v>
      </c>
      <c r="BO4" s="4" t="e">
        <f>測定設定値!$B$2/(2*(BH4-BG4))</f>
        <v>#DIV/0!</v>
      </c>
    </row>
    <row r="5" spans="1:83" s="20" customFormat="1">
      <c r="A5" s="20" t="s">
        <v>40</v>
      </c>
      <c r="B5" s="20" t="s">
        <v>35</v>
      </c>
      <c r="C5" s="20" t="s">
        <v>16</v>
      </c>
      <c r="D5" s="20" t="s">
        <v>9</v>
      </c>
      <c r="E5" s="20">
        <v>0.08</v>
      </c>
      <c r="F5" s="20">
        <v>0.84</v>
      </c>
      <c r="G5" s="21">
        <f>2*Q5/(Q5+M5+N5)</f>
        <v>7.6923076923076927E-2</v>
      </c>
      <c r="H5" s="22">
        <f t="shared" si="0"/>
        <v>0.84</v>
      </c>
      <c r="I5" s="22">
        <v>200</v>
      </c>
      <c r="J5" s="22">
        <v>380</v>
      </c>
      <c r="K5" s="23">
        <v>380</v>
      </c>
      <c r="L5" s="23">
        <v>55</v>
      </c>
      <c r="M5" s="22">
        <v>7.9999999999999996E-7</v>
      </c>
      <c r="N5" s="22">
        <v>4.1999999999999996E-6</v>
      </c>
      <c r="O5" s="22">
        <v>1E-4</v>
      </c>
      <c r="P5" s="22">
        <f t="shared" si="1"/>
        <v>4.9999999999999996E-6</v>
      </c>
      <c r="Q5" s="22">
        <v>1.9999999999999999E-7</v>
      </c>
      <c r="R5" s="22">
        <f t="shared" ref="R5:R24" si="4">P5+Q5</f>
        <v>5.1999999999999993E-6</v>
      </c>
      <c r="S5" s="22" t="s">
        <v>10</v>
      </c>
      <c r="T5" s="20" t="s">
        <v>11</v>
      </c>
      <c r="U5" s="20" t="s">
        <v>11</v>
      </c>
      <c r="V5" s="20" t="s">
        <v>11</v>
      </c>
      <c r="W5" s="24"/>
      <c r="X5" s="25">
        <v>164257837220455</v>
      </c>
      <c r="Y5" s="22">
        <f>0.0001/(1.602E-19*X5)</f>
        <v>3.80024317808068</v>
      </c>
      <c r="Z5" s="20">
        <v>0.431263751953125</v>
      </c>
      <c r="AA5" s="20">
        <v>94.033926964872705</v>
      </c>
      <c r="AB5" s="22">
        <v>1.7911901232501701E-5</v>
      </c>
      <c r="AC5" s="20">
        <v>4.3607631707900002E-4</v>
      </c>
      <c r="AD5" s="20">
        <v>2289.3141280258301</v>
      </c>
      <c r="AE5" s="20">
        <v>4.1061154060981597E-2</v>
      </c>
      <c r="AH5" s="20">
        <v>200</v>
      </c>
      <c r="AM5" s="27"/>
      <c r="AN5" s="27"/>
      <c r="AO5" s="27"/>
      <c r="AP5" s="27"/>
      <c r="AQ5" s="27"/>
      <c r="AR5" s="27"/>
      <c r="AS5" s="27"/>
      <c r="AT5" s="27"/>
      <c r="AU5" s="27"/>
      <c r="AV5" s="27"/>
      <c r="AW5" s="27" t="e">
        <f>3*測定設定値!$B$2/(4*(AU5-AT5))</f>
        <v>#DIV/0!</v>
      </c>
      <c r="AX5" s="27" t="e">
        <f>測定設定値!$B$2/(2*(AV5-AU5))</f>
        <v>#DIV/0!</v>
      </c>
      <c r="AY5" s="27" t="e">
        <f>3*測定設定値!$B$2/(4*(AT5-AS5))</f>
        <v>#DIV/0!</v>
      </c>
      <c r="AZ5" s="27" t="e">
        <f>測定設定値!$B$2/(2*(AS5-AR5))</f>
        <v>#DIV/0!</v>
      </c>
      <c r="BA5" s="28" t="e">
        <f t="shared" si="3"/>
        <v>#DIV/0!</v>
      </c>
      <c r="BB5" s="27"/>
      <c r="BC5" s="27"/>
      <c r="BD5" s="27"/>
      <c r="BE5" s="27"/>
      <c r="BF5" s="27"/>
      <c r="BG5" s="27"/>
      <c r="BH5" s="27"/>
      <c r="BI5" s="27"/>
      <c r="BJ5" s="27"/>
      <c r="BK5" s="27"/>
      <c r="BL5" s="27" t="e">
        <f>3*測定設定値!$B$2/(4*(BJ5-BI5))</f>
        <v>#DIV/0!</v>
      </c>
      <c r="BM5" s="27" t="e">
        <f>測定設定値!$B$2/(2*(BK5-BJ5))</f>
        <v>#DIV/0!</v>
      </c>
      <c r="BN5" s="27" t="e">
        <f>3*測定設定値!$B$2/(4*(BI5-BH5))</f>
        <v>#DIV/0!</v>
      </c>
      <c r="BO5" s="27" t="e">
        <f>測定設定値!$B$2/(2*(BH5-BG5))</f>
        <v>#DIV/0!</v>
      </c>
    </row>
    <row r="6" spans="1:83">
      <c r="A6" t="s">
        <v>41</v>
      </c>
      <c r="B6" t="s">
        <v>35</v>
      </c>
      <c r="C6" t="s">
        <v>122</v>
      </c>
      <c r="D6" t="s">
        <v>9</v>
      </c>
      <c r="E6">
        <v>0.02</v>
      </c>
      <c r="F6">
        <v>0.84</v>
      </c>
      <c r="G6" s="2">
        <f>2*Q6/(Q6+M6+N6)</f>
        <v>1.9801980198019806E-2</v>
      </c>
      <c r="H6" s="1">
        <f t="shared" si="0"/>
        <v>0.84</v>
      </c>
      <c r="I6" s="1">
        <v>200</v>
      </c>
      <c r="J6" s="1">
        <v>380</v>
      </c>
      <c r="K6" s="5">
        <v>380</v>
      </c>
      <c r="L6" s="5">
        <v>55</v>
      </c>
      <c r="M6" s="1">
        <v>7.9999999999999996E-7</v>
      </c>
      <c r="N6" s="1">
        <v>4.1999999999999996E-6</v>
      </c>
      <c r="O6" s="1">
        <v>1E-4</v>
      </c>
      <c r="P6" s="1">
        <f t="shared" si="1"/>
        <v>4.9999999999999996E-6</v>
      </c>
      <c r="Q6" s="1">
        <v>4.9999999999999998E-8</v>
      </c>
      <c r="R6" s="1">
        <f t="shared" si="4"/>
        <v>5.0499999999999999E-6</v>
      </c>
      <c r="S6" s="1" t="s">
        <v>10</v>
      </c>
      <c r="T6" t="s">
        <v>11</v>
      </c>
      <c r="U6" t="s">
        <v>11</v>
      </c>
      <c r="V6" s="1" t="s">
        <v>11</v>
      </c>
      <c r="Y6" s="1" t="e">
        <f t="shared" si="2"/>
        <v>#DIV/0!</v>
      </c>
      <c r="AM6" s="4"/>
      <c r="AN6" s="4"/>
      <c r="AO6" s="4"/>
      <c r="AP6" s="4"/>
      <c r="AQ6" s="4"/>
      <c r="AR6" s="4"/>
      <c r="AS6" s="4"/>
      <c r="AT6" s="4"/>
      <c r="AU6" s="4"/>
      <c r="AV6" s="4"/>
      <c r="AW6" s="4" t="e">
        <f>3*測定設定値!$B$2/(4*(AU6-AT6))</f>
        <v>#DIV/0!</v>
      </c>
      <c r="AX6" s="4" t="e">
        <f>測定設定値!$B$2/(2*(AV6-AU6))</f>
        <v>#DIV/0!</v>
      </c>
      <c r="AY6" s="4" t="e">
        <f>3*測定設定値!$B$2/(4*(AT6-AS6))</f>
        <v>#DIV/0!</v>
      </c>
      <c r="AZ6" s="4" t="e">
        <f>測定設定値!$B$2/(2*(AS6-AR6))</f>
        <v>#DIV/0!</v>
      </c>
      <c r="BA6" s="3" t="e">
        <f t="shared" si="3"/>
        <v>#DIV/0!</v>
      </c>
      <c r="BB6" s="4"/>
      <c r="BC6" s="4"/>
      <c r="BD6" s="4"/>
      <c r="BE6" s="4"/>
      <c r="BF6" s="4"/>
      <c r="BG6" s="4"/>
      <c r="BH6" s="4"/>
      <c r="BI6" s="4"/>
      <c r="BJ6" s="4"/>
      <c r="BK6" s="4"/>
      <c r="BL6" s="4" t="e">
        <f>3*測定設定値!$B$2/(4*(BJ6-BI6))</f>
        <v>#DIV/0!</v>
      </c>
      <c r="BM6" s="4" t="e">
        <f>測定設定値!$B$2/(2*(BK6-BJ6))</f>
        <v>#DIV/0!</v>
      </c>
      <c r="BN6" s="4" t="e">
        <f>3*測定設定値!$B$2/(4*(BI6-BH6))</f>
        <v>#DIV/0!</v>
      </c>
      <c r="BO6" s="4" t="e">
        <f>測定設定値!$B$2/(2*(BH6-BG6))</f>
        <v>#DIV/0!</v>
      </c>
    </row>
    <row r="7" spans="1:83" s="38" customFormat="1">
      <c r="A7" s="38" t="s">
        <v>42</v>
      </c>
      <c r="B7" s="38" t="s">
        <v>35</v>
      </c>
      <c r="C7" s="38" t="s">
        <v>123</v>
      </c>
      <c r="D7" s="38" t="s">
        <v>9</v>
      </c>
      <c r="E7" s="38">
        <v>0.02</v>
      </c>
      <c r="F7" s="38">
        <v>0.84</v>
      </c>
      <c r="G7" s="39">
        <f t="shared" ref="G7:G20" si="5">2*Q7/(Q7+M7+N7)</f>
        <v>1.9801980198019806E-2</v>
      </c>
      <c r="H7" s="40">
        <f t="shared" si="0"/>
        <v>0.84</v>
      </c>
      <c r="I7" s="40">
        <v>200</v>
      </c>
      <c r="J7" s="40">
        <v>380</v>
      </c>
      <c r="K7" s="41">
        <v>380</v>
      </c>
      <c r="L7" s="41">
        <v>55</v>
      </c>
      <c r="M7" s="40">
        <v>7.9999999999999996E-7</v>
      </c>
      <c r="N7" s="40">
        <v>4.1999999999999996E-6</v>
      </c>
      <c r="O7" s="40">
        <v>1E-4</v>
      </c>
      <c r="P7" s="40">
        <f t="shared" si="1"/>
        <v>4.9999999999999996E-6</v>
      </c>
      <c r="Q7" s="40">
        <v>4.9999999999999998E-8</v>
      </c>
      <c r="R7" s="40">
        <f t="shared" si="4"/>
        <v>5.0499999999999999E-6</v>
      </c>
      <c r="S7" s="40" t="s">
        <v>10</v>
      </c>
      <c r="T7" s="38" t="s">
        <v>11</v>
      </c>
      <c r="U7" s="38" t="s">
        <v>11</v>
      </c>
      <c r="V7" s="40" t="s">
        <v>11</v>
      </c>
      <c r="W7" s="42"/>
      <c r="X7" s="43"/>
      <c r="Y7" s="40" t="e">
        <f t="shared" si="2"/>
        <v>#DIV/0!</v>
      </c>
      <c r="Z7" s="44"/>
      <c r="AA7" s="44"/>
      <c r="AB7" s="44"/>
      <c r="AC7" s="44"/>
      <c r="AD7" s="44"/>
      <c r="AE7" s="44"/>
      <c r="AM7" s="45"/>
      <c r="AN7" s="45"/>
      <c r="AO7" s="45"/>
      <c r="AP7" s="45"/>
      <c r="AQ7" s="45"/>
      <c r="AR7" s="45"/>
      <c r="AS7" s="45"/>
      <c r="AT7" s="45"/>
      <c r="AU7" s="45"/>
      <c r="AV7" s="45"/>
      <c r="AW7" s="45" t="e">
        <f>3*測定設定値!$B$2/(4*(AU7-AT7))</f>
        <v>#DIV/0!</v>
      </c>
      <c r="AX7" s="45" t="e">
        <f>測定設定値!$B$2/(2*(AV7-AU7))</f>
        <v>#DIV/0!</v>
      </c>
      <c r="AY7" s="45" t="e">
        <f>3*測定設定値!$B$2/(4*(AT7-AS7))</f>
        <v>#DIV/0!</v>
      </c>
      <c r="AZ7" s="45" t="e">
        <f>測定設定値!$B$2/(2*(AS7-AR7))</f>
        <v>#DIV/0!</v>
      </c>
      <c r="BA7" s="46" t="e">
        <f t="shared" si="3"/>
        <v>#DIV/0!</v>
      </c>
      <c r="BB7" s="45"/>
      <c r="BC7" s="45"/>
      <c r="BD7" s="45"/>
      <c r="BE7" s="45"/>
      <c r="BF7" s="45"/>
      <c r="BG7" s="45"/>
      <c r="BH7" s="45"/>
      <c r="BI7" s="45"/>
      <c r="BJ7" s="45"/>
      <c r="BK7" s="45"/>
      <c r="BL7" s="45" t="e">
        <f>3*測定設定値!$B$2/(4*(BJ7-BI7))</f>
        <v>#DIV/0!</v>
      </c>
      <c r="BM7" s="45" t="e">
        <f>測定設定値!$B$2/(2*(BK7-BJ7))</f>
        <v>#DIV/0!</v>
      </c>
      <c r="BN7" s="45" t="e">
        <f>3*測定設定値!$B$2/(4*(BI7-BH7))</f>
        <v>#DIV/0!</v>
      </c>
      <c r="BO7" s="45" t="e">
        <f>測定設定値!$B$2/(2*(BH7-BG7))</f>
        <v>#DIV/0!</v>
      </c>
    </row>
    <row r="8" spans="1:83" s="20" customFormat="1">
      <c r="A8" s="20" t="s">
        <v>43</v>
      </c>
      <c r="B8" s="20" t="s">
        <v>35</v>
      </c>
      <c r="D8" s="20" t="s">
        <v>9</v>
      </c>
      <c r="E8" s="20">
        <v>8.0000000000000002E-3</v>
      </c>
      <c r="F8" s="20">
        <v>0.84</v>
      </c>
      <c r="G8" s="21">
        <f t="shared" si="5"/>
        <v>7.9681274900398422E-3</v>
      </c>
      <c r="H8" s="22">
        <f t="shared" si="0"/>
        <v>0.84</v>
      </c>
      <c r="I8" s="22">
        <v>200</v>
      </c>
      <c r="J8" s="22">
        <v>380</v>
      </c>
      <c r="K8" s="23">
        <v>380</v>
      </c>
      <c r="L8" s="23">
        <v>55</v>
      </c>
      <c r="M8" s="22">
        <v>7.9999999999999996E-7</v>
      </c>
      <c r="N8" s="22">
        <v>4.1999999999999996E-6</v>
      </c>
      <c r="O8" s="22">
        <v>1E-4</v>
      </c>
      <c r="P8" s="22">
        <f t="shared" si="1"/>
        <v>4.9999999999999996E-6</v>
      </c>
      <c r="Q8" s="22">
        <v>2E-8</v>
      </c>
      <c r="R8" s="22">
        <f t="shared" si="4"/>
        <v>5.0199999999999994E-6</v>
      </c>
      <c r="S8" s="22" t="s">
        <v>10</v>
      </c>
      <c r="T8" s="20" t="s">
        <v>11</v>
      </c>
      <c r="U8" s="20" t="s">
        <v>11</v>
      </c>
      <c r="V8" s="22" t="s">
        <v>11</v>
      </c>
      <c r="W8" s="24"/>
      <c r="X8" s="25">
        <v>-1572570000000</v>
      </c>
      <c r="Y8" s="22">
        <f t="shared" si="2"/>
        <v>-396.94240977719335</v>
      </c>
      <c r="Z8" s="26">
        <v>3.1744996093749998E-2</v>
      </c>
      <c r="AA8" s="26">
        <v>2763.1212350000001</v>
      </c>
      <c r="AB8" s="22">
        <v>1.0494187488864699E-5</v>
      </c>
      <c r="AC8" s="22">
        <v>6.0727414251169998E-5</v>
      </c>
      <c r="AD8" s="20">
        <v>15989.537833533701</v>
      </c>
      <c r="AE8" s="26">
        <v>0.11691904468651999</v>
      </c>
      <c r="AH8" s="20">
        <v>14</v>
      </c>
      <c r="AM8" s="27"/>
      <c r="AN8" s="27">
        <v>16.015999999999998</v>
      </c>
      <c r="AO8" s="27">
        <v>17.366</v>
      </c>
      <c r="AP8" s="27">
        <v>18.832000000000001</v>
      </c>
      <c r="AQ8" s="27"/>
      <c r="AR8" s="27">
        <v>0</v>
      </c>
      <c r="AS8" s="27">
        <v>0.13931136699999999</v>
      </c>
      <c r="AT8" s="27">
        <v>0.15096752199999999</v>
      </c>
      <c r="AU8" s="27">
        <v>0.163601459</v>
      </c>
      <c r="AV8" s="27">
        <v>0</v>
      </c>
      <c r="AW8" s="27">
        <f>3*測定設定値!$B$2/(4*(AU8-AT8))</f>
        <v>9.1455933332578674</v>
      </c>
      <c r="AX8" s="27">
        <f>測定設定値!$B$2/(2*(AV8-AU8))</f>
        <v>-0.4708387105520862</v>
      </c>
      <c r="AY8" s="27">
        <f>3*測定設定値!$B$2/(4*(AT8-AS8))</f>
        <v>9.9127756966169365</v>
      </c>
      <c r="AZ8" s="27">
        <f>測定設定値!$B$2/(2*(AS8-AR8))</f>
        <v>0.55293334391012039</v>
      </c>
      <c r="BA8" s="28">
        <f t="shared" si="3"/>
        <v>0.17325790027158913</v>
      </c>
      <c r="BB8" s="27"/>
      <c r="BC8" s="27">
        <v>42.927999999999997</v>
      </c>
      <c r="BD8" s="27">
        <v>44.52</v>
      </c>
      <c r="BE8" s="27">
        <v>46.195999999999998</v>
      </c>
      <c r="BF8" s="27"/>
      <c r="BG8" s="27">
        <v>0</v>
      </c>
      <c r="BH8" s="27">
        <v>0.681078776</v>
      </c>
      <c r="BI8" s="27">
        <v>0.70115819300000004</v>
      </c>
      <c r="BJ8" s="27">
        <v>0.72171190600000001</v>
      </c>
      <c r="BK8" s="27">
        <v>0</v>
      </c>
      <c r="BL8" s="27">
        <f>3*測定設定値!$B$2/(4*(BJ8-BI8))</f>
        <v>5.6216047193030354</v>
      </c>
      <c r="BM8" s="27">
        <f>測定設定値!$B$2/(2*(BK8-BJ8))</f>
        <v>-0.10673220070170215</v>
      </c>
      <c r="BN8" s="27">
        <f>3*測定設定値!$B$2/(4*(BI8-BH8))</f>
        <v>5.7543926698668466</v>
      </c>
      <c r="BO8" s="27">
        <f>測定設定値!$B$2/(2*(BH8-BG8))</f>
        <v>0.11309983912932856</v>
      </c>
    </row>
    <row r="9" spans="1:83" s="20" customFormat="1">
      <c r="A9" s="20" t="s">
        <v>44</v>
      </c>
      <c r="B9" s="20" t="s">
        <v>35</v>
      </c>
      <c r="C9" s="29"/>
      <c r="D9" s="20" t="s">
        <v>9</v>
      </c>
      <c r="E9" s="20">
        <v>0.05</v>
      </c>
      <c r="F9" s="20">
        <v>0.84</v>
      </c>
      <c r="G9" s="21">
        <f t="shared" si="5"/>
        <v>4.9921996879875197E-2</v>
      </c>
      <c r="H9" s="22">
        <f t="shared" si="0"/>
        <v>0.84</v>
      </c>
      <c r="I9" s="22">
        <v>200</v>
      </c>
      <c r="J9" s="22">
        <v>380</v>
      </c>
      <c r="K9" s="23">
        <v>380</v>
      </c>
      <c r="L9" s="23">
        <v>55</v>
      </c>
      <c r="M9" s="22">
        <v>7.9999999999999996E-7</v>
      </c>
      <c r="N9" s="22">
        <v>4.1999999999999996E-6</v>
      </c>
      <c r="O9" s="22">
        <v>1E-4</v>
      </c>
      <c r="P9" s="22">
        <f t="shared" si="1"/>
        <v>4.9999999999999996E-6</v>
      </c>
      <c r="Q9" s="22">
        <v>1.2800000000000001E-7</v>
      </c>
      <c r="R9" s="22">
        <f t="shared" si="4"/>
        <v>5.1279999999999999E-6</v>
      </c>
      <c r="S9" s="22" t="s">
        <v>10</v>
      </c>
      <c r="T9" s="20" t="s">
        <v>11</v>
      </c>
      <c r="U9" s="20" t="s">
        <v>11</v>
      </c>
      <c r="V9" s="22" t="s">
        <v>11</v>
      </c>
      <c r="W9" s="24"/>
      <c r="X9" s="20">
        <v>96468039495361.5</v>
      </c>
      <c r="Y9" s="22">
        <f t="shared" si="2"/>
        <v>6.4707412797928319</v>
      </c>
      <c r="Z9" s="20">
        <v>0.23294083593750001</v>
      </c>
      <c r="AA9" s="20">
        <v>371.37912321613601</v>
      </c>
      <c r="AB9" s="22">
        <v>8.4517562986093299E-6</v>
      </c>
      <c r="AC9" s="20">
        <v>1.5061980629240001E-4</v>
      </c>
      <c r="AD9" s="20">
        <v>6618.3938134958498</v>
      </c>
      <c r="AE9" s="20">
        <v>5.6257526242882001E-2</v>
      </c>
      <c r="AH9" s="20">
        <v>160</v>
      </c>
      <c r="AM9" s="27"/>
      <c r="AN9" s="27">
        <v>16.756</v>
      </c>
      <c r="AO9" s="27">
        <v>17.684000000000001</v>
      </c>
      <c r="AP9" s="27">
        <v>18.68</v>
      </c>
      <c r="AQ9" s="27"/>
      <c r="AR9" s="27">
        <v>0</v>
      </c>
      <c r="AS9" s="27">
        <v>0.145703164</v>
      </c>
      <c r="AT9" s="27">
        <v>0.15371020399999999</v>
      </c>
      <c r="AU9" s="27">
        <v>0.16229273699999999</v>
      </c>
      <c r="AV9" s="27">
        <v>0</v>
      </c>
      <c r="AW9" s="27">
        <f>3*測定設定値!$B$2/(4*(AU9-AT9))</f>
        <v>13.462791229582217</v>
      </c>
      <c r="AX9" s="27">
        <f>測定設定値!$B$2/(2*(AV9-AU9))</f>
        <v>-0.47463553467583702</v>
      </c>
      <c r="AY9" s="27">
        <f>3*測定設定値!$B$2/(4*(AT9-AS9))</f>
        <v>14.430407491407575</v>
      </c>
      <c r="AZ9" s="27">
        <f>測定設定値!$B$2/(2*(AS9-AR9))</f>
        <v>0.52867692015253698</v>
      </c>
      <c r="BA9" s="28">
        <f t="shared" si="3"/>
        <v>0.25357453382717993</v>
      </c>
      <c r="BB9" s="27"/>
      <c r="BC9" s="27"/>
      <c r="BD9" s="27"/>
      <c r="BE9" s="27"/>
      <c r="BF9" s="27"/>
      <c r="BG9" s="27"/>
      <c r="BH9" s="27"/>
      <c r="BI9" s="27"/>
      <c r="BJ9" s="27"/>
      <c r="BK9" s="27"/>
      <c r="BL9" s="27" t="e">
        <f>3*測定設定値!$B$2/(4*(BJ9-BI9))</f>
        <v>#DIV/0!</v>
      </c>
      <c r="BM9" s="27" t="e">
        <f>測定設定値!$B$2/(2*(BK9-BJ9))</f>
        <v>#DIV/0!</v>
      </c>
      <c r="BN9" s="27" t="e">
        <f>3*測定設定値!$B$2/(4*(BI9-BH9))</f>
        <v>#DIV/0!</v>
      </c>
      <c r="BO9" s="27" t="e">
        <f>測定設定値!$B$2/(2*(BH9-BG9))</f>
        <v>#DIV/0!</v>
      </c>
    </row>
    <row r="10" spans="1:83" s="20" customFormat="1">
      <c r="A10" s="20" t="s">
        <v>45</v>
      </c>
      <c r="B10" s="20" t="s">
        <v>35</v>
      </c>
      <c r="C10" s="20" t="s">
        <v>24</v>
      </c>
      <c r="D10" s="20" t="s">
        <v>9</v>
      </c>
      <c r="E10" s="20">
        <v>0.02</v>
      </c>
      <c r="F10" s="20">
        <v>0.78</v>
      </c>
      <c r="G10" s="21">
        <f t="shared" si="5"/>
        <v>1.9874861980125141E-2</v>
      </c>
      <c r="H10" s="22">
        <f t="shared" si="0"/>
        <v>0.78066914498141271</v>
      </c>
      <c r="I10" s="22">
        <v>200</v>
      </c>
      <c r="J10" s="22">
        <v>380</v>
      </c>
      <c r="K10" s="23">
        <v>380</v>
      </c>
      <c r="L10" s="23">
        <v>55</v>
      </c>
      <c r="M10" s="22">
        <v>1.1799999999999999E-6</v>
      </c>
      <c r="N10" s="22">
        <v>4.1999999999999996E-6</v>
      </c>
      <c r="O10" s="22">
        <v>1E-4</v>
      </c>
      <c r="P10" s="22">
        <f t="shared" si="1"/>
        <v>5.3799999999999993E-6</v>
      </c>
      <c r="Q10" s="22">
        <v>5.4E-8</v>
      </c>
      <c r="R10" s="22">
        <f t="shared" si="4"/>
        <v>5.4339999999999991E-6</v>
      </c>
      <c r="S10" s="22" t="s">
        <v>20</v>
      </c>
      <c r="T10" s="20" t="s">
        <v>11</v>
      </c>
      <c r="U10" s="20" t="s">
        <v>11</v>
      </c>
      <c r="V10" s="22" t="s">
        <v>11</v>
      </c>
      <c r="W10" s="24"/>
      <c r="X10" s="20">
        <v>3715398876796.8999</v>
      </c>
      <c r="Y10" s="22">
        <f t="shared" si="2"/>
        <v>168.00880498770832</v>
      </c>
      <c r="Z10" s="20">
        <v>7.7795871826171897E-2</v>
      </c>
      <c r="AA10" s="20">
        <v>4274.6114694651096</v>
      </c>
      <c r="AB10" s="22">
        <v>2.7013482771831101E-5</v>
      </c>
      <c r="AC10" s="22">
        <v>7.47648943832751E-5</v>
      </c>
      <c r="AD10" s="20">
        <v>11830.791229087799</v>
      </c>
      <c r="AE10" s="20">
        <v>0.36004181685085102</v>
      </c>
      <c r="AH10" s="20">
        <v>50</v>
      </c>
      <c r="AM10" s="27"/>
      <c r="AN10" s="27">
        <v>16.408000000000001</v>
      </c>
      <c r="AO10" s="27">
        <v>17.571999999999999</v>
      </c>
      <c r="AP10" s="27">
        <v>18.756</v>
      </c>
      <c r="AQ10" s="27"/>
      <c r="AR10" s="27">
        <v>0</v>
      </c>
      <c r="AS10" s="27">
        <v>0.142698033</v>
      </c>
      <c r="AT10" s="27">
        <v>0.15274436199999999</v>
      </c>
      <c r="AU10" s="27">
        <v>0.16294713399999999</v>
      </c>
      <c r="AV10" s="27">
        <v>0</v>
      </c>
      <c r="AW10" s="27">
        <f>3*測定設定値!$B$2/(4*(AU10-AT10))</f>
        <v>11.324848776391359</v>
      </c>
      <c r="AX10" s="27">
        <f>測定設定値!$B$2/(2*(AV10-AU10))</f>
        <v>-0.47272939455320523</v>
      </c>
      <c r="AY10" s="27">
        <f>3*測定設定値!$B$2/(4*(AT10-AS10))</f>
        <v>11.501201085491038</v>
      </c>
      <c r="AZ10" s="27">
        <f>測定設定値!$B$2/(2*(AS10-AR10))</f>
        <v>0.53981052422775866</v>
      </c>
      <c r="BA10" s="28">
        <f t="shared" si="3"/>
        <v>0.20750954419893086</v>
      </c>
      <c r="BB10" s="27"/>
      <c r="BC10" s="27"/>
      <c r="BD10" s="27">
        <v>44.82</v>
      </c>
      <c r="BE10" s="27"/>
      <c r="BF10" s="27"/>
      <c r="BG10" s="27">
        <v>0</v>
      </c>
      <c r="BH10" s="27">
        <v>0</v>
      </c>
      <c r="BI10" s="27">
        <v>0.70488185400000003</v>
      </c>
      <c r="BJ10" s="27">
        <v>0</v>
      </c>
      <c r="BK10" s="27">
        <v>0</v>
      </c>
      <c r="BL10" s="27">
        <f>3*測定設定値!$B$2/(4*(BJ10-BI10))</f>
        <v>-0.1639208746037602</v>
      </c>
      <c r="BM10" s="27" t="e">
        <f>測定設定値!$B$2/(2*(BK10-BJ10))</f>
        <v>#DIV/0!</v>
      </c>
      <c r="BN10" s="27">
        <f>3*測定設定値!$B$2/(4*(BI10-BH10))</f>
        <v>0.1639208746037602</v>
      </c>
      <c r="BO10" s="27" t="e">
        <f>測定設定値!$B$2/(2*(BH10-BG10))</f>
        <v>#DIV/0!</v>
      </c>
    </row>
    <row r="11" spans="1:83">
      <c r="A11" t="s">
        <v>46</v>
      </c>
      <c r="B11" t="s">
        <v>35</v>
      </c>
      <c r="C11" t="s">
        <v>28</v>
      </c>
      <c r="D11" t="s">
        <v>9</v>
      </c>
      <c r="E11" s="2">
        <v>1.2E-2</v>
      </c>
      <c r="F11">
        <v>0.84</v>
      </c>
      <c r="G11" s="2">
        <f t="shared" si="5"/>
        <v>1.1967952923401125E-2</v>
      </c>
      <c r="H11" s="1">
        <f t="shared" si="0"/>
        <v>0.84</v>
      </c>
      <c r="I11" s="1">
        <v>200</v>
      </c>
      <c r="J11" s="1">
        <v>380</v>
      </c>
      <c r="K11" s="5">
        <v>380</v>
      </c>
      <c r="L11" s="5">
        <v>55</v>
      </c>
      <c r="M11" s="1">
        <v>7.9999999999999996E-7</v>
      </c>
      <c r="N11" s="1">
        <v>4.1999999999999996E-6</v>
      </c>
      <c r="O11" s="1">
        <v>1E-4</v>
      </c>
      <c r="P11" s="1">
        <f t="shared" si="1"/>
        <v>4.9999999999999996E-6</v>
      </c>
      <c r="Q11" s="1">
        <v>3.0099999999999998E-8</v>
      </c>
      <c r="R11" s="1">
        <f t="shared" si="4"/>
        <v>5.0300999999999995E-6</v>
      </c>
      <c r="S11" s="1" t="s">
        <v>29</v>
      </c>
      <c r="T11" t="s">
        <v>11</v>
      </c>
      <c r="U11" t="s">
        <v>11</v>
      </c>
      <c r="V11" s="1" t="s">
        <v>11</v>
      </c>
      <c r="Y11" s="1" t="e">
        <f t="shared" si="2"/>
        <v>#DIV/0!</v>
      </c>
      <c r="AM11" s="4"/>
      <c r="AN11" s="4"/>
      <c r="AO11" s="4"/>
      <c r="AP11" s="4"/>
      <c r="AQ11" s="4"/>
      <c r="AR11" s="4"/>
      <c r="AS11" s="4"/>
      <c r="AT11" s="4"/>
      <c r="AU11" s="4"/>
      <c r="AV11" s="4"/>
      <c r="AW11" s="4" t="e">
        <f>3*測定設定値!$B$2/(4*(AU11-AT11))</f>
        <v>#DIV/0!</v>
      </c>
      <c r="AX11" s="4" t="e">
        <f>測定設定値!$B$2/(2*(AV11-AU11))</f>
        <v>#DIV/0!</v>
      </c>
      <c r="AY11" s="4" t="e">
        <f>3*測定設定値!$B$2/(4*(AT11-AS11))</f>
        <v>#DIV/0!</v>
      </c>
      <c r="AZ11" s="4" t="e">
        <f>測定設定値!$B$2/(2*(AS11-AR11))</f>
        <v>#DIV/0!</v>
      </c>
      <c r="BA11" s="3" t="e">
        <f t="shared" si="3"/>
        <v>#DIV/0!</v>
      </c>
      <c r="BB11" s="4"/>
      <c r="BC11" s="4"/>
      <c r="BD11" s="4"/>
      <c r="BE11" s="4"/>
      <c r="BF11" s="4"/>
      <c r="BG11" s="4"/>
      <c r="BH11" s="4"/>
      <c r="BI11" s="4"/>
      <c r="BJ11" s="4"/>
      <c r="BK11" s="4"/>
      <c r="BL11" s="4" t="e">
        <f>3*測定設定値!$B$2/(4*(BJ11-BI11))</f>
        <v>#DIV/0!</v>
      </c>
      <c r="BM11" s="4" t="e">
        <f>測定設定値!$B$2/(2*(BK11-BJ11))</f>
        <v>#DIV/0!</v>
      </c>
      <c r="BN11" s="4" t="e">
        <f>3*測定設定値!$B$2/(4*(BI11-BH11))</f>
        <v>#DIV/0!</v>
      </c>
      <c r="BO11" s="4" t="e">
        <f>測定設定値!$B$2/(2*(BH11-BG11))</f>
        <v>#DIV/0!</v>
      </c>
    </row>
    <row r="12" spans="1:83" s="20" customFormat="1">
      <c r="A12" s="20" t="s">
        <v>47</v>
      </c>
      <c r="B12" s="20" t="s">
        <v>35</v>
      </c>
      <c r="D12" s="20" t="s">
        <v>9</v>
      </c>
      <c r="E12" s="21">
        <v>1.2E-2</v>
      </c>
      <c r="F12" s="20">
        <v>0.84</v>
      </c>
      <c r="G12" s="21">
        <f t="shared" si="5"/>
        <v>1.1967952923401125E-2</v>
      </c>
      <c r="H12" s="22">
        <f>N12/P12</f>
        <v>0.84</v>
      </c>
      <c r="I12" s="22">
        <v>200</v>
      </c>
      <c r="J12" s="22">
        <v>380</v>
      </c>
      <c r="K12" s="23">
        <v>380</v>
      </c>
      <c r="L12" s="23">
        <v>55</v>
      </c>
      <c r="M12" s="22">
        <v>7.9999999999999996E-7</v>
      </c>
      <c r="N12" s="22">
        <v>4.1999999999999996E-6</v>
      </c>
      <c r="O12" s="22">
        <v>1E-4</v>
      </c>
      <c r="P12" s="22">
        <f t="shared" si="1"/>
        <v>4.9999999999999996E-6</v>
      </c>
      <c r="Q12" s="22">
        <v>3.0099999999999998E-8</v>
      </c>
      <c r="R12" s="22">
        <f t="shared" si="4"/>
        <v>5.0300999999999995E-6</v>
      </c>
      <c r="S12" s="22" t="s">
        <v>29</v>
      </c>
      <c r="T12" s="20" t="s">
        <v>11</v>
      </c>
      <c r="U12" s="20" t="s">
        <v>11</v>
      </c>
      <c r="V12" s="22" t="s">
        <v>11</v>
      </c>
      <c r="W12" s="24"/>
      <c r="X12" s="20">
        <v>3071936757203.4902</v>
      </c>
      <c r="Y12" s="22">
        <f t="shared" si="2"/>
        <v>203.20070843892424</v>
      </c>
      <c r="Z12" s="20">
        <v>8.0944776367187499E-2</v>
      </c>
      <c r="AA12" s="20">
        <v>6891.8458486109103</v>
      </c>
      <c r="AB12" s="22">
        <v>1.5363399375031101E-5</v>
      </c>
      <c r="AC12" s="22">
        <v>4.4645044266503498E-5</v>
      </c>
      <c r="AD12" s="20">
        <v>20027.257996639099</v>
      </c>
      <c r="AE12" s="20">
        <v>0.34226160360264202</v>
      </c>
      <c r="AH12" s="20">
        <v>16</v>
      </c>
      <c r="AM12" s="27">
        <v>15.54</v>
      </c>
      <c r="AN12" s="27">
        <v>16.367999999999999</v>
      </c>
      <c r="AO12" s="27">
        <v>17.495999999999999</v>
      </c>
      <c r="AP12" s="27">
        <v>18.652000000000001</v>
      </c>
      <c r="AQ12" s="27">
        <v>19.324000000000002</v>
      </c>
      <c r="AR12" s="27">
        <v>0.26791105199999998</v>
      </c>
      <c r="AS12" s="27">
        <v>0.14235253</v>
      </c>
      <c r="AT12" s="27">
        <v>0.15208888600000001</v>
      </c>
      <c r="AU12" s="27">
        <v>0.162051625</v>
      </c>
      <c r="AV12" s="27">
        <v>0.33090970199999997</v>
      </c>
      <c r="AW12" s="27">
        <f>3*測定設定値!$B$2/(4*(AU12-AT12))</f>
        <v>11.597699186940462</v>
      </c>
      <c r="AX12" s="27">
        <f>測定設定値!$B$2/(2*(AV12-AU12))</f>
        <v>0.4561813172845739</v>
      </c>
      <c r="AY12" s="27">
        <f>3*測定設定値!$B$2/(4*(AT12-AS12))</f>
        <v>11.867360848350243</v>
      </c>
      <c r="AZ12" s="27">
        <f>測定設定値!$B$2/(2*(AS12-AR12))</f>
        <v>-0.61349798303614955</v>
      </c>
      <c r="BA12" s="28">
        <f t="shared" si="3"/>
        <v>0.21331872759355186</v>
      </c>
      <c r="BB12" s="27"/>
      <c r="BC12" s="27"/>
      <c r="BD12" s="27"/>
      <c r="BE12" s="27"/>
      <c r="BF12" s="27"/>
      <c r="BG12" s="27"/>
      <c r="BH12" s="27"/>
      <c r="BI12" s="27"/>
      <c r="BJ12" s="27"/>
      <c r="BK12" s="27"/>
      <c r="BL12" s="27" t="e">
        <f>3*測定設定値!$B$2/(4*(BJ12-BI12))</f>
        <v>#DIV/0!</v>
      </c>
      <c r="BM12" s="27" t="e">
        <f>測定設定値!$B$2/(2*(BK12-BJ12))</f>
        <v>#DIV/0!</v>
      </c>
      <c r="BN12" s="27" t="e">
        <f>3*測定設定値!$B$2/(4*(BI12-BH12))</f>
        <v>#DIV/0!</v>
      </c>
      <c r="BO12" s="27" t="e">
        <f>測定設定値!$B$2/(2*(BH12-BG12))</f>
        <v>#DIV/0!</v>
      </c>
    </row>
    <row r="13" spans="1:83" s="20" customFormat="1">
      <c r="A13" s="20" t="s">
        <v>48</v>
      </c>
      <c r="B13" s="20" t="s">
        <v>35</v>
      </c>
      <c r="D13" s="20" t="s">
        <v>25</v>
      </c>
      <c r="E13" s="20">
        <v>1.6E-2</v>
      </c>
      <c r="F13" s="20">
        <v>0.84</v>
      </c>
      <c r="G13" s="21">
        <f t="shared" si="5"/>
        <v>1.5991111640180147E-2</v>
      </c>
      <c r="H13" s="22">
        <f t="shared" si="0"/>
        <v>0.84</v>
      </c>
      <c r="I13" s="22">
        <v>200</v>
      </c>
      <c r="J13" s="22">
        <v>380</v>
      </c>
      <c r="K13" s="23">
        <v>380</v>
      </c>
      <c r="L13" s="23">
        <v>55</v>
      </c>
      <c r="M13" s="22">
        <v>7.9999999999999996E-7</v>
      </c>
      <c r="N13" s="22">
        <v>4.1999999999999996E-6</v>
      </c>
      <c r="O13" s="22">
        <v>1E-4</v>
      </c>
      <c r="P13" s="22">
        <f t="shared" si="1"/>
        <v>4.9999999999999996E-6</v>
      </c>
      <c r="Q13" s="22">
        <v>4.0299999999999997E-8</v>
      </c>
      <c r="R13" s="22">
        <f t="shared" si="4"/>
        <v>5.0402999999999998E-6</v>
      </c>
      <c r="S13" s="22" t="s">
        <v>29</v>
      </c>
      <c r="T13" s="20" t="s">
        <v>11</v>
      </c>
      <c r="U13" s="20" t="s">
        <v>11</v>
      </c>
      <c r="V13" s="22" t="s">
        <v>11</v>
      </c>
      <c r="W13" s="24"/>
      <c r="X13" s="20">
        <v>2308174342909.2598</v>
      </c>
      <c r="Y13" s="22">
        <f t="shared" si="2"/>
        <v>270.43872455342535</v>
      </c>
      <c r="Z13" s="20">
        <v>3.0233228027343802E-2</v>
      </c>
      <c r="AA13" s="20">
        <v>2692.32945620484</v>
      </c>
      <c r="AB13" s="22">
        <v>6.8004108351017104E-5</v>
      </c>
      <c r="AC13" s="20">
        <v>1.43645069114E-4</v>
      </c>
      <c r="AD13" s="20">
        <v>5687.0071557757701</v>
      </c>
      <c r="AE13" s="20">
        <v>0.44065424197365199</v>
      </c>
      <c r="AH13" s="20">
        <v>25</v>
      </c>
      <c r="AM13" s="27"/>
      <c r="AN13" s="27">
        <v>16.440000000000001</v>
      </c>
      <c r="AO13" s="27">
        <v>17.488</v>
      </c>
      <c r="AP13" s="27">
        <v>18.568000000000001</v>
      </c>
      <c r="AQ13" s="27"/>
      <c r="AR13" s="27">
        <v>0</v>
      </c>
      <c r="AS13" s="27">
        <v>0.14297442199999999</v>
      </c>
      <c r="AT13" s="27">
        <v>0.15201988399999999</v>
      </c>
      <c r="AU13" s="27">
        <v>0.16132823299999999</v>
      </c>
      <c r="AV13" s="27">
        <v>0</v>
      </c>
      <c r="AW13" s="27">
        <f>3*測定設定値!$B$2/(4*(AU13-AT13))</f>
        <v>12.41303371843923</v>
      </c>
      <c r="AX13" s="27">
        <f>測定設定値!$B$2/(2*(AV13-AU13))</f>
        <v>-0.47747315251385669</v>
      </c>
      <c r="AY13" s="27">
        <f>3*測定設定値!$B$2/(4*(AT13-AS13))</f>
        <v>12.773791985417654</v>
      </c>
      <c r="AZ13" s="27">
        <f>測定設定値!$B$2/(2*(AS13-AR13))</f>
        <v>0.53876699707868025</v>
      </c>
      <c r="BA13" s="28">
        <f t="shared" si="3"/>
        <v>0.22897114276233529</v>
      </c>
      <c r="BB13" s="27"/>
      <c r="BC13" s="27"/>
      <c r="BD13" s="27"/>
      <c r="BE13" s="27"/>
      <c r="BF13" s="27"/>
      <c r="BG13" s="27"/>
      <c r="BH13" s="27"/>
      <c r="BI13" s="27"/>
      <c r="BJ13" s="27"/>
      <c r="BK13" s="27"/>
      <c r="BL13" s="27" t="e">
        <f>3*測定設定値!$B$2/(4*(BJ13-BI13))</f>
        <v>#DIV/0!</v>
      </c>
      <c r="BM13" s="27" t="e">
        <f>測定設定値!$B$2/(2*(BK13-BJ13))</f>
        <v>#DIV/0!</v>
      </c>
      <c r="BN13" s="27" t="e">
        <f>3*測定設定値!$B$2/(4*(BI13-BH13))</f>
        <v>#DIV/0!</v>
      </c>
      <c r="BO13" s="27" t="e">
        <f>測定設定値!$B$2/(2*(BH13-BG13))</f>
        <v>#DIV/0!</v>
      </c>
      <c r="CE13" s="20" t="s">
        <v>21</v>
      </c>
    </row>
    <row r="14" spans="1:83" s="9" customFormat="1">
      <c r="A14" s="9" t="s">
        <v>49</v>
      </c>
      <c r="B14" s="9" t="s">
        <v>110</v>
      </c>
      <c r="C14" s="10"/>
      <c r="D14" s="9" t="s">
        <v>25</v>
      </c>
      <c r="E14" s="9">
        <v>0.02</v>
      </c>
      <c r="F14" s="9">
        <v>0.72</v>
      </c>
      <c r="G14" s="11">
        <f t="shared" si="5"/>
        <v>1.9801980198019806E-2</v>
      </c>
      <c r="H14" s="12">
        <f t="shared" si="0"/>
        <v>0.72</v>
      </c>
      <c r="I14" s="12">
        <v>200</v>
      </c>
      <c r="J14" s="12">
        <v>380</v>
      </c>
      <c r="K14" s="13">
        <v>380</v>
      </c>
      <c r="L14" s="13">
        <v>55</v>
      </c>
      <c r="M14" s="12">
        <f>(M13+N13)*(1-F14)</f>
        <v>1.3999999999999999E-6</v>
      </c>
      <c r="N14" s="12">
        <f>(M13+N13)*F14</f>
        <v>3.5999999999999994E-6</v>
      </c>
      <c r="O14" s="12">
        <v>1E-4</v>
      </c>
      <c r="P14" s="12">
        <f t="shared" si="1"/>
        <v>4.9999999999999996E-6</v>
      </c>
      <c r="Q14" s="12">
        <v>4.9999999999999998E-8</v>
      </c>
      <c r="R14" s="12">
        <f t="shared" si="4"/>
        <v>5.0499999999999999E-6</v>
      </c>
      <c r="S14" s="12" t="s">
        <v>93</v>
      </c>
      <c r="T14" s="9" t="s">
        <v>11</v>
      </c>
      <c r="U14" s="9" t="s">
        <v>11</v>
      </c>
      <c r="W14" s="14"/>
      <c r="X14" s="15"/>
      <c r="Y14" s="12" t="e">
        <f t="shared" si="2"/>
        <v>#DIV/0!</v>
      </c>
      <c r="Z14" s="16"/>
      <c r="AA14" s="16"/>
      <c r="AB14" s="16"/>
      <c r="AC14" s="16"/>
      <c r="AD14" s="16"/>
      <c r="AE14" s="16"/>
      <c r="AM14" s="17"/>
      <c r="AN14" s="17"/>
      <c r="AO14" s="17"/>
      <c r="AP14" s="17"/>
      <c r="AQ14" s="17"/>
      <c r="AR14" s="17"/>
      <c r="AS14" s="17"/>
      <c r="AT14" s="17">
        <f>RADIANS(AO2)/2</f>
        <v>0.15156439224318757</v>
      </c>
      <c r="AU14" s="17"/>
      <c r="AV14" s="17"/>
      <c r="AW14" s="17">
        <f>3*測定設定値!$B$2/(4*(AU14-AT14))</f>
        <v>-0.76234825535147055</v>
      </c>
      <c r="AX14" s="17" t="e">
        <f>測定設定値!$B$2/(2*(AV14-AU14))</f>
        <v>#DIV/0!</v>
      </c>
      <c r="AY14" s="17">
        <f>3*測定設定値!$B$2/(4*(AT14-AS14))</f>
        <v>0.76234825535147055</v>
      </c>
      <c r="AZ14" s="17" t="e">
        <f>測定設定値!$B$2/(2*(AS14-AR14))</f>
        <v>#DIV/0!</v>
      </c>
      <c r="BA14" s="18">
        <f t="shared" ref="BA14:BA21" si="6">AVERAGE(AW14,AY14)/L14</f>
        <v>0</v>
      </c>
      <c r="BB14" s="17"/>
      <c r="BC14" s="17"/>
      <c r="BD14" s="17"/>
      <c r="BE14" s="17"/>
      <c r="BF14" s="17"/>
      <c r="BG14" s="17"/>
      <c r="BH14" s="17"/>
      <c r="BI14" s="17"/>
      <c r="BJ14" s="17"/>
      <c r="BK14" s="17"/>
      <c r="BL14" s="17"/>
      <c r="BM14" s="17"/>
      <c r="BN14" s="17"/>
      <c r="BO14" s="17"/>
      <c r="CE14" s="9" t="s">
        <v>22</v>
      </c>
    </row>
    <row r="15" spans="1:83" s="9" customFormat="1">
      <c r="A15" s="9" t="s">
        <v>50</v>
      </c>
      <c r="B15" s="9" t="s">
        <v>110</v>
      </c>
      <c r="C15" s="19"/>
      <c r="D15" s="9" t="s">
        <v>25</v>
      </c>
      <c r="E15" s="9">
        <v>1.6E-2</v>
      </c>
      <c r="F15" s="9">
        <v>0.72</v>
      </c>
      <c r="G15" s="11">
        <f t="shared" si="5"/>
        <v>1.5873015873015876E-2</v>
      </c>
      <c r="H15" s="12">
        <f t="shared" si="0"/>
        <v>0.72</v>
      </c>
      <c r="I15" s="12">
        <v>200</v>
      </c>
      <c r="J15" s="12">
        <v>380</v>
      </c>
      <c r="K15" s="13">
        <v>380</v>
      </c>
      <c r="L15" s="13">
        <v>55</v>
      </c>
      <c r="M15" s="12">
        <f>(M14+N14)*(1-F15)</f>
        <v>1.3999999999999999E-6</v>
      </c>
      <c r="N15" s="12">
        <f>(M14+N14)*F15</f>
        <v>3.5999999999999994E-6</v>
      </c>
      <c r="O15" s="12">
        <v>1E-4</v>
      </c>
      <c r="P15" s="12">
        <f t="shared" si="1"/>
        <v>4.9999999999999996E-6</v>
      </c>
      <c r="Q15" s="12">
        <v>4.0000000000000001E-8</v>
      </c>
      <c r="R15" s="12">
        <f t="shared" si="4"/>
        <v>5.0399999999999992E-6</v>
      </c>
      <c r="S15" s="12" t="s">
        <v>93</v>
      </c>
      <c r="T15" s="9" t="s">
        <v>11</v>
      </c>
      <c r="U15" s="9" t="s">
        <v>11</v>
      </c>
      <c r="W15" s="14"/>
      <c r="Y15" s="12" t="e">
        <f t="shared" si="2"/>
        <v>#DIV/0!</v>
      </c>
      <c r="Z15" s="16"/>
      <c r="AA15" s="16"/>
      <c r="AB15" s="16"/>
      <c r="AC15" s="16"/>
      <c r="AD15" s="16"/>
      <c r="AE15" s="16"/>
      <c r="AM15" s="17"/>
      <c r="AN15" s="17"/>
      <c r="AO15" s="17"/>
      <c r="AP15" s="17"/>
      <c r="AQ15" s="17"/>
      <c r="AR15" s="17"/>
      <c r="AS15" s="17"/>
      <c r="AT15" s="17"/>
      <c r="AU15" s="17"/>
      <c r="AV15" s="17"/>
      <c r="AW15" s="17" t="e">
        <f>3*測定設定値!$B$2/(4*(AU15-AT15))</f>
        <v>#DIV/0!</v>
      </c>
      <c r="AX15" s="17" t="e">
        <f>測定設定値!$B$2/(2*(AV15-AU15))</f>
        <v>#DIV/0!</v>
      </c>
      <c r="AY15" s="17" t="e">
        <f>3*測定設定値!$B$2/(4*(AT15-AS15))</f>
        <v>#DIV/0!</v>
      </c>
      <c r="AZ15" s="17" t="e">
        <f>測定設定値!$B$2/(2*(AS15-AR15))</f>
        <v>#DIV/0!</v>
      </c>
      <c r="BA15" s="18" t="e">
        <f t="shared" si="6"/>
        <v>#DIV/0!</v>
      </c>
      <c r="BB15" s="17"/>
      <c r="BC15" s="17"/>
      <c r="BD15" s="17"/>
      <c r="BE15" s="17"/>
      <c r="BF15" s="17"/>
      <c r="BG15" s="17"/>
      <c r="BH15" s="17"/>
      <c r="BI15" s="17"/>
      <c r="BJ15" s="17"/>
      <c r="BK15" s="17"/>
      <c r="BL15" s="17"/>
      <c r="BM15" s="17"/>
      <c r="BN15" s="17"/>
      <c r="BO15" s="17"/>
    </row>
    <row r="16" spans="1:83" s="9" customFormat="1">
      <c r="A16" s="9" t="s">
        <v>51</v>
      </c>
      <c r="B16" s="9" t="s">
        <v>110</v>
      </c>
      <c r="C16" s="19"/>
      <c r="D16" s="9" t="s">
        <v>25</v>
      </c>
      <c r="E16" s="9">
        <v>1.2E-2</v>
      </c>
      <c r="F16" s="9">
        <v>0.72</v>
      </c>
      <c r="G16" s="11">
        <f t="shared" si="5"/>
        <v>1.1928429423459246E-2</v>
      </c>
      <c r="H16" s="12">
        <f t="shared" si="0"/>
        <v>0.72</v>
      </c>
      <c r="I16" s="12">
        <v>200</v>
      </c>
      <c r="J16" s="12">
        <v>380</v>
      </c>
      <c r="K16" s="13">
        <v>380</v>
      </c>
      <c r="L16" s="13">
        <v>55</v>
      </c>
      <c r="M16" s="12">
        <f>(M15+N15)*(1-F16)</f>
        <v>1.3999999999999999E-6</v>
      </c>
      <c r="N16" s="12">
        <f>(M15+N15)*F16</f>
        <v>3.5999999999999994E-6</v>
      </c>
      <c r="O16" s="12">
        <v>1E-4</v>
      </c>
      <c r="P16" s="12">
        <f t="shared" si="1"/>
        <v>4.9999999999999996E-6</v>
      </c>
      <c r="Q16" s="12">
        <v>2.9999999999999997E-8</v>
      </c>
      <c r="R16" s="12">
        <f t="shared" si="4"/>
        <v>5.0299999999999993E-6</v>
      </c>
      <c r="S16" s="12" t="s">
        <v>93</v>
      </c>
      <c r="T16" s="9" t="s">
        <v>11</v>
      </c>
      <c r="U16" s="9" t="s">
        <v>11</v>
      </c>
      <c r="W16" s="14"/>
      <c r="X16" s="15"/>
      <c r="Y16" s="12" t="e">
        <f t="shared" si="2"/>
        <v>#DIV/0!</v>
      </c>
      <c r="AB16" s="12"/>
      <c r="AC16" s="12"/>
      <c r="AM16" s="17"/>
      <c r="AN16" s="17"/>
      <c r="AO16" s="17"/>
      <c r="AP16" s="17"/>
      <c r="AQ16" s="17"/>
      <c r="AR16" s="17"/>
      <c r="AS16" s="17"/>
      <c r="AT16" s="17"/>
      <c r="AU16" s="17"/>
      <c r="AV16" s="17"/>
      <c r="AW16" s="17" t="e">
        <f>3*測定設定値!$B$2/(4*(AU16-AT16))</f>
        <v>#DIV/0!</v>
      </c>
      <c r="AX16" s="17" t="e">
        <f>測定設定値!$B$2/(2*(AV16-AU16))</f>
        <v>#DIV/0!</v>
      </c>
      <c r="AY16" s="17" t="e">
        <f>3*測定設定値!$B$2/(4*(AT16-AS16))</f>
        <v>#DIV/0!</v>
      </c>
      <c r="AZ16" s="17" t="e">
        <f>測定設定値!$B$2/(2*(AS16-AR16))</f>
        <v>#DIV/0!</v>
      </c>
      <c r="BA16" s="18" t="e">
        <f t="shared" si="6"/>
        <v>#DIV/0!</v>
      </c>
      <c r="BB16" s="17"/>
      <c r="BC16" s="17"/>
      <c r="BD16" s="17"/>
      <c r="BE16" s="17"/>
      <c r="BF16" s="17"/>
      <c r="BG16" s="17"/>
      <c r="BH16" s="17"/>
      <c r="BI16" s="17"/>
      <c r="BJ16" s="17"/>
      <c r="BK16" s="17"/>
      <c r="BL16" s="17"/>
      <c r="BM16" s="17"/>
      <c r="BN16" s="17"/>
      <c r="BO16" s="17"/>
    </row>
    <row r="17" spans="1:67" s="20" customFormat="1">
      <c r="A17" s="20" t="s">
        <v>52</v>
      </c>
      <c r="B17" s="20" t="s">
        <v>35</v>
      </c>
      <c r="D17" s="20" t="s">
        <v>25</v>
      </c>
      <c r="E17" s="20">
        <v>0.03</v>
      </c>
      <c r="F17" s="20">
        <v>0.84</v>
      </c>
      <c r="G17" s="21">
        <f t="shared" si="5"/>
        <v>2.9944838455476758E-2</v>
      </c>
      <c r="H17" s="22">
        <f t="shared" si="0"/>
        <v>0.84</v>
      </c>
      <c r="I17" s="22">
        <v>200</v>
      </c>
      <c r="J17" s="22">
        <v>380</v>
      </c>
      <c r="K17" s="23">
        <v>380</v>
      </c>
      <c r="L17" s="23">
        <v>55</v>
      </c>
      <c r="M17" s="22">
        <v>7.9999999999999996E-7</v>
      </c>
      <c r="N17" s="22">
        <v>4.1999999999999996E-6</v>
      </c>
      <c r="O17" s="22">
        <v>1E-4</v>
      </c>
      <c r="P17" s="22">
        <f t="shared" si="1"/>
        <v>4.9999999999999996E-6</v>
      </c>
      <c r="Q17" s="22">
        <v>7.6000000000000006E-8</v>
      </c>
      <c r="R17" s="22">
        <f t="shared" si="4"/>
        <v>5.0759999999999993E-6</v>
      </c>
      <c r="S17" s="20" t="s">
        <v>92</v>
      </c>
      <c r="T17" s="20" t="s">
        <v>11</v>
      </c>
      <c r="U17" s="20" t="s">
        <v>11</v>
      </c>
      <c r="V17" s="22" t="s">
        <v>11</v>
      </c>
      <c r="W17" s="24"/>
      <c r="X17" s="25"/>
      <c r="Y17" s="22" t="e">
        <f t="shared" si="2"/>
        <v>#DIV/0!</v>
      </c>
      <c r="Z17" s="20">
        <v>9.9376009277343705E-2</v>
      </c>
      <c r="AA17" s="20">
        <v>938.42430892951802</v>
      </c>
      <c r="AB17" s="22">
        <v>1.8788447698524199E-5</v>
      </c>
      <c r="AC17" s="20">
        <v>1.4024359361120001E-4</v>
      </c>
      <c r="AD17" s="20">
        <v>7004.7296896563103</v>
      </c>
      <c r="AE17" s="20">
        <v>0.13380815024076401</v>
      </c>
      <c r="AH17" s="20">
        <v>125</v>
      </c>
      <c r="AM17" s="27"/>
      <c r="AN17" s="27"/>
      <c r="AO17" s="27"/>
      <c r="AP17" s="27"/>
      <c r="AQ17" s="27"/>
      <c r="AR17" s="27"/>
      <c r="AS17" s="27"/>
      <c r="AT17" s="27"/>
      <c r="AU17" s="27"/>
      <c r="AV17" s="27"/>
      <c r="AW17" s="27" t="e">
        <f>3*測定設定値!$B$2/(4*(AU17-AT17))</f>
        <v>#DIV/0!</v>
      </c>
      <c r="AX17" s="27" t="e">
        <f>測定設定値!$B$2/(2*(AV17-AU17))</f>
        <v>#DIV/0!</v>
      </c>
      <c r="AY17" s="27" t="e">
        <f>3*測定設定値!$B$2/(4*(AT17-AS17))</f>
        <v>#DIV/0!</v>
      </c>
      <c r="AZ17" s="27" t="e">
        <f>測定設定値!$B$2/(2*(AS17-AR17))</f>
        <v>#DIV/0!</v>
      </c>
      <c r="BA17" s="28" t="e">
        <f t="shared" si="6"/>
        <v>#DIV/0!</v>
      </c>
      <c r="BB17" s="27"/>
      <c r="BC17" s="27"/>
      <c r="BD17" s="27"/>
      <c r="BE17" s="27"/>
      <c r="BF17" s="27"/>
      <c r="BG17" s="27"/>
      <c r="BH17" s="27"/>
      <c r="BI17" s="27"/>
      <c r="BJ17" s="27"/>
      <c r="BK17" s="27"/>
      <c r="BL17" s="27"/>
      <c r="BM17" s="27"/>
      <c r="BN17" s="27"/>
      <c r="BO17" s="27"/>
    </row>
    <row r="18" spans="1:67" s="20" customFormat="1">
      <c r="A18" s="20" t="s">
        <v>53</v>
      </c>
      <c r="B18" s="20" t="s">
        <v>35</v>
      </c>
      <c r="D18" s="20" t="s">
        <v>25</v>
      </c>
      <c r="E18" s="20">
        <v>0.04</v>
      </c>
      <c r="F18" s="20">
        <v>0.84</v>
      </c>
      <c r="G18" s="21">
        <f>2*Q18/(Q18+M18+N18)</f>
        <v>3.9984319874558999E-2</v>
      </c>
      <c r="H18" s="22">
        <f t="shared" si="0"/>
        <v>0.84</v>
      </c>
      <c r="I18" s="22">
        <v>200</v>
      </c>
      <c r="J18" s="22">
        <v>380</v>
      </c>
      <c r="K18" s="23">
        <v>380</v>
      </c>
      <c r="L18" s="23">
        <v>55</v>
      </c>
      <c r="M18" s="22">
        <v>7.9999999999999996E-7</v>
      </c>
      <c r="N18" s="22">
        <v>4.1999999999999996E-6</v>
      </c>
      <c r="O18" s="22">
        <v>1E-4</v>
      </c>
      <c r="P18" s="22">
        <f t="shared" si="1"/>
        <v>4.9999999999999996E-6</v>
      </c>
      <c r="Q18" s="22">
        <v>1.02E-7</v>
      </c>
      <c r="R18" s="22">
        <f>P18+Q18</f>
        <v>5.1019999999999996E-6</v>
      </c>
      <c r="S18" s="20" t="s">
        <v>92</v>
      </c>
      <c r="T18" s="20" t="s">
        <v>11</v>
      </c>
      <c r="U18" s="20" t="s">
        <v>11</v>
      </c>
      <c r="V18" s="22" t="s">
        <v>11</v>
      </c>
      <c r="W18" s="24">
        <v>11.550877953064999</v>
      </c>
      <c r="X18" s="25">
        <v>31062483293874.301</v>
      </c>
      <c r="Y18" s="22">
        <f t="shared" si="2"/>
        <v>20.09561564790992</v>
      </c>
      <c r="Z18" s="26">
        <f>(0.13355 + 0.14301)/2</f>
        <v>0.13828000000000001</v>
      </c>
      <c r="AA18" s="20">
        <v>637.61894752400895</v>
      </c>
      <c r="AB18" s="22">
        <v>2.10383048878411E-6</v>
      </c>
      <c r="AC18" s="22">
        <v>5.7402826734768098E-5</v>
      </c>
      <c r="AD18" s="20">
        <v>17397.3759590675</v>
      </c>
      <c r="AE18" s="26">
        <v>3.66448177831891E-2</v>
      </c>
      <c r="AH18" s="20">
        <v>150</v>
      </c>
      <c r="AM18" s="27"/>
      <c r="AN18" s="27"/>
      <c r="AO18" s="27"/>
      <c r="AP18" s="27"/>
      <c r="AQ18" s="27"/>
      <c r="AR18" s="27"/>
      <c r="AS18" s="27"/>
      <c r="AT18" s="27"/>
      <c r="AU18" s="27"/>
      <c r="AV18" s="27"/>
      <c r="AW18" s="27" t="e">
        <f>3*測定設定値!$B$2/(4*(AU18-AT18))</f>
        <v>#DIV/0!</v>
      </c>
      <c r="AX18" s="27" t="e">
        <f>測定設定値!$B$2/(2*(AV18-AU18))</f>
        <v>#DIV/0!</v>
      </c>
      <c r="AY18" s="27" t="e">
        <f>3*測定設定値!$B$2/(4*(AT18-AS18))</f>
        <v>#DIV/0!</v>
      </c>
      <c r="AZ18" s="27" t="e">
        <f>測定設定値!$B$2/(2*(AS18-AR18))</f>
        <v>#DIV/0!</v>
      </c>
      <c r="BA18" s="28" t="e">
        <f t="shared" si="6"/>
        <v>#DIV/0!</v>
      </c>
      <c r="BB18" s="27"/>
      <c r="BC18" s="27"/>
      <c r="BD18" s="27"/>
      <c r="BE18" s="27"/>
      <c r="BF18" s="27"/>
      <c r="BG18" s="27"/>
      <c r="BH18" s="27"/>
      <c r="BI18" s="27"/>
      <c r="BJ18" s="27"/>
      <c r="BK18" s="27"/>
      <c r="BL18" s="27"/>
      <c r="BM18" s="27"/>
      <c r="BN18" s="27"/>
      <c r="BO18" s="27"/>
    </row>
    <row r="19" spans="1:67">
      <c r="A19" t="s">
        <v>54</v>
      </c>
      <c r="B19" t="s">
        <v>35</v>
      </c>
      <c r="C19" t="s">
        <v>80</v>
      </c>
      <c r="D19" t="s">
        <v>25</v>
      </c>
      <c r="E19">
        <v>0.04</v>
      </c>
      <c r="F19">
        <v>0.84</v>
      </c>
      <c r="G19" s="2">
        <f>2*Q19/(Q19+M19+N19)</f>
        <v>3.9984319874558999E-2</v>
      </c>
      <c r="H19" s="1">
        <f t="shared" si="0"/>
        <v>0.84</v>
      </c>
      <c r="I19" s="1">
        <v>200</v>
      </c>
      <c r="J19" s="1">
        <v>380</v>
      </c>
      <c r="K19" s="5">
        <v>380</v>
      </c>
      <c r="L19" s="5">
        <v>55</v>
      </c>
      <c r="M19" s="1">
        <v>7.9999999999999996E-7</v>
      </c>
      <c r="N19" s="1">
        <v>4.1999999999999996E-6</v>
      </c>
      <c r="O19" s="1">
        <v>6.0000000000000002E-5</v>
      </c>
      <c r="P19" s="1">
        <f t="shared" si="1"/>
        <v>4.9999999999999996E-6</v>
      </c>
      <c r="Q19" s="1">
        <v>1.02E-7</v>
      </c>
      <c r="R19" s="1">
        <f>P19+Q19</f>
        <v>5.1019999999999996E-6</v>
      </c>
      <c r="S19" t="s">
        <v>92</v>
      </c>
      <c r="T19" t="s">
        <v>11</v>
      </c>
      <c r="U19" t="s">
        <v>11</v>
      </c>
      <c r="Y19" s="1" t="e">
        <f t="shared" si="2"/>
        <v>#DIV/0!</v>
      </c>
      <c r="AM19" s="4"/>
      <c r="AN19" s="4"/>
      <c r="AO19" s="4"/>
      <c r="AP19" s="4"/>
      <c r="AQ19" s="4"/>
      <c r="AR19" s="4"/>
      <c r="AS19" s="4"/>
      <c r="AT19" s="4"/>
      <c r="AU19" s="4"/>
      <c r="AV19" s="4"/>
      <c r="AW19" s="4" t="e">
        <f>3*測定設定値!$B$2/(4*(AU19-AT19))</f>
        <v>#DIV/0!</v>
      </c>
      <c r="AX19" s="4" t="e">
        <f>測定設定値!$B$2/(2*(AV19-AU19))</f>
        <v>#DIV/0!</v>
      </c>
      <c r="AY19" s="4" t="e">
        <f>3*測定設定値!$B$2/(4*(AT19-AS19))</f>
        <v>#DIV/0!</v>
      </c>
      <c r="AZ19" s="4" t="e">
        <f>測定設定値!$B$2/(2*(AS19-AR19))</f>
        <v>#DIV/0!</v>
      </c>
      <c r="BA19" s="3" t="e">
        <f t="shared" si="6"/>
        <v>#DIV/0!</v>
      </c>
      <c r="BB19" s="4"/>
      <c r="BC19" s="4"/>
      <c r="BD19" s="4"/>
      <c r="BE19" s="4"/>
      <c r="BF19" s="4"/>
      <c r="BG19" s="4"/>
      <c r="BH19" s="4"/>
      <c r="BI19" s="4"/>
      <c r="BJ19" s="4"/>
      <c r="BK19" s="4"/>
      <c r="BL19" s="4"/>
      <c r="BM19" s="4"/>
      <c r="BN19" s="4"/>
      <c r="BO19" s="4"/>
    </row>
    <row r="20" spans="1:67" s="20" customFormat="1">
      <c r="A20" s="20" t="s">
        <v>55</v>
      </c>
      <c r="B20" s="20" t="s">
        <v>35</v>
      </c>
      <c r="D20" s="20" t="s">
        <v>25</v>
      </c>
      <c r="E20" s="20">
        <v>2.5000000000000001E-2</v>
      </c>
      <c r="F20" s="20">
        <v>0.84</v>
      </c>
      <c r="G20" s="21">
        <f t="shared" si="5"/>
        <v>2.5276461295418648E-2</v>
      </c>
      <c r="H20" s="22">
        <f t="shared" si="0"/>
        <v>0.84</v>
      </c>
      <c r="I20" s="22">
        <v>200</v>
      </c>
      <c r="J20" s="22">
        <v>380</v>
      </c>
      <c r="K20" s="23">
        <v>380</v>
      </c>
      <c r="L20" s="23">
        <v>55</v>
      </c>
      <c r="M20" s="22">
        <v>7.9999999999999996E-7</v>
      </c>
      <c r="N20" s="22">
        <v>4.1999999999999996E-6</v>
      </c>
      <c r="O20" s="22">
        <v>1E-4</v>
      </c>
      <c r="P20" s="22">
        <f t="shared" si="1"/>
        <v>4.9999999999999996E-6</v>
      </c>
      <c r="Q20" s="22">
        <v>6.4000000000000004E-8</v>
      </c>
      <c r="R20" s="22">
        <f t="shared" si="4"/>
        <v>5.0639999999999993E-6</v>
      </c>
      <c r="S20" s="20" t="s">
        <v>92</v>
      </c>
      <c r="T20" s="20" t="s">
        <v>11</v>
      </c>
      <c r="U20" s="20" t="s">
        <v>11</v>
      </c>
      <c r="V20" s="22" t="s">
        <v>11</v>
      </c>
      <c r="W20" s="24"/>
      <c r="X20" s="20">
        <v>6843863568864.21</v>
      </c>
      <c r="Y20" s="22">
        <f t="shared" si="2"/>
        <v>91.208674612272375</v>
      </c>
      <c r="Z20" s="20">
        <v>7.0848416503906303E-2</v>
      </c>
      <c r="AA20" s="20">
        <v>390.52488354566401</v>
      </c>
      <c r="AB20" s="22">
        <v>6.0058031418917398E-7</v>
      </c>
      <c r="AC20" s="22">
        <v>3.92112109390483E-5</v>
      </c>
      <c r="AD20" s="20">
        <v>25496.928926699598</v>
      </c>
      <c r="AE20" s="20">
        <v>1.7914614458793901E-2</v>
      </c>
      <c r="AH20" s="20">
        <v>100</v>
      </c>
      <c r="AM20" s="27"/>
      <c r="AN20" s="27"/>
      <c r="AO20" s="27"/>
      <c r="AP20" s="27"/>
      <c r="AQ20" s="27"/>
      <c r="AR20" s="27"/>
      <c r="AS20" s="27"/>
      <c r="AT20" s="27"/>
      <c r="AU20" s="27"/>
      <c r="AV20" s="27"/>
      <c r="AW20" s="27" t="e">
        <f>3*測定設定値!$B$2/(4*(AU20-AT20))</f>
        <v>#DIV/0!</v>
      </c>
      <c r="AX20" s="27" t="e">
        <f>測定設定値!$B$2/(2*(AV20-AU20))</f>
        <v>#DIV/0!</v>
      </c>
      <c r="AY20" s="27" t="e">
        <f>3*測定設定値!$B$2/(4*(AT20-AS20))</f>
        <v>#DIV/0!</v>
      </c>
      <c r="AZ20" s="27" t="e">
        <f>測定設定値!$B$2/(2*(AS20-AR20))</f>
        <v>#DIV/0!</v>
      </c>
      <c r="BA20" s="28" t="e">
        <f t="shared" si="6"/>
        <v>#DIV/0!</v>
      </c>
      <c r="BB20" s="27"/>
      <c r="BC20" s="27"/>
      <c r="BD20" s="27"/>
      <c r="BE20" s="27"/>
      <c r="BF20" s="27"/>
      <c r="BG20" s="27"/>
      <c r="BH20" s="27"/>
      <c r="BI20" s="27"/>
      <c r="BJ20" s="27"/>
      <c r="BK20" s="27"/>
      <c r="BL20" s="27"/>
      <c r="BM20" s="27"/>
      <c r="BN20" s="27"/>
      <c r="BO20" s="27"/>
    </row>
    <row r="21" spans="1:67" s="20" customFormat="1">
      <c r="A21" s="20" t="s">
        <v>82</v>
      </c>
      <c r="B21" s="20" t="s">
        <v>35</v>
      </c>
      <c r="D21" s="20" t="s">
        <v>25</v>
      </c>
      <c r="E21" s="20">
        <v>0.1</v>
      </c>
      <c r="F21" s="20">
        <v>0.84</v>
      </c>
      <c r="G21" s="21">
        <f>2*Q21/(Q21+M21+N21)</f>
        <v>9.8859315589353625E-2</v>
      </c>
      <c r="H21" s="22">
        <f>N21/P21</f>
        <v>0.84</v>
      </c>
      <c r="I21" s="22">
        <v>200</v>
      </c>
      <c r="J21" s="22">
        <v>380</v>
      </c>
      <c r="K21" s="23">
        <v>380</v>
      </c>
      <c r="L21" s="23">
        <v>360</v>
      </c>
      <c r="M21" s="22">
        <v>7.9999999999999996E-7</v>
      </c>
      <c r="N21" s="22">
        <v>4.1999999999999996E-6</v>
      </c>
      <c r="O21" s="22">
        <v>1E-4</v>
      </c>
      <c r="P21" s="22">
        <f t="shared" si="1"/>
        <v>4.9999999999999996E-6</v>
      </c>
      <c r="Q21" s="22">
        <v>2.6E-7</v>
      </c>
      <c r="R21" s="22">
        <f t="shared" si="4"/>
        <v>5.2599999999999996E-6</v>
      </c>
      <c r="S21" s="20" t="s">
        <v>92</v>
      </c>
      <c r="T21" s="20" t="s">
        <v>11</v>
      </c>
      <c r="U21" s="20" t="s">
        <v>11</v>
      </c>
      <c r="V21" s="22"/>
      <c r="W21" s="24">
        <v>15.478999999999999</v>
      </c>
      <c r="X21" s="25">
        <v>393830000000000</v>
      </c>
      <c r="Y21" s="22">
        <f t="shared" si="2"/>
        <v>1.5849979060592665</v>
      </c>
      <c r="Z21" s="26"/>
      <c r="AA21" s="26"/>
      <c r="AB21" s="26"/>
      <c r="AC21" s="26"/>
      <c r="AD21" s="26"/>
      <c r="AE21" s="26"/>
      <c r="AH21" s="20">
        <v>180</v>
      </c>
      <c r="AM21" s="27"/>
      <c r="AN21" s="27"/>
      <c r="AO21" s="27"/>
      <c r="AP21" s="27"/>
      <c r="AQ21" s="27"/>
      <c r="AR21" s="27"/>
      <c r="AS21" s="27"/>
      <c r="AT21" s="27"/>
      <c r="AU21" s="27"/>
      <c r="AV21" s="27"/>
      <c r="AW21" s="27" t="e">
        <f>3*測定設定値!$B$2/(4*(AU21-AT21))</f>
        <v>#DIV/0!</v>
      </c>
      <c r="AX21" s="27" t="e">
        <f>測定設定値!$B$2/(2*(AV21-AU21))</f>
        <v>#DIV/0!</v>
      </c>
      <c r="AY21" s="27" t="e">
        <f>3*測定設定値!$B$2/(4*(AT21-AS21))</f>
        <v>#DIV/0!</v>
      </c>
      <c r="AZ21" s="27" t="e">
        <f>測定設定値!$B$2/(2*(AS21-AR21))</f>
        <v>#DIV/0!</v>
      </c>
      <c r="BA21" s="28" t="e">
        <f t="shared" si="6"/>
        <v>#DIV/0!</v>
      </c>
      <c r="BB21" s="27"/>
      <c r="BC21" s="27"/>
      <c r="BD21" s="27"/>
      <c r="BE21" s="27"/>
      <c r="BF21" s="27"/>
      <c r="BG21" s="27"/>
      <c r="BH21" s="27"/>
      <c r="BI21" s="27"/>
      <c r="BJ21" s="27"/>
      <c r="BK21" s="27"/>
      <c r="BL21" s="27"/>
      <c r="BM21" s="27"/>
      <c r="BN21" s="27"/>
      <c r="BO21" s="27"/>
    </row>
    <row r="22" spans="1:67">
      <c r="A22" t="s">
        <v>83</v>
      </c>
      <c r="B22" t="s">
        <v>35</v>
      </c>
      <c r="C22" t="s">
        <v>119</v>
      </c>
      <c r="D22" t="s">
        <v>25</v>
      </c>
      <c r="E22">
        <v>0.05</v>
      </c>
      <c r="F22">
        <v>0.6</v>
      </c>
      <c r="G22" s="2">
        <f>2*Q22/(Q22+M22+N22)</f>
        <v>4.9921996879875197E-2</v>
      </c>
      <c r="H22" s="1">
        <f>N22/P22</f>
        <v>0.60000000000000009</v>
      </c>
      <c r="I22" s="1">
        <v>200</v>
      </c>
      <c r="J22" s="1">
        <v>380</v>
      </c>
      <c r="K22" s="5">
        <v>380</v>
      </c>
      <c r="L22" s="5">
        <v>395</v>
      </c>
      <c r="M22" s="1">
        <v>1.9999999999999999E-6</v>
      </c>
      <c r="N22" s="1">
        <v>3.0000000000000001E-6</v>
      </c>
      <c r="O22" s="1">
        <v>1E-4</v>
      </c>
      <c r="P22" s="1">
        <f t="shared" si="1"/>
        <v>4.9999999999999996E-6</v>
      </c>
      <c r="Q22" s="1">
        <v>1.2800000000000001E-7</v>
      </c>
      <c r="R22" s="1">
        <f t="shared" si="4"/>
        <v>5.1279999999999999E-6</v>
      </c>
      <c r="S22" t="s">
        <v>91</v>
      </c>
      <c r="T22" t="s">
        <v>11</v>
      </c>
      <c r="U22" t="s">
        <v>11</v>
      </c>
      <c r="V22" s="1" t="s">
        <v>11</v>
      </c>
      <c r="Y22" s="1" t="e">
        <f t="shared" si="2"/>
        <v>#DIV/0!</v>
      </c>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c r="A23" t="s">
        <v>84</v>
      </c>
      <c r="B23" t="s">
        <v>88</v>
      </c>
      <c r="C23" t="s">
        <v>89</v>
      </c>
      <c r="D23" t="s">
        <v>25</v>
      </c>
      <c r="G23" s="2"/>
      <c r="H23" s="1"/>
      <c r="I23" s="1">
        <v>200</v>
      </c>
      <c r="J23" s="1">
        <v>380</v>
      </c>
      <c r="K23" s="5">
        <v>380</v>
      </c>
      <c r="L23" s="5">
        <v>55</v>
      </c>
      <c r="M23" s="1">
        <v>0</v>
      </c>
      <c r="N23" s="1">
        <v>0</v>
      </c>
      <c r="O23" s="1">
        <v>1E-4</v>
      </c>
      <c r="P23" s="1">
        <f t="shared" si="1"/>
        <v>0</v>
      </c>
      <c r="Q23" s="1">
        <v>1.9999999999999999E-6</v>
      </c>
      <c r="R23" s="1">
        <f t="shared" si="4"/>
        <v>1.9999999999999999E-6</v>
      </c>
      <c r="S23" t="s">
        <v>90</v>
      </c>
      <c r="T23" t="s">
        <v>11</v>
      </c>
      <c r="U23" t="s">
        <v>11</v>
      </c>
      <c r="V23" s="1" t="s">
        <v>11</v>
      </c>
      <c r="Y23" s="1" t="e">
        <f t="shared" si="2"/>
        <v>#DIV/0!</v>
      </c>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c r="A24" t="s">
        <v>85</v>
      </c>
      <c r="B24" t="s">
        <v>35</v>
      </c>
      <c r="C24" t="s">
        <v>120</v>
      </c>
      <c r="D24" t="s">
        <v>25</v>
      </c>
      <c r="E24">
        <v>0.05</v>
      </c>
      <c r="F24">
        <v>0.6</v>
      </c>
      <c r="G24" s="2">
        <f>2*Q24/(Q24+M24+N24)</f>
        <v>4.9921996879875197E-2</v>
      </c>
      <c r="H24" s="1">
        <f>N24/P24</f>
        <v>0.60000000000000009</v>
      </c>
      <c r="I24" s="1">
        <v>200</v>
      </c>
      <c r="J24" s="1">
        <v>380</v>
      </c>
      <c r="K24" s="5">
        <v>380</v>
      </c>
      <c r="L24" s="5">
        <v>198</v>
      </c>
      <c r="M24" s="1">
        <v>1.9999999999999999E-6</v>
      </c>
      <c r="N24" s="1">
        <v>3.0000000000000001E-6</v>
      </c>
      <c r="O24" s="1">
        <v>1E-4</v>
      </c>
      <c r="P24" s="1">
        <f t="shared" si="1"/>
        <v>4.9999999999999996E-6</v>
      </c>
      <c r="Q24" s="1">
        <v>1.2800000000000001E-7</v>
      </c>
      <c r="R24" s="1">
        <f t="shared" si="4"/>
        <v>5.1279999999999999E-6</v>
      </c>
      <c r="S24" t="s">
        <v>117</v>
      </c>
      <c r="T24" t="s">
        <v>11</v>
      </c>
      <c r="U24" t="s">
        <v>11</v>
      </c>
      <c r="V24" s="1"/>
      <c r="Y24" s="1" t="e">
        <f t="shared" si="2"/>
        <v>#DIV/0!</v>
      </c>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row r="25" spans="1:67">
      <c r="A25" t="s">
        <v>98</v>
      </c>
      <c r="B25" t="s">
        <v>35</v>
      </c>
      <c r="C25" t="s">
        <v>111</v>
      </c>
      <c r="D25" t="s">
        <v>9</v>
      </c>
      <c r="E25">
        <v>0.05</v>
      </c>
      <c r="F25">
        <v>0.55000000000000004</v>
      </c>
      <c r="G25" s="2">
        <f t="shared" ref="G25:G30" si="7">2*Q25/(Q25+M25+N25)</f>
        <v>4.9921996879875197E-2</v>
      </c>
      <c r="H25" s="1">
        <f t="shared" ref="H25:H30" si="8">N25/P25</f>
        <v>0.60000000000000009</v>
      </c>
      <c r="I25" s="1">
        <v>200</v>
      </c>
      <c r="J25" s="1">
        <v>380</v>
      </c>
      <c r="K25" s="5">
        <v>380</v>
      </c>
      <c r="L25" s="5">
        <v>198</v>
      </c>
      <c r="M25" s="1">
        <v>1.9999999999999999E-6</v>
      </c>
      <c r="N25" s="1">
        <v>3.0000000000000001E-6</v>
      </c>
      <c r="O25" s="1">
        <v>1E-4</v>
      </c>
      <c r="P25" s="1">
        <f t="shared" ref="P25" si="9">M25+N25</f>
        <v>4.9999999999999996E-6</v>
      </c>
      <c r="Q25" s="1">
        <v>1.2800000000000001E-7</v>
      </c>
      <c r="R25" s="1">
        <f t="shared" ref="R25:R31" si="10">P25+Q25</f>
        <v>5.1279999999999999E-6</v>
      </c>
      <c r="S25" t="s">
        <v>91</v>
      </c>
      <c r="T25" t="s">
        <v>11</v>
      </c>
      <c r="U25" t="s">
        <v>11</v>
      </c>
      <c r="V25" s="1" t="s">
        <v>11</v>
      </c>
      <c r="Y25" s="1" t="e">
        <f t="shared" si="2"/>
        <v>#DIV/0!</v>
      </c>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row>
    <row r="26" spans="1:67">
      <c r="A26" t="s">
        <v>99</v>
      </c>
      <c r="B26" t="s">
        <v>35</v>
      </c>
      <c r="C26" t="s">
        <v>118</v>
      </c>
      <c r="D26" t="s">
        <v>25</v>
      </c>
      <c r="E26">
        <v>0.05</v>
      </c>
      <c r="F26">
        <v>0.55000000000000004</v>
      </c>
      <c r="G26" s="2">
        <f t="shared" si="7"/>
        <v>4.9921996879875197E-2</v>
      </c>
      <c r="H26" s="1">
        <f t="shared" si="8"/>
        <v>0.60000000000000009</v>
      </c>
      <c r="I26" s="1">
        <v>200</v>
      </c>
      <c r="J26" s="1">
        <v>380</v>
      </c>
      <c r="K26" s="5">
        <v>380</v>
      </c>
      <c r="L26" s="5">
        <f>2.5+2.5+192.5</f>
        <v>197.5</v>
      </c>
      <c r="M26" s="1">
        <v>1.9999999999999999E-6</v>
      </c>
      <c r="N26" s="1">
        <v>3.0000000000000001E-6</v>
      </c>
      <c r="O26" s="1">
        <v>1E-4</v>
      </c>
      <c r="P26" s="1">
        <f t="shared" ref="P26:P30" si="11">M26+N26</f>
        <v>4.9999999999999996E-6</v>
      </c>
      <c r="Q26" s="1">
        <v>1.2800000000000001E-7</v>
      </c>
      <c r="R26" s="1">
        <f t="shared" si="10"/>
        <v>5.1279999999999999E-6</v>
      </c>
      <c r="S26" t="s">
        <v>91</v>
      </c>
      <c r="T26" t="s">
        <v>11</v>
      </c>
      <c r="Y26" s="1" t="e">
        <f t="shared" si="2"/>
        <v>#DIV/0!</v>
      </c>
      <c r="BB26" s="3"/>
      <c r="BC26" s="3"/>
      <c r="BD26" s="3"/>
      <c r="BE26" s="3"/>
      <c r="BF26" s="3"/>
    </row>
    <row r="27" spans="1:67" s="30" customFormat="1">
      <c r="A27" s="30" t="s">
        <v>100</v>
      </c>
      <c r="B27" s="30" t="s">
        <v>105</v>
      </c>
      <c r="C27" s="30" t="s">
        <v>107</v>
      </c>
      <c r="D27" s="30" t="s">
        <v>25</v>
      </c>
      <c r="E27" s="30">
        <v>0.04</v>
      </c>
      <c r="G27" s="31">
        <f t="shared" si="7"/>
        <v>3.9215686274509796E-2</v>
      </c>
      <c r="H27" s="32">
        <f t="shared" si="8"/>
        <v>0.60000000000000009</v>
      </c>
      <c r="I27" s="32">
        <v>200</v>
      </c>
      <c r="J27" s="32">
        <v>380</v>
      </c>
      <c r="K27" s="33">
        <v>380</v>
      </c>
      <c r="L27" s="33">
        <f>5+55+55</f>
        <v>115</v>
      </c>
      <c r="M27" s="32">
        <v>1.9999999999999999E-6</v>
      </c>
      <c r="N27" s="32">
        <v>3.0000000000000001E-6</v>
      </c>
      <c r="O27" s="32">
        <v>1E-4</v>
      </c>
      <c r="P27" s="32">
        <f t="shared" si="11"/>
        <v>4.9999999999999996E-6</v>
      </c>
      <c r="Q27" s="32">
        <v>9.9999999999999995E-8</v>
      </c>
      <c r="R27" s="32">
        <f t="shared" si="10"/>
        <v>5.0999999999999995E-6</v>
      </c>
      <c r="S27" s="30" t="s">
        <v>113</v>
      </c>
      <c r="T27" s="30" t="s">
        <v>11</v>
      </c>
      <c r="V27" s="32" t="s">
        <v>11</v>
      </c>
      <c r="W27" s="34">
        <v>-3.1406000000000001</v>
      </c>
      <c r="X27" s="35">
        <v>-3193200000000000</v>
      </c>
      <c r="Y27" s="32">
        <f t="shared" si="2"/>
        <v>-0.1954840678138923</v>
      </c>
      <c r="Z27" s="36">
        <v>6.3247999999999999E-2</v>
      </c>
      <c r="AA27" s="36"/>
      <c r="AB27" s="36"/>
      <c r="AC27" s="36"/>
      <c r="AD27" s="36"/>
      <c r="AE27" s="36">
        <v>0.119750389432358</v>
      </c>
      <c r="AH27" s="30">
        <v>170</v>
      </c>
      <c r="BB27" s="37"/>
      <c r="BC27" s="37"/>
      <c r="BD27" s="37"/>
      <c r="BE27" s="37"/>
      <c r="BF27" s="37"/>
    </row>
    <row r="28" spans="1:67">
      <c r="A28" t="s">
        <v>101</v>
      </c>
      <c r="B28" t="s">
        <v>106</v>
      </c>
      <c r="C28" t="s">
        <v>121</v>
      </c>
      <c r="D28" t="s">
        <v>25</v>
      </c>
      <c r="E28">
        <v>0.04</v>
      </c>
      <c r="G28" s="2">
        <f t="shared" si="7"/>
        <v>3.9215686274509796E-2</v>
      </c>
      <c r="H28" s="1">
        <f t="shared" si="8"/>
        <v>0.60000000000000009</v>
      </c>
      <c r="I28" s="1">
        <v>200</v>
      </c>
      <c r="J28" s="1">
        <v>380</v>
      </c>
      <c r="K28" s="5">
        <v>380</v>
      </c>
      <c r="L28" s="5">
        <f>5+55+55</f>
        <v>115</v>
      </c>
      <c r="M28" s="1">
        <v>1.9999999999999999E-6</v>
      </c>
      <c r="N28" s="1">
        <v>3.0000000000000001E-6</v>
      </c>
      <c r="O28" s="1">
        <v>1E-4</v>
      </c>
      <c r="P28" s="1">
        <f t="shared" si="11"/>
        <v>4.9999999999999996E-6</v>
      </c>
      <c r="Q28" s="1">
        <v>9.9999999999999995E-8</v>
      </c>
      <c r="R28" s="1">
        <f t="shared" si="10"/>
        <v>5.0999999999999995E-6</v>
      </c>
      <c r="S28" t="s">
        <v>114</v>
      </c>
      <c r="T28" t="s">
        <v>11</v>
      </c>
      <c r="Y28" s="1" t="e">
        <f t="shared" si="2"/>
        <v>#DIV/0!</v>
      </c>
      <c r="BB28" s="3"/>
      <c r="BC28" s="3"/>
      <c r="BD28" s="3"/>
      <c r="BE28" s="3"/>
      <c r="BF28" s="3"/>
    </row>
    <row r="29" spans="1:67" s="9" customFormat="1">
      <c r="A29" s="9" t="s">
        <v>102</v>
      </c>
      <c r="B29" s="9" t="s">
        <v>110</v>
      </c>
      <c r="D29" s="9" t="s">
        <v>25</v>
      </c>
      <c r="E29" s="9">
        <v>0.03</v>
      </c>
      <c r="F29" s="9">
        <v>0.72</v>
      </c>
      <c r="G29" s="11">
        <f t="shared" si="7"/>
        <v>2.9944838455476755E-2</v>
      </c>
      <c r="H29" s="12">
        <f t="shared" si="8"/>
        <v>0.60000000000000009</v>
      </c>
      <c r="I29" s="12">
        <v>200</v>
      </c>
      <c r="J29" s="12">
        <v>380</v>
      </c>
      <c r="K29" s="13">
        <v>380</v>
      </c>
      <c r="L29" s="13">
        <f>2.5+3.5+10+25+10</f>
        <v>51</v>
      </c>
      <c r="M29" s="12">
        <v>1.9999999999999999E-6</v>
      </c>
      <c r="N29" s="12">
        <v>3.0000000000000001E-6</v>
      </c>
      <c r="O29" s="12">
        <v>1E-4</v>
      </c>
      <c r="P29" s="12">
        <f t="shared" si="11"/>
        <v>4.9999999999999996E-6</v>
      </c>
      <c r="Q29" s="12">
        <v>7.6000000000000006E-8</v>
      </c>
      <c r="R29" s="12">
        <f t="shared" si="10"/>
        <v>5.0759999999999993E-6</v>
      </c>
      <c r="S29" s="9" t="s">
        <v>115</v>
      </c>
      <c r="T29" s="9" t="s">
        <v>11</v>
      </c>
      <c r="W29" s="14"/>
      <c r="X29" s="15"/>
      <c r="Y29" s="12" t="e">
        <f t="shared" si="2"/>
        <v>#DIV/0!</v>
      </c>
      <c r="Z29" s="16"/>
      <c r="AA29" s="16"/>
      <c r="AB29" s="16"/>
      <c r="AC29" s="16"/>
      <c r="AD29" s="16"/>
      <c r="AE29" s="16"/>
      <c r="BB29" s="18"/>
      <c r="BC29" s="18"/>
      <c r="BD29" s="18"/>
      <c r="BE29" s="18"/>
      <c r="BF29" s="18"/>
    </row>
    <row r="30" spans="1:67" s="30" customFormat="1">
      <c r="A30" s="30" t="s">
        <v>103</v>
      </c>
      <c r="B30" s="30" t="s">
        <v>106</v>
      </c>
      <c r="C30" s="30" t="s">
        <v>107</v>
      </c>
      <c r="D30" s="30" t="s">
        <v>25</v>
      </c>
      <c r="E30" s="30">
        <v>0.04</v>
      </c>
      <c r="G30" s="31">
        <f t="shared" si="7"/>
        <v>1.9801980198019799E-2</v>
      </c>
      <c r="H30" s="32">
        <f t="shared" si="8"/>
        <v>0.5</v>
      </c>
      <c r="I30" s="32">
        <v>200</v>
      </c>
      <c r="J30" s="32">
        <v>380</v>
      </c>
      <c r="K30" s="33">
        <v>380</v>
      </c>
      <c r="L30" s="33">
        <f>5+55+55</f>
        <v>115</v>
      </c>
      <c r="M30" s="32">
        <v>5.0000000000000004E-6</v>
      </c>
      <c r="N30" s="32">
        <v>5.0000000000000004E-6</v>
      </c>
      <c r="O30" s="32">
        <v>1E-4</v>
      </c>
      <c r="P30" s="32">
        <f t="shared" si="11"/>
        <v>1.0000000000000001E-5</v>
      </c>
      <c r="Q30" s="32">
        <v>9.9999999999999995E-8</v>
      </c>
      <c r="R30" s="32">
        <f t="shared" si="10"/>
        <v>1.0100000000000002E-5</v>
      </c>
      <c r="S30" s="30" t="s">
        <v>114</v>
      </c>
      <c r="T30" s="30" t="s">
        <v>11</v>
      </c>
      <c r="V30" s="32" t="s">
        <v>11</v>
      </c>
      <c r="W30" s="34">
        <v>4.9306999999999999</v>
      </c>
      <c r="X30" s="35">
        <v>1352900000000000</v>
      </c>
      <c r="Y30" s="32">
        <f t="shared" si="2"/>
        <v>0.4613938394140889</v>
      </c>
      <c r="Z30" s="36">
        <v>5.2012999999999997E-2</v>
      </c>
      <c r="AA30" s="36"/>
      <c r="AB30" s="36"/>
      <c r="AC30" s="36"/>
      <c r="AD30" s="36"/>
      <c r="AE30" s="36">
        <v>0.20461423878569299</v>
      </c>
      <c r="BB30" s="37"/>
      <c r="BC30" s="37"/>
      <c r="BD30" s="37"/>
      <c r="BE30" s="37"/>
      <c r="BF30" s="37"/>
    </row>
    <row r="31" spans="1:67" s="9" customFormat="1">
      <c r="A31" s="9" t="s">
        <v>104</v>
      </c>
      <c r="B31" s="9" t="s">
        <v>110</v>
      </c>
      <c r="D31" s="9" t="s">
        <v>25</v>
      </c>
      <c r="E31" s="9">
        <v>0.04</v>
      </c>
      <c r="F31" s="9">
        <v>0.72</v>
      </c>
      <c r="G31" s="11">
        <f t="shared" ref="G31" si="12">2*Q31/(Q31+M31+N31)</f>
        <v>3.9215686274509796E-2</v>
      </c>
      <c r="H31" s="12">
        <f>N31/P31</f>
        <v>0.72000000000000008</v>
      </c>
      <c r="I31" s="12">
        <v>200</v>
      </c>
      <c r="J31" s="12">
        <v>380</v>
      </c>
      <c r="K31" s="13">
        <v>380</v>
      </c>
      <c r="L31" s="13"/>
      <c r="M31" s="12">
        <v>1.3999999999999999E-6</v>
      </c>
      <c r="N31" s="12">
        <v>3.5999999999999998E-6</v>
      </c>
      <c r="O31" s="12">
        <v>1E-4</v>
      </c>
      <c r="P31" s="12">
        <f t="shared" ref="P31" si="13">M31+N31</f>
        <v>4.9999999999999996E-6</v>
      </c>
      <c r="Q31" s="12">
        <v>9.9999999999999995E-8</v>
      </c>
      <c r="R31" s="12">
        <f t="shared" si="10"/>
        <v>5.0999999999999995E-6</v>
      </c>
      <c r="S31" s="9" t="s">
        <v>115</v>
      </c>
      <c r="W31" s="14"/>
      <c r="X31" s="15"/>
      <c r="Y31" s="15"/>
      <c r="Z31" s="16"/>
      <c r="AA31" s="16"/>
      <c r="AB31" s="16"/>
      <c r="AC31" s="16"/>
      <c r="AD31" s="16"/>
      <c r="AE31" s="16"/>
      <c r="BB31" s="18"/>
      <c r="BC31" s="18"/>
      <c r="BD31" s="18"/>
      <c r="BE31" s="18"/>
      <c r="BF31" s="18"/>
    </row>
    <row r="32" spans="1:67">
      <c r="G32" s="2"/>
      <c r="H32" s="1"/>
      <c r="L32" s="5">
        <f>2.5+3.5+10+25+10</f>
        <v>51</v>
      </c>
      <c r="O32" s="1">
        <v>1E-4</v>
      </c>
      <c r="P32" s="1"/>
      <c r="Q32" s="1">
        <v>9.9999999999999995E-8</v>
      </c>
      <c r="R32" s="1"/>
      <c r="BB32" s="3"/>
      <c r="BC32" s="3"/>
      <c r="BD32" s="3"/>
      <c r="BE32" s="3"/>
      <c r="BF32" s="3"/>
    </row>
    <row r="33" spans="7:58">
      <c r="G33" s="2"/>
      <c r="H33" s="1"/>
      <c r="P33" s="1"/>
      <c r="R33" s="1"/>
      <c r="BB33" s="3"/>
      <c r="BC33" s="3"/>
      <c r="BD33" s="3"/>
      <c r="BE33" s="3"/>
      <c r="BF33" s="3"/>
    </row>
    <row r="34" spans="7:58">
      <c r="G34" s="2"/>
      <c r="H34" s="1"/>
      <c r="P34" s="1"/>
      <c r="R34" s="1"/>
      <c r="BB34" s="3"/>
      <c r="BC34" s="3"/>
      <c r="BD34" s="3"/>
      <c r="BE34" s="3"/>
      <c r="BF34" s="3"/>
    </row>
    <row r="35" spans="7:58">
      <c r="G35" s="2"/>
      <c r="P35" s="1"/>
      <c r="R35" s="1"/>
      <c r="BB35" s="3"/>
      <c r="BC35" s="3"/>
      <c r="BD35" s="3"/>
      <c r="BE35" s="3"/>
      <c r="BF35" s="3"/>
    </row>
    <row r="36" spans="7:58">
      <c r="P36" s="1"/>
      <c r="R36" s="1"/>
      <c r="BB36" s="3"/>
      <c r="BC36" s="3"/>
      <c r="BD36" s="3"/>
      <c r="BE36" s="3"/>
      <c r="BF36" s="3"/>
    </row>
    <row r="37" spans="7:58">
      <c r="P37" s="1"/>
      <c r="R37" s="1"/>
      <c r="BB37" s="3"/>
      <c r="BC37" s="3"/>
      <c r="BD37" s="3"/>
      <c r="BE37" s="3"/>
      <c r="BF37" s="3"/>
    </row>
    <row r="38" spans="7:58">
      <c r="P38" s="1"/>
      <c r="BB38" s="3"/>
      <c r="BC38" s="3"/>
      <c r="BD38" s="3"/>
      <c r="BE38" s="3"/>
      <c r="BF38" s="3"/>
    </row>
    <row r="39" spans="7:58">
      <c r="P39" s="1"/>
      <c r="BB39" s="3"/>
      <c r="BC39" s="3"/>
      <c r="BD39" s="3"/>
      <c r="BE39" s="3"/>
      <c r="BF39" s="3"/>
    </row>
    <row r="40" spans="7:58">
      <c r="P40" s="1"/>
      <c r="BB40" s="3"/>
      <c r="BC40" s="3"/>
      <c r="BD40" s="3"/>
      <c r="BE40" s="3"/>
      <c r="BF40" s="3"/>
    </row>
    <row r="41" spans="7:58">
      <c r="P41" s="1"/>
      <c r="BB41" s="3"/>
      <c r="BC41" s="3"/>
      <c r="BD41" s="3"/>
      <c r="BE41" s="3"/>
      <c r="BF41" s="3"/>
    </row>
    <row r="42" spans="7:58">
      <c r="BB42" s="3"/>
      <c r="BC42" s="3"/>
      <c r="BD42" s="3"/>
      <c r="BE42" s="3"/>
      <c r="BF42" s="3"/>
    </row>
    <row r="43" spans="7:58">
      <c r="BB43" s="3"/>
      <c r="BC43" s="3"/>
      <c r="BD43" s="3"/>
      <c r="BE43" s="3"/>
      <c r="BF43" s="3"/>
    </row>
    <row r="44" spans="7:58">
      <c r="BB44" s="3"/>
      <c r="BC44" s="3"/>
      <c r="BD44" s="3"/>
      <c r="BE44" s="3"/>
      <c r="BF44" s="3"/>
    </row>
    <row r="45" spans="7:58">
      <c r="BB45" s="3"/>
      <c r="BC45" s="3"/>
      <c r="BD45" s="3"/>
      <c r="BE45" s="3"/>
      <c r="BF45" s="3"/>
    </row>
    <row r="46" spans="7:58">
      <c r="BB46" s="3"/>
      <c r="BC46" s="3"/>
      <c r="BD46" s="3"/>
      <c r="BE46" s="3"/>
      <c r="BF46" s="3"/>
    </row>
    <row r="47" spans="7:58">
      <c r="BB47" s="3"/>
      <c r="BC47" s="3"/>
      <c r="BD47" s="3"/>
      <c r="BE47" s="3"/>
      <c r="BF47" s="3"/>
    </row>
    <row r="48" spans="7:58">
      <c r="BB48" s="3"/>
      <c r="BC48" s="3"/>
      <c r="BD48" s="3"/>
      <c r="BE48" s="3"/>
      <c r="BF48" s="3"/>
    </row>
    <row r="49" spans="54:58">
      <c r="BB49" s="3"/>
      <c r="BC49" s="3"/>
      <c r="BD49" s="3"/>
      <c r="BE49" s="3"/>
      <c r="BF49" s="3"/>
    </row>
    <row r="50" spans="54:58">
      <c r="BB50" s="3"/>
      <c r="BC50" s="3"/>
      <c r="BD50" s="3"/>
      <c r="BE50" s="3"/>
      <c r="BF50" s="3"/>
    </row>
    <row r="51" spans="54:58">
      <c r="BB51" s="3"/>
      <c r="BC51" s="3"/>
      <c r="BD51" s="3"/>
      <c r="BE51" s="3"/>
      <c r="BF51" s="3"/>
    </row>
    <row r="52" spans="54:58">
      <c r="BB52" s="3"/>
      <c r="BC52" s="3"/>
      <c r="BD52" s="3"/>
      <c r="BE52" s="3"/>
      <c r="BF52" s="3"/>
    </row>
    <row r="53" spans="54:58">
      <c r="BB53" s="3"/>
      <c r="BC53" s="3"/>
      <c r="BD53" s="3"/>
      <c r="BE53" s="3"/>
      <c r="BF53" s="3"/>
    </row>
    <row r="54" spans="54:58">
      <c r="BB54" s="3"/>
      <c r="BC54" s="3"/>
      <c r="BD54" s="3"/>
      <c r="BE54" s="3"/>
      <c r="BF54" s="3"/>
    </row>
  </sheetData>
  <autoFilter ref="A1:BO1" xr:uid="{FF59CE4E-E89E-FA42-9F7F-129A12C3C5AA}">
    <sortState xmlns:xlrd2="http://schemas.microsoft.com/office/spreadsheetml/2017/richdata2" ref="A2:BO39">
      <sortCondition ref="A1:A39"/>
    </sortState>
  </autoFilter>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3F4D-CD92-1640-AEBC-1C368F4FEF2F}">
  <dimension ref="A1:B2"/>
  <sheetViews>
    <sheetView workbookViewId="0">
      <selection activeCell="B3" sqref="B3"/>
    </sheetView>
  </sheetViews>
  <sheetFormatPr baseColWidth="10" defaultRowHeight="20"/>
  <sheetData>
    <row r="1" spans="1:2">
      <c r="A1" t="s">
        <v>14</v>
      </c>
    </row>
    <row r="2" spans="1:2">
      <c r="A2" t="s">
        <v>32</v>
      </c>
      <c r="B2">
        <f>1.540598/10</f>
        <v>0.1540598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log</vt:lpstr>
      <vt:lpstr>測定設定値</vt:lpstr>
      <vt:lpstr>log!_FilterDatabase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植田　大雅</dc:creator>
  <cp:lastModifiedBy>植田　大雅</cp:lastModifiedBy>
  <dcterms:created xsi:type="dcterms:W3CDTF">2023-07-07T09:46:18Z</dcterms:created>
  <dcterms:modified xsi:type="dcterms:W3CDTF">2023-11-22T03:51:55Z</dcterms:modified>
</cp:coreProperties>
</file>