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uedataiga/Desktop/grad-research/data_analysis/epilog/"/>
    </mc:Choice>
  </mc:AlternateContent>
  <xr:revisionPtr revIDLastSave="0" documentId="13_ncr:1_{DAB2926D-79CC-6747-B19C-5BAE3FF3F59C}" xr6:coauthVersionLast="47" xr6:coauthVersionMax="47" xr10:uidLastSave="{00000000-0000-0000-0000-000000000000}"/>
  <bookViews>
    <workbookView xWindow="29640" yWindow="1380" windowWidth="28800" windowHeight="16360" xr2:uid="{B4EB5C19-4ED2-1B45-8BA3-D03252A81D4F}"/>
  </bookViews>
  <sheets>
    <sheet name="log" sheetId="1" r:id="rId1"/>
    <sheet name="測定設定値" sheetId="2" r:id="rId2"/>
  </sheets>
  <definedNames>
    <definedName name="_xlnm._FilterDatabase" localSheetId="0">log!$A$1:$BH$1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8" i="1" l="1"/>
  <c r="Y2" i="1"/>
  <c r="Y18" i="1"/>
  <c r="Y21" i="1"/>
  <c r="Y23" i="1"/>
  <c r="L29" i="1"/>
  <c r="AV47" i="1"/>
  <c r="AW47" i="1"/>
  <c r="AX47" i="1"/>
  <c r="BK47" i="1" s="1"/>
  <c r="AY47" i="1"/>
  <c r="AV38" i="1" l="1"/>
  <c r="AW38" i="1"/>
  <c r="AX38" i="1"/>
  <c r="AY38" i="1"/>
  <c r="AV39" i="1"/>
  <c r="AW39" i="1"/>
  <c r="AX39" i="1"/>
  <c r="AY39" i="1"/>
  <c r="AV40" i="1"/>
  <c r="AW40" i="1"/>
  <c r="AX40" i="1"/>
  <c r="BK40" i="1" s="1"/>
  <c r="AY40" i="1"/>
  <c r="AV41" i="1"/>
  <c r="AW41" i="1"/>
  <c r="AX41" i="1"/>
  <c r="AY41" i="1"/>
  <c r="AV42" i="1"/>
  <c r="AW42" i="1"/>
  <c r="AX42" i="1"/>
  <c r="BK42" i="1" s="1"/>
  <c r="AY42" i="1"/>
  <c r="AV43" i="1"/>
  <c r="AW43" i="1"/>
  <c r="AX43" i="1"/>
  <c r="BK43" i="1" s="1"/>
  <c r="AY43" i="1"/>
  <c r="AV44" i="1"/>
  <c r="AW44" i="1"/>
  <c r="AX44" i="1"/>
  <c r="AY44" i="1"/>
  <c r="AV45" i="1"/>
  <c r="AW45" i="1"/>
  <c r="AX45" i="1"/>
  <c r="BK45" i="1" s="1"/>
  <c r="AY45" i="1"/>
  <c r="AV46" i="1"/>
  <c r="AW46" i="1"/>
  <c r="AX46" i="1"/>
  <c r="AY46" i="1"/>
  <c r="AV48" i="1"/>
  <c r="AW48" i="1"/>
  <c r="AX48" i="1"/>
  <c r="BK48" i="1" s="1"/>
  <c r="AY48" i="1"/>
  <c r="AV49" i="1"/>
  <c r="AW49" i="1"/>
  <c r="AX49" i="1"/>
  <c r="BK49" i="1" s="1"/>
  <c r="AY49" i="1"/>
  <c r="BF38" i="1"/>
  <c r="BG38" i="1"/>
  <c r="BF39" i="1"/>
  <c r="BG39" i="1"/>
  <c r="BF40" i="1"/>
  <c r="BG40" i="1"/>
  <c r="BF41" i="1"/>
  <c r="BG41" i="1"/>
  <c r="BF42" i="1"/>
  <c r="BG42" i="1"/>
  <c r="BF43" i="1"/>
  <c r="BG43" i="1"/>
  <c r="BF44" i="1"/>
  <c r="BG44" i="1"/>
  <c r="BF45" i="1"/>
  <c r="BG45" i="1"/>
  <c r="BF46" i="1"/>
  <c r="BG46" i="1"/>
  <c r="BF47" i="1"/>
  <c r="BJ47" i="1" s="1"/>
  <c r="BG47" i="1"/>
  <c r="BF48" i="1"/>
  <c r="BG48" i="1"/>
  <c r="AV33" i="1"/>
  <c r="AW33" i="1"/>
  <c r="AX33" i="1"/>
  <c r="AY33" i="1"/>
  <c r="AV34" i="1"/>
  <c r="AW34" i="1"/>
  <c r="AX34" i="1"/>
  <c r="AY34" i="1"/>
  <c r="AV35" i="1"/>
  <c r="AW35" i="1"/>
  <c r="AX35" i="1"/>
  <c r="AY35" i="1"/>
  <c r="AV36" i="1"/>
  <c r="AW36" i="1"/>
  <c r="AX36" i="1"/>
  <c r="AY36" i="1"/>
  <c r="AV37" i="1"/>
  <c r="AW37" i="1"/>
  <c r="AX37" i="1"/>
  <c r="AY37" i="1"/>
  <c r="AN3" i="1"/>
  <c r="AP3" i="1" s="1"/>
  <c r="AO3" i="1"/>
  <c r="AN4" i="1"/>
  <c r="AP4" i="1" s="1"/>
  <c r="AO4" i="1"/>
  <c r="AN5" i="1"/>
  <c r="AO5" i="1"/>
  <c r="AN6" i="1"/>
  <c r="AP6" i="1" s="1"/>
  <c r="AO6" i="1"/>
  <c r="AN7" i="1"/>
  <c r="AP7" i="1" s="1"/>
  <c r="AO7" i="1"/>
  <c r="AN8" i="1"/>
  <c r="AO8" i="1"/>
  <c r="AN9" i="1"/>
  <c r="AO9" i="1"/>
  <c r="AN10" i="1"/>
  <c r="AO10" i="1"/>
  <c r="AN11" i="1"/>
  <c r="AP11" i="1" s="1"/>
  <c r="AO11" i="1"/>
  <c r="AN12" i="1"/>
  <c r="AO12" i="1"/>
  <c r="AN13" i="1"/>
  <c r="AO13" i="1"/>
  <c r="AN14" i="1"/>
  <c r="AO14" i="1"/>
  <c r="AN15" i="1"/>
  <c r="AO15" i="1"/>
  <c r="AN16" i="1"/>
  <c r="AO16" i="1"/>
  <c r="AN17" i="1"/>
  <c r="AO17" i="1"/>
  <c r="AN18" i="1"/>
  <c r="AO18" i="1"/>
  <c r="AN19" i="1"/>
  <c r="AO19" i="1"/>
  <c r="AN20" i="1"/>
  <c r="AO20" i="1"/>
  <c r="AN21" i="1"/>
  <c r="AO21" i="1"/>
  <c r="AN22" i="1"/>
  <c r="AO22" i="1"/>
  <c r="AN23" i="1"/>
  <c r="AP23" i="1" s="1"/>
  <c r="AO23" i="1"/>
  <c r="AN24" i="1"/>
  <c r="AO24" i="1"/>
  <c r="AN25" i="1"/>
  <c r="AO25" i="1"/>
  <c r="AN26" i="1"/>
  <c r="AO26" i="1"/>
  <c r="AN27" i="1"/>
  <c r="AO27" i="1"/>
  <c r="AN28" i="1"/>
  <c r="AP28" i="1" s="1"/>
  <c r="AO28" i="1"/>
  <c r="AN29" i="1"/>
  <c r="AP29" i="1" s="1"/>
  <c r="AO29" i="1"/>
  <c r="AN30" i="1"/>
  <c r="AO30" i="1"/>
  <c r="AN31" i="1"/>
  <c r="AO31" i="1"/>
  <c r="AN32" i="1"/>
  <c r="AP32" i="1" s="1"/>
  <c r="AO32" i="1"/>
  <c r="AN33" i="1"/>
  <c r="AP33" i="1" s="1"/>
  <c r="AO33" i="1"/>
  <c r="AN34" i="1"/>
  <c r="AO34" i="1"/>
  <c r="AN35" i="1"/>
  <c r="AO35" i="1"/>
  <c r="AN36" i="1"/>
  <c r="AO36" i="1"/>
  <c r="AN37" i="1"/>
  <c r="AO37" i="1"/>
  <c r="AN38" i="1"/>
  <c r="AO38" i="1"/>
  <c r="AN39" i="1"/>
  <c r="AO39" i="1"/>
  <c r="AN40" i="1"/>
  <c r="AO40" i="1"/>
  <c r="AN41" i="1"/>
  <c r="AO41" i="1"/>
  <c r="AN42" i="1"/>
  <c r="AP42" i="1" s="1"/>
  <c r="AO42" i="1"/>
  <c r="AN43" i="1"/>
  <c r="AP43" i="1" s="1"/>
  <c r="AO43" i="1"/>
  <c r="AN44" i="1"/>
  <c r="AO44" i="1"/>
  <c r="AN45" i="1"/>
  <c r="AO45" i="1"/>
  <c r="AN46" i="1"/>
  <c r="AO46" i="1"/>
  <c r="AN47" i="1"/>
  <c r="AP47" i="1" s="1"/>
  <c r="AO47" i="1"/>
  <c r="AN48" i="1"/>
  <c r="AP48" i="1" s="1"/>
  <c r="AO48" i="1"/>
  <c r="AN49" i="1"/>
  <c r="AP49" i="1" s="1"/>
  <c r="AO49" i="1"/>
  <c r="AN50" i="1"/>
  <c r="AP50" i="1" s="1"/>
  <c r="AO50" i="1"/>
  <c r="AN51" i="1"/>
  <c r="AP51" i="1" s="1"/>
  <c r="AO51" i="1"/>
  <c r="AN52" i="1"/>
  <c r="AP52" i="1" s="1"/>
  <c r="AO52" i="1"/>
  <c r="AN53" i="1"/>
  <c r="AP53" i="1" s="1"/>
  <c r="AO53" i="1"/>
  <c r="AN54" i="1"/>
  <c r="AP54" i="1" s="1"/>
  <c r="AO54" i="1"/>
  <c r="AN55" i="1"/>
  <c r="AP55" i="1" s="1"/>
  <c r="AO55" i="1"/>
  <c r="AN56" i="1"/>
  <c r="AP56" i="1" s="1"/>
  <c r="AO56" i="1"/>
  <c r="AN57" i="1"/>
  <c r="AP57" i="1" s="1"/>
  <c r="AO57" i="1"/>
  <c r="AN58" i="1"/>
  <c r="AP58" i="1" s="1"/>
  <c r="AO58" i="1"/>
  <c r="AN59" i="1"/>
  <c r="AO59" i="1"/>
  <c r="AN60" i="1"/>
  <c r="AO60" i="1"/>
  <c r="AN61" i="1"/>
  <c r="AO61" i="1"/>
  <c r="AN62" i="1"/>
  <c r="AO62" i="1"/>
  <c r="AN63" i="1"/>
  <c r="AO63" i="1"/>
  <c r="AV17" i="1"/>
  <c r="AW17" i="1"/>
  <c r="AX17" i="1"/>
  <c r="BK17" i="1" s="1"/>
  <c r="AY17" i="1"/>
  <c r="AV18" i="1"/>
  <c r="AW18" i="1"/>
  <c r="AX18" i="1"/>
  <c r="AY18" i="1"/>
  <c r="AV19" i="1"/>
  <c r="AW19" i="1"/>
  <c r="AX19" i="1"/>
  <c r="AY19" i="1"/>
  <c r="AV20" i="1"/>
  <c r="AW20" i="1"/>
  <c r="AX20" i="1"/>
  <c r="BK20" i="1" s="1"/>
  <c r="AY20" i="1"/>
  <c r="AX21" i="1"/>
  <c r="AV22" i="1"/>
  <c r="AW22" i="1"/>
  <c r="AX22" i="1"/>
  <c r="BK22" i="1" s="1"/>
  <c r="AY22" i="1"/>
  <c r="AV23" i="1"/>
  <c r="AW23" i="1"/>
  <c r="AX23" i="1"/>
  <c r="BK23" i="1" s="1"/>
  <c r="AY23" i="1"/>
  <c r="AV24" i="1"/>
  <c r="AW24" i="1"/>
  <c r="AX24" i="1"/>
  <c r="BK24" i="1" s="1"/>
  <c r="AY24" i="1"/>
  <c r="AV25" i="1"/>
  <c r="AW25" i="1"/>
  <c r="AX25" i="1"/>
  <c r="BK25" i="1" s="1"/>
  <c r="AY25" i="1"/>
  <c r="AV26" i="1"/>
  <c r="AW26" i="1"/>
  <c r="AX26" i="1"/>
  <c r="AY26" i="1"/>
  <c r="AV27" i="1"/>
  <c r="AW27" i="1"/>
  <c r="AX27" i="1"/>
  <c r="AY27" i="1"/>
  <c r="AY15" i="1"/>
  <c r="BG14" i="1"/>
  <c r="AO2" i="1"/>
  <c r="AI6" i="1"/>
  <c r="AI3" i="1"/>
  <c r="AI4" i="1"/>
  <c r="AI5" i="1"/>
  <c r="AI7" i="1"/>
  <c r="AI8" i="1"/>
  <c r="AI9" i="1"/>
  <c r="AI10" i="1"/>
  <c r="AI11" i="1"/>
  <c r="AI12" i="1"/>
  <c r="AI13" i="1"/>
  <c r="AI14" i="1"/>
  <c r="AI15" i="1"/>
  <c r="AI16" i="1"/>
  <c r="AI17" i="1"/>
  <c r="AI18" i="1"/>
  <c r="AI19" i="1"/>
  <c r="AI20" i="1"/>
  <c r="AI21" i="1"/>
  <c r="AI22" i="1"/>
  <c r="AI23" i="1"/>
  <c r="AI24" i="1"/>
  <c r="AI25"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BJ37" i="1" l="1"/>
  <c r="BI37" i="1"/>
  <c r="BJ33" i="1"/>
  <c r="BI33" i="1"/>
  <c r="BI26" i="1"/>
  <c r="BJ26" i="1"/>
  <c r="BJ24" i="1"/>
  <c r="BI24" i="1"/>
  <c r="BI22" i="1"/>
  <c r="BJ22" i="1"/>
  <c r="BK21" i="1"/>
  <c r="BI21" i="1"/>
  <c r="BJ21" i="1"/>
  <c r="BJ49" i="1"/>
  <c r="BI49" i="1"/>
  <c r="BI46" i="1"/>
  <c r="BJ46" i="1"/>
  <c r="BJ44" i="1"/>
  <c r="BI44" i="1"/>
  <c r="BI42" i="1"/>
  <c r="BJ42" i="1"/>
  <c r="BJ40" i="1"/>
  <c r="BI40" i="1"/>
  <c r="BI38" i="1"/>
  <c r="BJ38" i="1"/>
  <c r="BJ36" i="1"/>
  <c r="BI36" i="1"/>
  <c r="BJ27" i="1"/>
  <c r="BI27" i="1"/>
  <c r="BJ25" i="1"/>
  <c r="BI25" i="1"/>
  <c r="BJ23" i="1"/>
  <c r="BI23" i="1"/>
  <c r="BI47" i="1"/>
  <c r="BJ48" i="1"/>
  <c r="BI48" i="1"/>
  <c r="BJ45" i="1"/>
  <c r="BI45" i="1"/>
  <c r="BJ43" i="1"/>
  <c r="BI43" i="1"/>
  <c r="BJ41" i="1"/>
  <c r="BI41" i="1"/>
  <c r="BJ39" i="1"/>
  <c r="BI39" i="1"/>
  <c r="AP22" i="1"/>
  <c r="AP46" i="1"/>
  <c r="AP18" i="1"/>
  <c r="AP34" i="1"/>
  <c r="AP10" i="1"/>
  <c r="AP38" i="1"/>
  <c r="AP14" i="1"/>
  <c r="AP30" i="1"/>
  <c r="AP26" i="1"/>
  <c r="AP44" i="1"/>
  <c r="AP40" i="1"/>
  <c r="AP36" i="1"/>
  <c r="AP24" i="1"/>
  <c r="AP20" i="1"/>
  <c r="AP16" i="1"/>
  <c r="AP12" i="1"/>
  <c r="AP8" i="1"/>
  <c r="AP39" i="1"/>
  <c r="AP35" i="1"/>
  <c r="AP31" i="1"/>
  <c r="AP27" i="1"/>
  <c r="AP19" i="1"/>
  <c r="AP15" i="1"/>
  <c r="BK46" i="1"/>
  <c r="AP45" i="1"/>
  <c r="AP41" i="1"/>
  <c r="AP37" i="1"/>
  <c r="AP25" i="1"/>
  <c r="AP21" i="1"/>
  <c r="AP17" i="1"/>
  <c r="AP13" i="1"/>
  <c r="AP9" i="1"/>
  <c r="AP5" i="1"/>
  <c r="BK38" i="1"/>
  <c r="BK19" i="1"/>
  <c r="BK41" i="1"/>
  <c r="BK44" i="1"/>
  <c r="BK39" i="1"/>
  <c r="BK18" i="1"/>
  <c r="AI2" i="1" l="1"/>
  <c r="Y31" i="1"/>
  <c r="Y32" i="1"/>
  <c r="Y33" i="1"/>
  <c r="Y34" i="1"/>
  <c r="Y35" i="1"/>
  <c r="Y36" i="1"/>
  <c r="Y37" i="1"/>
  <c r="Y38" i="1"/>
  <c r="Y39" i="1"/>
  <c r="Y40" i="1"/>
  <c r="Y41" i="1"/>
  <c r="Y42" i="1"/>
  <c r="Y43" i="1"/>
  <c r="Y44" i="1"/>
  <c r="Y45" i="1"/>
  <c r="Y46" i="1"/>
  <c r="Y47" i="1"/>
  <c r="P47" i="1"/>
  <c r="R47" i="1" s="1"/>
  <c r="F47" i="1"/>
  <c r="BF3" i="1"/>
  <c r="BG3" i="1"/>
  <c r="BF4" i="1"/>
  <c r="BG4" i="1"/>
  <c r="BF6" i="1"/>
  <c r="BG6" i="1"/>
  <c r="BF7" i="1"/>
  <c r="BG7" i="1"/>
  <c r="BF8" i="1"/>
  <c r="BG8" i="1"/>
  <c r="BF9" i="1"/>
  <c r="BG9" i="1"/>
  <c r="BF10" i="1"/>
  <c r="BG10" i="1"/>
  <c r="BF11" i="1"/>
  <c r="BG11" i="1"/>
  <c r="BF12" i="1"/>
  <c r="BG12" i="1"/>
  <c r="BF13" i="1"/>
  <c r="BG13" i="1"/>
  <c r="BF14" i="1"/>
  <c r="BF15" i="1"/>
  <c r="BG15" i="1"/>
  <c r="BF16" i="1"/>
  <c r="BG16" i="1"/>
  <c r="BF17" i="1"/>
  <c r="BG17" i="1"/>
  <c r="BF18" i="1"/>
  <c r="BF19" i="1"/>
  <c r="BF20" i="1"/>
  <c r="BG20" i="1"/>
  <c r="BF22" i="1"/>
  <c r="BG22" i="1"/>
  <c r="BF23" i="1"/>
  <c r="BG23" i="1"/>
  <c r="BF24" i="1"/>
  <c r="BG24" i="1"/>
  <c r="BF25" i="1"/>
  <c r="BG25" i="1"/>
  <c r="BF26" i="1"/>
  <c r="BG26" i="1"/>
  <c r="BF27" i="1"/>
  <c r="BG27" i="1"/>
  <c r="BF28" i="1"/>
  <c r="BG28" i="1"/>
  <c r="BF29" i="1"/>
  <c r="BG29" i="1"/>
  <c r="BF30" i="1"/>
  <c r="BG30" i="1"/>
  <c r="BF31" i="1"/>
  <c r="BG31" i="1"/>
  <c r="BF32" i="1"/>
  <c r="BG32" i="1"/>
  <c r="BF33" i="1"/>
  <c r="BG33" i="1"/>
  <c r="BF34" i="1"/>
  <c r="BG34" i="1"/>
  <c r="BF35" i="1"/>
  <c r="BG35" i="1"/>
  <c r="BF36" i="1"/>
  <c r="BG36" i="1"/>
  <c r="BF37" i="1"/>
  <c r="BG37" i="1"/>
  <c r="BF49" i="1"/>
  <c r="BG49" i="1"/>
  <c r="BF50" i="1"/>
  <c r="BG50" i="1"/>
  <c r="BF51" i="1"/>
  <c r="BG51" i="1"/>
  <c r="AY2" i="1"/>
  <c r="BG2" i="1"/>
  <c r="BF2" i="1"/>
  <c r="AV3" i="1"/>
  <c r="AW3" i="1"/>
  <c r="AX3" i="1"/>
  <c r="BK3" i="1" s="1"/>
  <c r="AY3" i="1"/>
  <c r="AV4" i="1"/>
  <c r="AW4" i="1"/>
  <c r="AX4" i="1"/>
  <c r="BK4" i="1" s="1"/>
  <c r="AY4" i="1"/>
  <c r="AV5" i="1"/>
  <c r="AW5" i="1"/>
  <c r="AX5" i="1"/>
  <c r="AV6" i="1"/>
  <c r="AW6" i="1"/>
  <c r="AX6" i="1"/>
  <c r="BK6" i="1" s="1"/>
  <c r="AY6" i="1"/>
  <c r="AV7" i="1"/>
  <c r="AW7" i="1"/>
  <c r="AX7" i="1"/>
  <c r="BK7" i="1" s="1"/>
  <c r="AY7" i="1"/>
  <c r="AV8" i="1"/>
  <c r="AW8" i="1"/>
  <c r="AX8" i="1"/>
  <c r="AY8" i="1"/>
  <c r="AV9" i="1"/>
  <c r="AW9" i="1"/>
  <c r="AX9" i="1"/>
  <c r="AV10" i="1"/>
  <c r="AW10" i="1"/>
  <c r="AX10" i="1"/>
  <c r="AY10" i="1"/>
  <c r="AV11" i="1"/>
  <c r="AW11" i="1"/>
  <c r="AX11" i="1"/>
  <c r="BK11" i="1" s="1"/>
  <c r="AY11" i="1"/>
  <c r="AV12" i="1"/>
  <c r="AW12" i="1"/>
  <c r="AX12" i="1"/>
  <c r="AY12" i="1"/>
  <c r="AV13" i="1"/>
  <c r="AW13" i="1"/>
  <c r="AX13" i="1"/>
  <c r="BK13" i="1" s="1"/>
  <c r="AY13" i="1"/>
  <c r="AV14" i="1"/>
  <c r="AW14" i="1"/>
  <c r="AX14" i="1"/>
  <c r="AY14" i="1"/>
  <c r="AV15" i="1"/>
  <c r="AW15" i="1"/>
  <c r="AX15" i="1"/>
  <c r="BK15" i="1" s="1"/>
  <c r="AV16" i="1"/>
  <c r="AW16" i="1"/>
  <c r="AX16" i="1"/>
  <c r="AY16" i="1"/>
  <c r="AV28" i="1"/>
  <c r="AW28" i="1"/>
  <c r="AX28" i="1"/>
  <c r="AY28" i="1"/>
  <c r="AV29" i="1"/>
  <c r="AW29" i="1"/>
  <c r="AX29" i="1"/>
  <c r="AY29" i="1"/>
  <c r="AV30" i="1"/>
  <c r="AW30" i="1"/>
  <c r="AX30" i="1"/>
  <c r="AY30" i="1"/>
  <c r="AV31" i="1"/>
  <c r="AW31" i="1"/>
  <c r="AX31" i="1"/>
  <c r="AY31" i="1"/>
  <c r="AV32" i="1"/>
  <c r="AW32" i="1"/>
  <c r="AX32" i="1"/>
  <c r="BK32" i="1" s="1"/>
  <c r="AY32" i="1"/>
  <c r="BK33" i="1"/>
  <c r="BK34" i="1"/>
  <c r="BK36" i="1"/>
  <c r="BK37" i="1"/>
  <c r="AV50" i="1"/>
  <c r="AW50" i="1"/>
  <c r="AX50" i="1"/>
  <c r="BK50" i="1" s="1"/>
  <c r="AY50" i="1"/>
  <c r="AV51" i="1"/>
  <c r="AW51" i="1"/>
  <c r="AX51" i="1"/>
  <c r="BK51" i="1" s="1"/>
  <c r="AY51" i="1"/>
  <c r="AV52" i="1"/>
  <c r="AW52" i="1"/>
  <c r="AX52" i="1"/>
  <c r="BK52" i="1" s="1"/>
  <c r="AY52" i="1"/>
  <c r="AV53" i="1"/>
  <c r="AW53" i="1"/>
  <c r="AX53" i="1"/>
  <c r="AY53" i="1"/>
  <c r="AV54" i="1"/>
  <c r="AW54" i="1"/>
  <c r="AX54" i="1"/>
  <c r="AY54" i="1"/>
  <c r="AV55" i="1"/>
  <c r="AW55" i="1"/>
  <c r="AX55" i="1"/>
  <c r="AY55" i="1"/>
  <c r="AV56" i="1"/>
  <c r="AW56" i="1"/>
  <c r="AX56" i="1"/>
  <c r="AY56" i="1"/>
  <c r="AX2" i="1"/>
  <c r="AW2" i="1"/>
  <c r="AV2" i="1"/>
  <c r="AJ2" i="1"/>
  <c r="AN2" i="1" s="1"/>
  <c r="AP2" i="1" s="1"/>
  <c r="B2" i="2"/>
  <c r="F37" i="1"/>
  <c r="F38" i="1"/>
  <c r="F35" i="1"/>
  <c r="F34" i="1"/>
  <c r="F43" i="1"/>
  <c r="F42" i="1"/>
  <c r="P42" i="1"/>
  <c r="F45" i="1"/>
  <c r="F44" i="1"/>
  <c r="F46" i="1"/>
  <c r="G48" i="1"/>
  <c r="G49" i="1"/>
  <c r="G50" i="1"/>
  <c r="G51" i="1"/>
  <c r="G52" i="1"/>
  <c r="F48" i="1"/>
  <c r="F49" i="1"/>
  <c r="F50" i="1"/>
  <c r="F51" i="1"/>
  <c r="F52" i="1"/>
  <c r="F53" i="1"/>
  <c r="P44" i="1"/>
  <c r="R44" i="1" s="1"/>
  <c r="BJ8" i="1" l="1"/>
  <c r="BI8" i="1"/>
  <c r="BJ18" i="1"/>
  <c r="BI18" i="1"/>
  <c r="BJ6" i="1"/>
  <c r="BI6" i="1"/>
  <c r="BJ10" i="1"/>
  <c r="BI10" i="1"/>
  <c r="BJ3" i="1"/>
  <c r="BI3" i="1"/>
  <c r="BJ14" i="1"/>
  <c r="BI14" i="1"/>
  <c r="BJ16" i="1"/>
  <c r="BI16" i="1"/>
  <c r="BI17" i="1"/>
  <c r="BJ17" i="1"/>
  <c r="BJ7" i="1"/>
  <c r="BI7" i="1"/>
  <c r="BJ34" i="1"/>
  <c r="BI34" i="1"/>
  <c r="BJ2" i="1"/>
  <c r="BI2" i="1"/>
  <c r="BJ51" i="1"/>
  <c r="BI51" i="1"/>
  <c r="BJ29" i="1"/>
  <c r="BI29" i="1"/>
  <c r="BJ15" i="1"/>
  <c r="BI15" i="1"/>
  <c r="BI13" i="1"/>
  <c r="BJ13" i="1"/>
  <c r="BJ11" i="1"/>
  <c r="BI11" i="1"/>
  <c r="BJ12" i="1"/>
  <c r="BI12" i="1"/>
  <c r="BJ31" i="1"/>
  <c r="BI31" i="1"/>
  <c r="BI9" i="1"/>
  <c r="BJ9" i="1"/>
  <c r="BJ52" i="1"/>
  <c r="BI52" i="1"/>
  <c r="BI50" i="1"/>
  <c r="BJ50" i="1"/>
  <c r="BJ32" i="1"/>
  <c r="BI32" i="1"/>
  <c r="BI30" i="1"/>
  <c r="BJ30" i="1"/>
  <c r="BJ28" i="1"/>
  <c r="BI28" i="1"/>
  <c r="BI20" i="1"/>
  <c r="BJ20" i="1"/>
  <c r="BJ35" i="1"/>
  <c r="BI35" i="1"/>
  <c r="BI4" i="1"/>
  <c r="BJ4" i="1"/>
  <c r="BI19" i="1"/>
  <c r="BJ19" i="1"/>
  <c r="BJ5" i="1"/>
  <c r="BI5" i="1"/>
  <c r="BK31" i="1"/>
  <c r="BK16" i="1"/>
  <c r="BK14" i="1"/>
  <c r="BK5" i="1"/>
  <c r="BK35" i="1"/>
  <c r="BK12" i="1"/>
  <c r="BK10" i="1"/>
  <c r="BK8" i="1"/>
  <c r="G47" i="1"/>
  <c r="BK9" i="1"/>
  <c r="BK2" i="1"/>
  <c r="F36" i="1"/>
  <c r="F40" i="1"/>
  <c r="F41" i="1"/>
  <c r="F32" i="1"/>
  <c r="F27" i="1"/>
  <c r="F28" i="1"/>
  <c r="R42" i="1"/>
  <c r="P34" i="1"/>
  <c r="R34" i="1" s="1"/>
  <c r="P35" i="1"/>
  <c r="R35" i="1" s="1"/>
  <c r="P36" i="1"/>
  <c r="R36" i="1" s="1"/>
  <c r="P37" i="1"/>
  <c r="R37" i="1" s="1"/>
  <c r="P38" i="1"/>
  <c r="P40" i="1"/>
  <c r="R40" i="1" s="1"/>
  <c r="P41" i="1"/>
  <c r="G42" i="1"/>
  <c r="P43" i="1"/>
  <c r="G43" i="1" s="1"/>
  <c r="P46" i="1"/>
  <c r="P45" i="1"/>
  <c r="R45" i="1" s="1"/>
  <c r="Y3" i="1"/>
  <c r="Y4" i="1"/>
  <c r="Y5" i="1"/>
  <c r="Y6" i="1"/>
  <c r="Y7" i="1"/>
  <c r="Y9" i="1"/>
  <c r="Y10" i="1"/>
  <c r="Y11" i="1"/>
  <c r="Y12" i="1"/>
  <c r="Y13" i="1"/>
  <c r="Y14" i="1"/>
  <c r="Y15" i="1"/>
  <c r="Y16" i="1"/>
  <c r="Y17" i="1"/>
  <c r="Y19" i="1"/>
  <c r="Y20" i="1"/>
  <c r="Y22" i="1"/>
  <c r="Y24" i="1"/>
  <c r="Y25" i="1"/>
  <c r="Y26" i="1"/>
  <c r="Y27" i="1"/>
  <c r="Y28" i="1"/>
  <c r="Y29" i="1"/>
  <c r="Y30" i="1"/>
  <c r="R38" i="1" l="1"/>
  <c r="G38" i="1"/>
  <c r="R46" i="1"/>
  <c r="G46" i="1"/>
  <c r="R43" i="1"/>
  <c r="R41" i="1"/>
  <c r="G45" i="1"/>
  <c r="G44" i="1"/>
  <c r="Z18" i="1"/>
  <c r="AI29" i="1"/>
  <c r="L26" i="1"/>
  <c r="L27" i="1"/>
  <c r="L28" i="1"/>
  <c r="AI28" i="1" s="1"/>
  <c r="L30" i="1"/>
  <c r="AI30" i="1" s="1"/>
  <c r="P31" i="1"/>
  <c r="R31" i="1" s="1"/>
  <c r="F31" i="1"/>
  <c r="F25" i="1"/>
  <c r="F26" i="1"/>
  <c r="F29" i="1"/>
  <c r="F30" i="1"/>
  <c r="P30" i="1"/>
  <c r="R30" i="1" s="1"/>
  <c r="P29" i="1"/>
  <c r="R29" i="1" s="1"/>
  <c r="P28" i="1"/>
  <c r="R28" i="1" s="1"/>
  <c r="P27" i="1"/>
  <c r="R27" i="1" s="1"/>
  <c r="P26" i="1"/>
  <c r="R26" i="1" s="1"/>
  <c r="P25" i="1"/>
  <c r="G25" i="1" s="1"/>
  <c r="F21" i="1"/>
  <c r="F22" i="1"/>
  <c r="F24" i="1"/>
  <c r="P21" i="1"/>
  <c r="R21" i="1" s="1"/>
  <c r="P22" i="1"/>
  <c r="R22" i="1" s="1"/>
  <c r="P23" i="1"/>
  <c r="R23" i="1" s="1"/>
  <c r="P24" i="1"/>
  <c r="R24" i="1" s="1"/>
  <c r="F2" i="1"/>
  <c r="F6" i="1"/>
  <c r="F5" i="1"/>
  <c r="M14" i="1"/>
  <c r="N14" i="1"/>
  <c r="F13" i="1"/>
  <c r="P13" i="1"/>
  <c r="G13" i="1" s="1"/>
  <c r="F11" i="1"/>
  <c r="F12" i="1"/>
  <c r="P6" i="1"/>
  <c r="G6" i="1" s="1"/>
  <c r="P7" i="1"/>
  <c r="G7" i="1" s="1"/>
  <c r="P8" i="1"/>
  <c r="P9" i="1"/>
  <c r="G9" i="1" s="1"/>
  <c r="P10" i="1"/>
  <c r="G10" i="1" s="1"/>
  <c r="P2" i="1"/>
  <c r="G2" i="1" s="1"/>
  <c r="P11" i="1"/>
  <c r="G11" i="1" s="1"/>
  <c r="P12" i="1"/>
  <c r="G12" i="1" s="1"/>
  <c r="P17" i="1"/>
  <c r="G17" i="1" s="1"/>
  <c r="P18" i="1"/>
  <c r="G18" i="1" s="1"/>
  <c r="P19" i="1"/>
  <c r="G19" i="1" s="1"/>
  <c r="P20" i="1"/>
  <c r="G20" i="1" s="1"/>
  <c r="F7" i="1"/>
  <c r="F8" i="1"/>
  <c r="F9" i="1"/>
  <c r="F10" i="1"/>
  <c r="F17" i="1"/>
  <c r="F18" i="1"/>
  <c r="F19" i="1"/>
  <c r="F20" i="1"/>
  <c r="P5" i="1"/>
  <c r="G5" i="1" s="1"/>
  <c r="AI27" i="1" l="1"/>
  <c r="BK27" i="1"/>
  <c r="AI26" i="1"/>
  <c r="BK26" i="1"/>
  <c r="BK30" i="1"/>
  <c r="BK28" i="1"/>
  <c r="BK29" i="1"/>
  <c r="F14" i="1"/>
  <c r="G8" i="1"/>
  <c r="G31" i="1"/>
  <c r="G29" i="1"/>
  <c r="G26" i="1"/>
  <c r="R25" i="1"/>
  <c r="G24" i="1"/>
  <c r="G22" i="1"/>
  <c r="G21" i="1"/>
  <c r="M15" i="1"/>
  <c r="N15" i="1"/>
  <c r="R20" i="1"/>
  <c r="R19" i="1"/>
  <c r="R18" i="1"/>
  <c r="R17" i="1"/>
  <c r="R7" i="1"/>
  <c r="R2" i="1"/>
  <c r="R6" i="1"/>
  <c r="R13" i="1"/>
  <c r="R5" i="1"/>
  <c r="R12" i="1"/>
  <c r="R11" i="1"/>
  <c r="R10" i="1"/>
  <c r="R9" i="1"/>
  <c r="R8" i="1"/>
  <c r="P14" i="1"/>
  <c r="M16" i="1" l="1"/>
  <c r="P15" i="1"/>
  <c r="R15" i="1" s="1"/>
  <c r="N16" i="1"/>
  <c r="F15" i="1"/>
  <c r="G14" i="1"/>
  <c r="R14" i="1"/>
  <c r="P16" i="1" l="1"/>
  <c r="G16" i="1" s="1"/>
  <c r="G15" i="1"/>
  <c r="F16" i="1"/>
  <c r="R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tc={D0B33AC1-37E9-C048-8C0B-37793E08754C}</author>
    <author>tc={584D5211-C912-3346-A153-1A3569D717AC}</author>
    <author>tc={38AE21C7-E5A6-9642-BCE8-604BEB133C07}</author>
    <author>tc={5DB9644F-EAAD-E145-A605-CF0162581AD4}</author>
    <author>tc={C8F358CF-12F6-B145-8E8C-76F9859C09F2}</author>
  </authors>
  <commentList>
    <comment ref="F1" authorId="0" shapeId="0" xr:uid="{D0B33AC1-37E9-C048-8C0B-37793E08754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Cr_x(Bi_{1-y}Sb_y)_{2-x}Te_3</t>
      </text>
    </comment>
    <comment ref="L1" authorId="1" shapeId="0" xr:uid="{584D5211-C912-3346-A153-1A3569D717A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バッファー層（ST, BST）含む成長時間．Te anneal timeは除く</t>
      </text>
    </comment>
    <comment ref="W1" authorId="2" shapeId="0" xr:uid="{38AE21C7-E5A6-9642-BCE8-604BEB133C0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 = 2 K，単位は磁束密度（V s m^-2）の逆数に対応</t>
      </text>
    </comment>
    <comment ref="AG39" authorId="3" shapeId="0" xr:uid="{5DB9644F-EAAD-E145-A605-CF0162581AD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実際よりかなり小さい</t>
      </text>
    </comment>
    <comment ref="AG44" authorId="4" shapeId="0" xr:uid="{C8F358CF-12F6-B145-8E8C-76F9859C09F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フーリエ変換では26.90 nmに鋭いピーク</t>
      </text>
    </comment>
  </commentList>
</comments>
</file>

<file path=xl/sharedStrings.xml><?xml version="1.0" encoding="utf-8"?>
<sst xmlns="http://schemas.openxmlformats.org/spreadsheetml/2006/main" count="402" uniqueCount="191">
  <si>
    <t>Holder</t>
    <phoneticPr fontId="1"/>
  </si>
  <si>
    <t>Bi(ideal)[Pa]</t>
    <phoneticPr fontId="1"/>
  </si>
  <si>
    <t>Sb(ideal)[Pa]</t>
    <phoneticPr fontId="1"/>
  </si>
  <si>
    <t>Te(ideal)[Pa]</t>
    <phoneticPr fontId="1"/>
  </si>
  <si>
    <t>Cr(ideal)[Pa]</t>
    <phoneticPr fontId="1"/>
  </si>
  <si>
    <t>subs temp[deg]</t>
    <phoneticPr fontId="1"/>
  </si>
  <si>
    <t>Pre Anneal temp[deg]</t>
    <phoneticPr fontId="1"/>
  </si>
  <si>
    <t>Anneal temp[deg]</t>
    <phoneticPr fontId="1"/>
  </si>
  <si>
    <t>recipe</t>
    <phoneticPr fontId="1"/>
  </si>
  <si>
    <t>#6</t>
    <phoneticPr fontId="1"/>
  </si>
  <si>
    <t>1357.txt</t>
    <phoneticPr fontId="1"/>
  </si>
  <si>
    <t>*</t>
    <phoneticPr fontId="1"/>
  </si>
  <si>
    <t>AFM</t>
    <phoneticPr fontId="1"/>
  </si>
  <si>
    <t>PPMS</t>
    <phoneticPr fontId="1"/>
  </si>
  <si>
    <t>XRD</t>
    <phoneticPr fontId="1"/>
  </si>
  <si>
    <t>memo</t>
    <phoneticPr fontId="1"/>
  </si>
  <si>
    <t>x</t>
    <phoneticPr fontId="1"/>
  </si>
  <si>
    <t>y</t>
    <phoneticPr fontId="1"/>
  </si>
  <si>
    <t>Bi+Sb(ideal)[Pa]</t>
    <phoneticPr fontId="1"/>
  </si>
  <si>
    <t>1362.txt</t>
    <phoneticPr fontId="1"/>
  </si>
  <si>
    <t>BST</t>
    <phoneticPr fontId="1"/>
  </si>
  <si>
    <t>rho_yxの1Tで高くない→移動度高くない（逆かも）</t>
    <rPh sb="10" eb="11">
      <t>タカク</t>
    </rPh>
    <rPh sb="15" eb="19">
      <t>イドウ</t>
    </rPh>
    <rPh sb="23" eb="24">
      <t>ギャク</t>
    </rPh>
    <phoneticPr fontId="1"/>
  </si>
  <si>
    <t>?</t>
    <phoneticPr fontId="1"/>
  </si>
  <si>
    <t>#6</t>
  </si>
  <si>
    <t>目標x</t>
  </si>
  <si>
    <t>目標y</t>
    <rPh sb="0" eb="2">
      <t>モクヒョウ</t>
    </rPh>
    <phoneticPr fontId="1"/>
  </si>
  <si>
    <t>1358.txt</t>
    <phoneticPr fontId="1"/>
  </si>
  <si>
    <t>Cr+Bi+Sb</t>
    <phoneticPr fontId="1"/>
  </si>
  <si>
    <t>物質</t>
    <rPh sb="0" eb="2">
      <t>ブッシテゥ</t>
    </rPh>
    <phoneticPr fontId="1"/>
  </si>
  <si>
    <t>CBST</t>
    <phoneticPr fontId="1"/>
  </si>
  <si>
    <t>main_growth_time (min)</t>
    <phoneticPr fontId="1"/>
  </si>
  <si>
    <t>sample</t>
    <phoneticPr fontId="1"/>
  </si>
  <si>
    <t>#1-1354</t>
    <phoneticPr fontId="1"/>
  </si>
  <si>
    <t>#1-1357</t>
    <phoneticPr fontId="1"/>
  </si>
  <si>
    <t>#1-1358</t>
    <phoneticPr fontId="1"/>
  </si>
  <si>
    <t>#1-1359</t>
    <phoneticPr fontId="1"/>
  </si>
  <si>
    <t>#1-1360</t>
    <phoneticPr fontId="1"/>
  </si>
  <si>
    <t>#1-1361</t>
    <phoneticPr fontId="1"/>
  </si>
  <si>
    <t>#1-1362</t>
    <phoneticPr fontId="1"/>
  </si>
  <si>
    <t>#1-1363</t>
    <phoneticPr fontId="1"/>
  </si>
  <si>
    <t>#1-1364</t>
    <phoneticPr fontId="1"/>
  </si>
  <si>
    <t>#1-1365</t>
    <phoneticPr fontId="1"/>
  </si>
  <si>
    <t>#1-1366</t>
    <phoneticPr fontId="1"/>
  </si>
  <si>
    <t>#1-1367</t>
    <phoneticPr fontId="1"/>
  </si>
  <si>
    <t>#1-1368</t>
    <phoneticPr fontId="1"/>
  </si>
  <si>
    <t>#1-1369</t>
    <phoneticPr fontId="1"/>
  </si>
  <si>
    <t>#1-1370</t>
    <phoneticPr fontId="1"/>
  </si>
  <si>
    <t>#1-1371</t>
    <phoneticPr fontId="1"/>
  </si>
  <si>
    <t>#1-1372</t>
    <phoneticPr fontId="1"/>
  </si>
  <si>
    <t>(0015)θ-2</t>
  </si>
  <si>
    <t>(0015)θ-1</t>
  </si>
  <si>
    <t>(0015)θ0</t>
  </si>
  <si>
    <t>(0015)θ1</t>
  </si>
  <si>
    <t>(0015)θ2</t>
  </si>
  <si>
    <t>T_C (K)</t>
    <phoneticPr fontId="1"/>
  </si>
  <si>
    <t>Teを減らした</t>
    <rPh sb="3" eb="4">
      <t>ヘラセィ</t>
    </rPh>
    <phoneticPr fontId="1"/>
  </si>
  <si>
    <t>growth_rate (nm/min)</t>
    <phoneticPr fontId="1"/>
  </si>
  <si>
    <t>#1-1373</t>
  </si>
  <si>
    <t>#1-1374</t>
  </si>
  <si>
    <t>#1-1375</t>
  </si>
  <si>
    <t>#1-1376</t>
  </si>
  <si>
    <t>#1-1355</t>
    <phoneticPr fontId="1"/>
  </si>
  <si>
    <t>#1-1356</t>
    <phoneticPr fontId="1"/>
  </si>
  <si>
    <t>CT</t>
    <phoneticPr fontId="1"/>
  </si>
  <si>
    <t>1375.txt</t>
    <phoneticPr fontId="1"/>
  </si>
  <si>
    <t>1374.txt</t>
    <phoneticPr fontId="1"/>
  </si>
  <si>
    <t>1369.txt</t>
    <phoneticPr fontId="1"/>
  </si>
  <si>
    <t>1366.txt</t>
    <phoneticPr fontId="1"/>
  </si>
  <si>
    <t>(006)peak θ (deg)</t>
    <phoneticPr fontId="1"/>
  </si>
  <si>
    <t>(0015)FWHM</t>
    <phoneticPr fontId="1"/>
  </si>
  <si>
    <t>(006)FWHM</t>
    <phoneticPr fontId="1"/>
  </si>
  <si>
    <t>(0015)peak θ (deg)</t>
    <phoneticPr fontId="1"/>
  </si>
  <si>
    <t>#1-1377</t>
    <phoneticPr fontId="1"/>
  </si>
  <si>
    <t>#1-1378</t>
    <phoneticPr fontId="1"/>
  </si>
  <si>
    <t>#1-1379</t>
  </si>
  <si>
    <t>#1-1380</t>
  </si>
  <si>
    <t>#1-1381</t>
  </si>
  <si>
    <t>#1-1382</t>
  </si>
  <si>
    <t>#1-1383</t>
  </si>
  <si>
    <t>CST/CBT</t>
    <phoneticPr fontId="1"/>
  </si>
  <si>
    <t>CBT/CST</t>
    <phoneticPr fontId="1"/>
  </si>
  <si>
    <t>mobility  (cm^2V^-1s^-1)</t>
    <phoneticPr fontId="1"/>
  </si>
  <si>
    <t>carrier (cm^-2)</t>
    <phoneticPr fontId="1"/>
  </si>
  <si>
    <t>CBST/BST/CBST/BST tetra layer</t>
    <phoneticPr fontId="1"/>
  </si>
  <si>
    <t>t~100nm, Te annealなし</t>
    <phoneticPr fontId="1"/>
  </si>
  <si>
    <t>H_C (T)</t>
    <phoneticPr fontId="1"/>
  </si>
  <si>
    <t>1379.txt</t>
    <phoneticPr fontId="1"/>
  </si>
  <si>
    <t>1380.txt</t>
    <phoneticPr fontId="1"/>
  </si>
  <si>
    <t>1381.txt</t>
    <phoneticPr fontId="1"/>
  </si>
  <si>
    <t>Hall Angle (tanθ)</t>
    <phoneticPr fontId="1"/>
  </si>
  <si>
    <t>1376.txt</t>
    <phoneticPr fontId="1"/>
  </si>
  <si>
    <t>t ~ 50 nm</t>
    <phoneticPr fontId="1"/>
  </si>
  <si>
    <t>t ~ 100nm, Te annealなし</t>
    <phoneticPr fontId="1"/>
  </si>
  <si>
    <t>落とした</t>
    <rPh sb="0" eb="1">
      <t>オトセィ</t>
    </rPh>
    <phoneticPr fontId="1"/>
  </si>
  <si>
    <t>測定してない</t>
    <rPh sb="0" eb="2">
      <t>ソクテイ</t>
    </rPh>
    <phoneticPr fontId="1"/>
  </si>
  <si>
    <t>rho_xxが発散しており，rho_yxのTが高い領域でn型の傾向が見られた</t>
    <phoneticPr fontId="1"/>
  </si>
  <si>
    <t>σ_xx (0T)  (Ω^-1)</t>
    <phoneticPr fontId="1"/>
  </si>
  <si>
    <t>ρ_xx (0 T) (Ω)</t>
    <phoneticPr fontId="1"/>
  </si>
  <si>
    <t>R_H</t>
    <phoneticPr fontId="1"/>
  </si>
  <si>
    <t>ρ_yx(0T)(Ω)</t>
    <phoneticPr fontId="1"/>
  </si>
  <si>
    <t>growth rate (nm/min)</t>
    <phoneticPr fontId="1"/>
  </si>
  <si>
    <t>#1-1384</t>
  </si>
  <si>
    <t>#1-1385</t>
  </si>
  <si>
    <t>#1-1386</t>
  </si>
  <si>
    <t>#1-1387</t>
  </si>
  <si>
    <t>#1-1388</t>
  </si>
  <si>
    <t>#1-1389</t>
  </si>
  <si>
    <t>#1-1390</t>
  </si>
  <si>
    <t>CST</t>
    <phoneticPr fontId="1"/>
  </si>
  <si>
    <t>CBT</t>
    <phoneticPr fontId="1"/>
  </si>
  <si>
    <t>CBT/CBST</t>
  </si>
  <si>
    <t>CBT/CBST</t>
    <phoneticPr fontId="1"/>
  </si>
  <si>
    <t>誤ってCBT層のx = 0.11になった．合計15 nmほど積層したところで中断</t>
    <rPh sb="0" eb="1">
      <t>アヤマッテ</t>
    </rPh>
    <rPh sb="6" eb="7">
      <t xml:space="preserve">ソウノ </t>
    </rPh>
    <rPh sb="21" eb="23">
      <t>ゴウケイ</t>
    </rPh>
    <rPh sb="30" eb="32">
      <t>セキソウ</t>
    </rPh>
    <rPh sb="38" eb="40">
      <t>チュウダn</t>
    </rPh>
    <phoneticPr fontId="1"/>
  </si>
  <si>
    <t>1387.txt</t>
    <phoneticPr fontId="1"/>
  </si>
  <si>
    <t>1386.txt</t>
    <phoneticPr fontId="1"/>
  </si>
  <si>
    <t>1385.txt</t>
    <phoneticPr fontId="1"/>
  </si>
  <si>
    <t>1384.txt</t>
    <phoneticPr fontId="1"/>
  </si>
  <si>
    <t>0.000005（上層は0.000005</t>
    <rPh sb="9" eb="11">
      <t>ジョウソ</t>
    </rPh>
    <phoneticPr fontId="1"/>
  </si>
  <si>
    <t>#1-1391</t>
  </si>
  <si>
    <t>#1-1392</t>
  </si>
  <si>
    <t>#1-1393</t>
  </si>
  <si>
    <t>#1-1394</t>
  </si>
  <si>
    <t>#1-1395</t>
  </si>
  <si>
    <t>#1-1396</t>
  </si>
  <si>
    <t>#1-1397</t>
  </si>
  <si>
    <t>#1-1398</t>
  </si>
  <si>
    <t>#1-1399</t>
  </si>
  <si>
    <t>CBT/CBST/CST</t>
    <phoneticPr fontId="1"/>
  </si>
  <si>
    <t>10/10/10nm Weyl</t>
    <phoneticPr fontId="1"/>
  </si>
  <si>
    <t>10nm/10nm TI 非相反</t>
    <rPh sb="13" eb="16">
      <t>ヒソウハn</t>
    </rPh>
    <phoneticPr fontId="1"/>
  </si>
  <si>
    <t>10nm/10nm NI 非相反</t>
    <phoneticPr fontId="1"/>
  </si>
  <si>
    <t>0/0.72/1</t>
    <phoneticPr fontId="1"/>
  </si>
  <si>
    <t>磁化測定 成膜前と成膜後のCr圧力が異なり，0.4&lt;x&lt;0.63の幅がある</t>
    <rPh sb="0" eb="4">
      <t>ジカソク</t>
    </rPh>
    <rPh sb="5" eb="8">
      <t>セイマク</t>
    </rPh>
    <rPh sb="9" eb="12">
      <t>セイマク</t>
    </rPh>
    <rPh sb="15" eb="17">
      <t>アツリョク</t>
    </rPh>
    <rPh sb="18" eb="19">
      <t>コトナリ</t>
    </rPh>
    <rPh sb="33" eb="34">
      <t>ハバ</t>
    </rPh>
    <phoneticPr fontId="1"/>
  </si>
  <si>
    <t>Hall測定</t>
    <rPh sb="4" eb="6">
      <t>ソクテイ</t>
    </rPh>
    <phoneticPr fontId="1"/>
  </si>
  <si>
    <t>Hall測定</t>
    <rPh sb="0" eb="4">
      <t>テンイオ</t>
    </rPh>
    <rPh sb="5" eb="6">
      <t>タカイ</t>
    </rPh>
    <phoneticPr fontId="1"/>
  </si>
  <si>
    <t>Hall測定</t>
    <phoneticPr fontId="1"/>
  </si>
  <si>
    <r>
      <t>Hall測定 #1-1359のrho_xxが発散しており，rho_yxのTが高い領域でn型の傾向が見られた（負の傾き）ため，CBST蒸着を65minにし，y=0.84→0.78にした．→</t>
    </r>
    <r>
      <rPr>
        <sz val="12"/>
        <color rgb="FFFF0000"/>
        <rFont val="游ゴシック"/>
        <family val="3"/>
        <charset val="128"/>
      </rPr>
      <t>これ1360の可能性が大きい</t>
    </r>
    <rPh sb="16" eb="18">
      <t>Hassan's</t>
    </rPh>
    <rPh sb="38" eb="39">
      <t>ガタノ</t>
    </rPh>
    <rPh sb="40" eb="42">
      <t>ケイコ</t>
    </rPh>
    <rPh sb="48" eb="49">
      <t>フノカタ</t>
    </rPh>
    <rPh sb="60" eb="62">
      <t>ジョウチャク</t>
    </rPh>
    <rPh sb="98" eb="99">
      <t>オオキイ</t>
    </rPh>
    <phoneticPr fontId="1"/>
  </si>
  <si>
    <t>希釈冷凍機・ゲート電圧依存性</t>
  </si>
  <si>
    <t>希釈冷凍機・ゲート電圧依存性</t>
    <rPh sb="0" eb="5">
      <t>キシャク</t>
    </rPh>
    <phoneticPr fontId="1"/>
  </si>
  <si>
    <t>Cr2Te3Hall測定</t>
    <rPh sb="10" eb="12">
      <t>ソクテイ</t>
    </rPh>
    <phoneticPr fontId="1"/>
  </si>
  <si>
    <t>t ~ 50nm, Te anneal×3 表面に粉のようなものがついていた</t>
    <rPh sb="22" eb="24">
      <t>ヒョウ</t>
    </rPh>
    <rPh sb="25" eb="26">
      <t>コナン</t>
    </rPh>
    <phoneticPr fontId="1"/>
  </si>
  <si>
    <t>CST/CBT/CST</t>
    <phoneticPr fontId="1"/>
  </si>
  <si>
    <t>10nm/10nm/10nm</t>
    <phoneticPr fontId="1"/>
  </si>
  <si>
    <t>0.8e-6→5.0e-6</t>
    <phoneticPr fontId="1"/>
  </si>
  <si>
    <t>4.2e-6→0</t>
    <phoneticPr fontId="1"/>
  </si>
  <si>
    <t>0→1.4e-6→5.0e-6</t>
    <phoneticPr fontId="1"/>
  </si>
  <si>
    <t>5.03-6→3.6e-6→0</t>
    <phoneticPr fontId="1"/>
  </si>
  <si>
    <t>10nm/10nm TI 非相反．振る舞いがワイル的</t>
    <rPh sb="13" eb="16">
      <t>ヒソウハn</t>
    </rPh>
    <rPh sb="17" eb="18">
      <t>フルマイ</t>
    </rPh>
    <phoneticPr fontId="1"/>
  </si>
  <si>
    <t>1391.txt</t>
    <phoneticPr fontId="1"/>
  </si>
  <si>
    <t>1393.txt</t>
    <phoneticPr fontId="1"/>
  </si>
  <si>
    <t>1394.txt</t>
    <phoneticPr fontId="1"/>
  </si>
  <si>
    <t>1396.txt</t>
    <phoneticPr fontId="1"/>
  </si>
  <si>
    <t>1397.txt</t>
    <phoneticPr fontId="1"/>
  </si>
  <si>
    <t>λ(Å)</t>
    <phoneticPr fontId="1"/>
  </si>
  <si>
    <t>(006)2θ(n=-2)</t>
    <phoneticPr fontId="1"/>
  </si>
  <si>
    <t>(006)2θ(n=-1)</t>
    <phoneticPr fontId="1"/>
  </si>
  <si>
    <t>(006)2θ(n=0)</t>
    <phoneticPr fontId="1"/>
  </si>
  <si>
    <t>(006)2θ(n=1)</t>
    <phoneticPr fontId="1"/>
  </si>
  <si>
    <t>(006)2θ(n=2)</t>
    <phoneticPr fontId="1"/>
  </si>
  <si>
    <t>t((006)-1:-2) (nm)</t>
    <phoneticPr fontId="1"/>
  </si>
  <si>
    <t>t((006)-1:0) (nm)</t>
    <phoneticPr fontId="1"/>
  </si>
  <si>
    <t>t((006)1:2) (nm)</t>
    <phoneticPr fontId="1"/>
  </si>
  <si>
    <t>t((006)0:1) (nm)</t>
    <phoneticPr fontId="1"/>
  </si>
  <si>
    <t>t((0015)-1:-2) (nm)</t>
    <phoneticPr fontId="1"/>
  </si>
  <si>
    <t>t((0015)-1:0) (nm)</t>
    <phoneticPr fontId="1"/>
  </si>
  <si>
    <t>t((0015)0:1) (nm)</t>
    <phoneticPr fontId="1"/>
  </si>
  <si>
    <t>t((0015)1:2) (nm)</t>
    <phoneticPr fontId="1"/>
  </si>
  <si>
    <t>thickness std (nm</t>
    <phoneticPr fontId="1"/>
  </si>
  <si>
    <t>thickness mean (nm)</t>
    <phoneticPr fontId="1"/>
  </si>
  <si>
    <t>10nm Hall測定 磁化測定</t>
    <rPh sb="9" eb="11">
      <t>ソクテイ</t>
    </rPh>
    <rPh sb="12" eb="16">
      <t>ジカソク</t>
    </rPh>
    <phoneticPr fontId="1"/>
  </si>
  <si>
    <r>
      <t xml:space="preserve">10 nm/10 nm Weyl 非相反 </t>
    </r>
    <r>
      <rPr>
        <sz val="12"/>
        <color rgb="FFFF0000"/>
        <rFont val="游ゴシック"/>
        <family val="3"/>
        <charset val="128"/>
      </rPr>
      <t>磁場の符号逆</t>
    </r>
    <rPh sb="17" eb="20">
      <t>ヒソウハn</t>
    </rPh>
    <rPh sb="21" eb="23">
      <t>ジバ</t>
    </rPh>
    <phoneticPr fontId="1"/>
  </si>
  <si>
    <r>
      <t xml:space="preserve">10 nm/10 nm Weyl 非相反 </t>
    </r>
    <r>
      <rPr>
        <sz val="12"/>
        <color rgb="FFFF0000"/>
        <rFont val="游ゴシック"/>
        <family val="3"/>
        <charset val="128"/>
      </rPr>
      <t>磁場の符号逆</t>
    </r>
    <rPh sb="17" eb="20">
      <t>ヒソウハn</t>
    </rPh>
    <phoneticPr fontId="1"/>
  </si>
  <si>
    <t>Hall測定 100Kまで．低温低磁場でデータが振動．</t>
    <rPh sb="14" eb="16">
      <t>テイオn</t>
    </rPh>
    <rPh sb="16" eb="19">
      <t>テイジバ</t>
    </rPh>
    <phoneticPr fontId="1"/>
  </si>
  <si>
    <t>6.063586763769876,</t>
    <phoneticPr fontId="1"/>
  </si>
  <si>
    <t>Hall測定．ホール成分に縦抵抗成分が大きく乗ってしまい，反対称化した過程で小さくなってしまった</t>
    <rPh sb="13" eb="18">
      <t>タテテイコウス</t>
    </rPh>
    <rPh sb="19" eb="20">
      <t>オオキク</t>
    </rPh>
    <rPh sb="29" eb="32">
      <t>ハンタイ</t>
    </rPh>
    <rPh sb="32" eb="33">
      <t xml:space="preserve">カ </t>
    </rPh>
    <rPh sb="35" eb="37">
      <t>カテイ</t>
    </rPh>
    <rPh sb="38" eb="39">
      <t>チイサク</t>
    </rPh>
    <phoneticPr fontId="1"/>
  </si>
  <si>
    <t>σ_xy (0T)  (Ω^-1h)</t>
    <phoneticPr fontId="1"/>
  </si>
  <si>
    <t>rho_yxはT = 0.1T付近にピーク，非線形に減少後，線形の正常ホール効果へと変化するヒステリシス</t>
    <rPh sb="15" eb="17">
      <t>フキn</t>
    </rPh>
    <rPh sb="22" eb="25">
      <t>ヒセンケイ</t>
    </rPh>
    <rPh sb="26" eb="29">
      <t>ゲンショウ</t>
    </rPh>
    <rPh sb="30" eb="32">
      <t>センケイ</t>
    </rPh>
    <rPh sb="33" eb="35">
      <t>セイジョウ</t>
    </rPh>
    <phoneticPr fontId="1"/>
  </si>
  <si>
    <t>10nm Hall測定 磁化測定  CSTに比べ極めて小さいT_C，飽和磁化に必要な磁場が大きい（ヒステリシスがなだらか）</t>
    <rPh sb="9" eb="11">
      <t>ソクテイ</t>
    </rPh>
    <rPh sb="12" eb="16">
      <t>ジカソク</t>
    </rPh>
    <rPh sb="24" eb="25">
      <t>キワメ</t>
    </rPh>
    <rPh sb="34" eb="35">
      <t>ホウワ</t>
    </rPh>
    <rPh sb="35" eb="36">
      <t xml:space="preserve">ジカ </t>
    </rPh>
    <rPh sb="39" eb="41">
      <t>ヒツヨウナ</t>
    </rPh>
    <rPh sb="45" eb="46">
      <t>オオキイ</t>
    </rPh>
    <phoneticPr fontId="1"/>
  </si>
  <si>
    <t>170 ()</t>
    <phoneticPr fontId="1"/>
  </si>
  <si>
    <t>30 ()</t>
    <phoneticPr fontId="1"/>
  </si>
  <si>
    <t>80 ()</t>
    <phoneticPr fontId="1"/>
  </si>
  <si>
    <t>40  ()</t>
    <phoneticPr fontId="1"/>
  </si>
  <si>
    <t xml:space="preserve">Hall測定 磁化測定 </t>
    <rPh sb="4" eb="6">
      <t>ソクテイ</t>
    </rPh>
    <phoneticPr fontId="1"/>
  </si>
  <si>
    <t xml:space="preserve">Hall測定 磁化測定 </t>
    <phoneticPr fontId="1"/>
  </si>
  <si>
    <t>20nm 非相反</t>
    <phoneticPr fontId="1"/>
  </si>
  <si>
    <r>
      <rPr>
        <sz val="12"/>
        <color rgb="FFFF0000"/>
        <rFont val="游ゴシック"/>
        <family val="3"/>
        <charset val="128"/>
      </rPr>
      <t>ここから後期データ．</t>
    </r>
    <r>
      <rPr>
        <sz val="12"/>
        <color theme="1"/>
        <rFont val="游ゴシック"/>
        <family val="2"/>
        <charset val="128"/>
        <scheme val="minor"/>
      </rPr>
      <t>基板位置のずれにより温度が表示より増加，サンプルが蒸着していなかった</t>
    </r>
    <rPh sb="10" eb="14">
      <t>キバンイ</t>
    </rPh>
    <rPh sb="20" eb="22">
      <t>オンドガヘ</t>
    </rPh>
    <rPh sb="27" eb="29">
      <t>ゾウカ</t>
    </rPh>
    <phoneticPr fontId="1"/>
  </si>
  <si>
    <t>c axis length (Å) (from (006))</t>
    <phoneticPr fontId="1"/>
  </si>
  <si>
    <t>c axis length (Å) (from (0015))</t>
    <phoneticPr fontId="1"/>
  </si>
  <si>
    <t>mean (Å)</t>
    <phoneticPr fontId="1"/>
  </si>
  <si>
    <t>t mean(nm)</t>
    <phoneticPr fontId="1"/>
  </si>
  <si>
    <t>t std (nm)</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</si>
</sst>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76" formatCode="0.00000"/>
    <numFmt numFmtId="177" formatCode="0_);[Red]\(0\)"/>
    <numFmt numFmtId="178" formatCode="0.000_ "/>
    <numFmt numFmtId="179" formatCode="0.000_);[Red]\(0.000\)"/>
    <numFmt numFmtId="181" formatCode="0.00.E+00"/>
    <numFmt numFmtId="182" formatCode="0.000.E+00"/>
    <numFmt numFmtId="183" formatCode="0.0000_);[Red]\(0.0000\)"/>
    <numFmt numFmtId="190" formatCode="0.00000_);[Red]\(0.00000\)"/>
  </numFmts>
  <fonts count="10">
    <font>
      <sz val="12"/>
      <color theme="1"/>
      <name val="游ゴシック"/>
      <family val="2"/>
      <charset val="128"/>
      <scheme val="minor"/>
    </font>
    <font>
      <sz val="6"/>
      <name val="游ゴシック"/>
      <family val="2"/>
      <charset val="128"/>
      <scheme val="minor"/>
    </font>
    <font>
      <sz val="12"/>
      <color rgb="FFFF0000"/>
      <name val="游ゴシック"/>
      <family val="3"/>
      <charset val="128"/>
    </font>
    <font>
      <sz val="12"/>
      <color rgb="FF000000"/>
      <name val="游ゴシック"/>
      <family val="3"/>
      <charset val="128"/>
      <scheme val="minor"/>
    </font>
    <font>
      <sz val="12"/>
      <color theme="1"/>
      <name val="Yu Gothic"/>
      <family val="3"/>
      <charset val="128"/>
    </font>
    <font>
      <sz val="12"/>
      <color theme="1"/>
      <name val="游ゴシック"/>
      <family val="3"/>
      <charset val="128"/>
    </font>
    <font>
      <sz val="12"/>
      <color theme="1"/>
      <name val="游ゴシック"/>
      <family val="3"/>
      <charset val="128"/>
      <scheme val="minor"/>
    </font>
    <font>
      <sz val="12"/>
      <color rgb="FF000000"/>
      <name val="Yu Gothic"/>
      <family val="3"/>
      <charset val="128"/>
    </font>
    <font>
      <sz val="10"/>
      <color rgb="FF000000"/>
      <name val="Yu Gothic UI"/>
    </font>
    <font>
      <sz val="12"/>
      <color theme="1"/>
      <name val="ＭＳ Ｐゴシック"/>
      <family val="2"/>
      <charset val="128"/>
    </font>
  </fonts>
  <fills count="6">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alignment vertical="center"/>
    </xf>
  </cellStyleXfs>
  <cellXfs count="64">
    <xf numFmtId="0" fontId="0" fillId="0" borderId="0" xfId="0">
      <alignment vertical="center"/>
    </xf>
    <xf numFmtId="11" fontId="0" fillId="0" borderId="0" xfId="0" applyNumberFormat="1">
      <alignment vertical="center"/>
    </xf>
    <xf numFmtId="176" fontId="0" fillId="0" borderId="0" xfId="0" applyNumberFormat="1">
      <alignment vertical="center"/>
    </xf>
    <xf numFmtId="177" fontId="0" fillId="0" borderId="0" xfId="0" applyNumberFormat="1">
      <alignment vertical="center"/>
    </xf>
    <xf numFmtId="178" fontId="0" fillId="0" borderId="0" xfId="0" applyNumberFormat="1">
      <alignment vertical="center"/>
    </xf>
    <xf numFmtId="179" fontId="0" fillId="0" borderId="0" xfId="0" applyNumberFormat="1">
      <alignment vertical="center"/>
    </xf>
    <xf numFmtId="0" fontId="0" fillId="2" borderId="0" xfId="0" applyFill="1">
      <alignment vertical="center"/>
    </xf>
    <xf numFmtId="176" fontId="0" fillId="2" borderId="0" xfId="0" applyNumberFormat="1" applyFill="1">
      <alignment vertical="center"/>
    </xf>
    <xf numFmtId="11" fontId="0" fillId="2" borderId="0" xfId="0" applyNumberFormat="1" applyFill="1">
      <alignment vertical="center"/>
    </xf>
    <xf numFmtId="177" fontId="0" fillId="2" borderId="0" xfId="0" applyNumberFormat="1" applyFill="1">
      <alignment vertical="center"/>
    </xf>
    <xf numFmtId="178" fontId="0" fillId="2" borderId="0" xfId="0" applyNumberFormat="1" applyFill="1">
      <alignment vertical="center"/>
    </xf>
    <xf numFmtId="179" fontId="0" fillId="2" borderId="0" xfId="0" applyNumberFormat="1" applyFill="1">
      <alignment vertical="center"/>
    </xf>
    <xf numFmtId="0" fontId="0" fillId="3" borderId="0" xfId="0" applyFill="1">
      <alignment vertical="center"/>
    </xf>
    <xf numFmtId="176" fontId="0" fillId="3" borderId="0" xfId="0" applyNumberFormat="1" applyFill="1">
      <alignment vertical="center"/>
    </xf>
    <xf numFmtId="11" fontId="0" fillId="3" borderId="0" xfId="0" applyNumberFormat="1" applyFill="1">
      <alignment vertical="center"/>
    </xf>
    <xf numFmtId="177" fontId="0" fillId="3" borderId="0" xfId="0" applyNumberFormat="1" applyFill="1">
      <alignment vertical="center"/>
    </xf>
    <xf numFmtId="178" fontId="0" fillId="3" borderId="0" xfId="0" applyNumberFormat="1" applyFill="1">
      <alignment vertical="center"/>
    </xf>
    <xf numFmtId="179" fontId="0" fillId="3" borderId="0" xfId="0" applyNumberFormat="1" applyFill="1">
      <alignment vertical="center"/>
    </xf>
    <xf numFmtId="0" fontId="0" fillId="4" borderId="0" xfId="0" applyFill="1">
      <alignment vertical="center"/>
    </xf>
    <xf numFmtId="176" fontId="0" fillId="4" borderId="0" xfId="0" applyNumberFormat="1" applyFill="1">
      <alignment vertical="center"/>
    </xf>
    <xf numFmtId="11" fontId="0" fillId="4" borderId="0" xfId="0" applyNumberFormat="1" applyFill="1">
      <alignment vertical="center"/>
    </xf>
    <xf numFmtId="177" fontId="0" fillId="4" borderId="0" xfId="0" applyNumberFormat="1" applyFill="1">
      <alignment vertical="center"/>
    </xf>
    <xf numFmtId="178" fontId="0" fillId="4" borderId="0" xfId="0" applyNumberFormat="1" applyFill="1">
      <alignment vertical="center"/>
    </xf>
    <xf numFmtId="179" fontId="0" fillId="4" borderId="0" xfId="0" applyNumberFormat="1" applyFill="1">
      <alignment vertical="center"/>
    </xf>
    <xf numFmtId="0" fontId="0" fillId="5" borderId="0" xfId="0" applyFill="1">
      <alignment vertical="center"/>
    </xf>
    <xf numFmtId="176" fontId="0" fillId="5" borderId="0" xfId="0" applyNumberFormat="1" applyFill="1">
      <alignment vertical="center"/>
    </xf>
    <xf numFmtId="177" fontId="0" fillId="5" borderId="0" xfId="0" applyNumberFormat="1" applyFill="1">
      <alignment vertical="center"/>
    </xf>
    <xf numFmtId="178" fontId="0" fillId="5" borderId="0" xfId="0" applyNumberFormat="1" applyFill="1">
      <alignment vertical="center"/>
    </xf>
    <xf numFmtId="179" fontId="0" fillId="5" borderId="0" xfId="0" applyNumberFormat="1" applyFill="1">
      <alignment vertical="center"/>
    </xf>
    <xf numFmtId="11" fontId="0" fillId="5" borderId="0" xfId="0" applyNumberFormat="1" applyFill="1">
      <alignment vertical="center"/>
    </xf>
    <xf numFmtId="0" fontId="5" fillId="3" borderId="0" xfId="0" applyFont="1" applyFill="1">
      <alignment vertical="center"/>
    </xf>
    <xf numFmtId="0" fontId="5" fillId="2" borderId="0" xfId="0" applyFont="1" applyFill="1">
      <alignment vertical="center"/>
    </xf>
    <xf numFmtId="0" fontId="6" fillId="2" borderId="0" xfId="0" applyFont="1" applyFill="1">
      <alignment vertical="center"/>
    </xf>
    <xf numFmtId="181" fontId="0" fillId="0" borderId="0" xfId="0" applyNumberFormat="1">
      <alignment vertical="center"/>
    </xf>
    <xf numFmtId="181" fontId="0" fillId="3" borderId="0" xfId="0" applyNumberFormat="1" applyFill="1">
      <alignment vertical="center"/>
    </xf>
    <xf numFmtId="181" fontId="0" fillId="2" borderId="0" xfId="0" applyNumberFormat="1" applyFill="1">
      <alignment vertical="center"/>
    </xf>
    <xf numFmtId="181" fontId="0" fillId="4" borderId="0" xfId="0" applyNumberFormat="1" applyFill="1">
      <alignment vertical="center"/>
    </xf>
    <xf numFmtId="181" fontId="0" fillId="5" borderId="0" xfId="0" applyNumberFormat="1" applyFill="1">
      <alignment vertical="center"/>
    </xf>
    <xf numFmtId="182" fontId="0" fillId="0" borderId="0" xfId="0" applyNumberFormat="1">
      <alignment vertical="center"/>
    </xf>
    <xf numFmtId="182" fontId="0" fillId="3" borderId="0" xfId="0" applyNumberFormat="1" applyFill="1">
      <alignment vertical="center"/>
    </xf>
    <xf numFmtId="182" fontId="0" fillId="2" borderId="0" xfId="0" applyNumberFormat="1" applyFill="1">
      <alignment vertical="center"/>
    </xf>
    <xf numFmtId="182" fontId="0" fillId="4" borderId="0" xfId="0" applyNumberFormat="1" applyFill="1">
      <alignment vertical="center"/>
    </xf>
    <xf numFmtId="182" fontId="0" fillId="5" borderId="0" xfId="0" applyNumberFormat="1" applyFill="1">
      <alignment vertical="center"/>
    </xf>
    <xf numFmtId="183" fontId="0" fillId="0" borderId="0" xfId="0" applyNumberFormat="1">
      <alignment vertical="center"/>
    </xf>
    <xf numFmtId="183" fontId="0" fillId="3" borderId="0" xfId="0" applyNumberFormat="1" applyFill="1">
      <alignment vertical="center"/>
    </xf>
    <xf numFmtId="183" fontId="0" fillId="2" borderId="0" xfId="0" applyNumberFormat="1" applyFill="1">
      <alignment vertical="center"/>
    </xf>
    <xf numFmtId="183" fontId="0" fillId="4" borderId="0" xfId="0" applyNumberFormat="1" applyFill="1">
      <alignment vertical="center"/>
    </xf>
    <xf numFmtId="183" fontId="0" fillId="5" borderId="0" xfId="0" applyNumberFormat="1" applyFill="1">
      <alignment vertical="center"/>
    </xf>
    <xf numFmtId="0" fontId="9" fillId="0" borderId="0" xfId="0" applyFont="1">
      <alignment vertical="center"/>
    </xf>
    <xf numFmtId="0" fontId="6" fillId="0" borderId="0" xfId="0" applyFont="1">
      <alignment vertical="center"/>
    </xf>
    <xf numFmtId="179" fontId="4" fillId="0" borderId="0" xfId="0" applyNumberFormat="1" applyFont="1">
      <alignment vertical="center"/>
    </xf>
    <xf numFmtId="179" fontId="4" fillId="3" borderId="0" xfId="0" applyNumberFormat="1" applyFont="1" applyFill="1">
      <alignment vertical="center"/>
    </xf>
    <xf numFmtId="179" fontId="4" fillId="2" borderId="0" xfId="0" applyNumberFormat="1" applyFont="1" applyFill="1">
      <alignment vertical="center"/>
    </xf>
    <xf numFmtId="179" fontId="7" fillId="0" borderId="0" xfId="0" applyNumberFormat="1" applyFont="1">
      <alignment vertical="center"/>
    </xf>
    <xf numFmtId="179" fontId="3" fillId="3" borderId="0" xfId="0" applyNumberFormat="1" applyFont="1" applyFill="1">
      <alignment vertical="center"/>
    </xf>
    <xf numFmtId="179" fontId="3" fillId="0" borderId="0" xfId="0" applyNumberFormat="1" applyFont="1">
      <alignment vertical="center"/>
    </xf>
    <xf numFmtId="179" fontId="3" fillId="2" borderId="0" xfId="0" applyNumberFormat="1" applyFont="1" applyFill="1">
      <alignment vertical="center"/>
    </xf>
    <xf numFmtId="179" fontId="3" fillId="4" borderId="0" xfId="0" applyNumberFormat="1" applyFont="1" applyFill="1">
      <alignment vertical="center"/>
    </xf>
    <xf numFmtId="179" fontId="3" fillId="5" borderId="0" xfId="0" applyNumberFormat="1" applyFont="1" applyFill="1">
      <alignment vertical="center"/>
    </xf>
    <xf numFmtId="190" fontId="0" fillId="0" borderId="0" xfId="0" applyNumberFormat="1">
      <alignment vertical="center"/>
    </xf>
    <xf numFmtId="190" fontId="0" fillId="3" borderId="0" xfId="0" applyNumberFormat="1" applyFill="1">
      <alignment vertical="center"/>
    </xf>
    <xf numFmtId="190" fontId="0" fillId="2" borderId="0" xfId="0" applyNumberFormat="1" applyFill="1">
      <alignment vertical="center"/>
    </xf>
    <xf numFmtId="190" fontId="0" fillId="4" borderId="0" xfId="0" applyNumberFormat="1" applyFill="1">
      <alignment vertical="center"/>
    </xf>
    <xf numFmtId="190" fontId="0" fillId="5" borderId="0" xfId="0" applyNumberFormat="1" applyFill="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altLang="ja-JP" sz="1800"/>
              <a:t>Growth rate vs Cr</a:t>
            </a:r>
            <a:r>
              <a:rPr lang="ja-JP" altLang="en-US" sz="1800"/>
              <a:t>濃度（</a:t>
            </a:r>
            <a:r>
              <a:rPr lang="en-US" altLang="ja-JP" sz="1800"/>
              <a:t>1_0,</a:t>
            </a:r>
            <a:r>
              <a:rPr lang="en-US" altLang="ja-JP" sz="1800" baseline="0"/>
              <a:t> -1_0</a:t>
            </a:r>
            <a:r>
              <a:rPr lang="ja-JP" altLang="en-US" sz="1800" baseline="0"/>
              <a:t>平均）</a:t>
            </a:r>
            <a:endParaRPr lang="ja-JP" altLang="en-US"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25400" cap="rnd">
              <a:noFill/>
              <a:round/>
            </a:ln>
            <a:effectLst/>
          </c:spPr>
          <c:marker>
            <c:symbol val="circle"/>
            <c:size val="5"/>
            <c:spPr>
              <a:solidFill>
                <a:srgbClr val="FF0000"/>
              </a:solidFill>
              <a:ln w="9525">
                <a:solidFill>
                  <a:schemeClr val="accent1"/>
                </a:solidFill>
              </a:ln>
              <a:effectLst/>
            </c:spPr>
          </c:marker>
          <c:trendline>
            <c:spPr>
              <a:ln w="19050" cap="rnd">
                <a:solidFill>
                  <a:srgbClr val="FF0000"/>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ja-JP"/>
                </a:p>
              </c:txPr>
            </c:trendlineLbl>
          </c:trendline>
          <c:xVal>
            <c:numRef>
              <c:f>log!$D$2:$D$13</c:f>
              <c:numCache>
                <c:formatCode>General</c:formatCode>
                <c:ptCount val="12"/>
                <c:pt idx="0">
                  <c:v>0</c:v>
                </c:pt>
                <c:pt idx="3">
                  <c:v>0.08</c:v>
                </c:pt>
                <c:pt idx="4">
                  <c:v>0.02</c:v>
                </c:pt>
                <c:pt idx="5">
                  <c:v>0.02</c:v>
                </c:pt>
                <c:pt idx="6">
                  <c:v>8.0000000000000002E-3</c:v>
                </c:pt>
                <c:pt idx="7">
                  <c:v>0.05</c:v>
                </c:pt>
                <c:pt idx="8">
                  <c:v>0.02</c:v>
                </c:pt>
                <c:pt idx="9" formatCode="0.00000">
                  <c:v>1.2E-2</c:v>
                </c:pt>
                <c:pt idx="10" formatCode="0.00000">
                  <c:v>1.2E-2</c:v>
                </c:pt>
                <c:pt idx="11">
                  <c:v>1.6E-2</c:v>
                </c:pt>
              </c:numCache>
            </c:numRef>
          </c:xVal>
          <c:yVal>
            <c:numRef>
              <c:f>log!$BK$2:$BK$13</c:f>
              <c:numCache>
                <c:formatCode>0.000_);[Red]\(0.000\)</c:formatCode>
                <c:ptCount val="12"/>
                <c:pt idx="0">
                  <c:v>0.12837189732437357</c:v>
                </c:pt>
                <c:pt idx="1">
                  <c:v>0</c:v>
                </c:pt>
                <c:pt idx="2">
                  <c:v>0</c:v>
                </c:pt>
                <c:pt idx="3">
                  <c:v>0.30480313791632485</c:v>
                </c:pt>
                <c:pt idx="4">
                  <c:v>0</c:v>
                </c:pt>
                <c:pt idx="5">
                  <c:v>0</c:v>
                </c:pt>
                <c:pt idx="6">
                  <c:v>0.15881974442610383</c:v>
                </c:pt>
                <c:pt idx="7">
                  <c:v>0.23244333040856893</c:v>
                </c:pt>
                <c:pt idx="8">
                  <c:v>0.2250487003226303</c:v>
                </c:pt>
                <c:pt idx="9">
                  <c:v>0</c:v>
                </c:pt>
                <c:pt idx="10">
                  <c:v>0.1955421683954553</c:v>
                </c:pt>
                <c:pt idx="11">
                  <c:v>0.20989021832997931</c:v>
                </c:pt>
              </c:numCache>
            </c:numRef>
          </c:yVal>
          <c:smooth val="0"/>
          <c:extLst>
            <c:ext xmlns:c16="http://schemas.microsoft.com/office/drawing/2014/chart" uri="{C3380CC4-5D6E-409C-BE32-E72D297353CC}">
              <c16:uniqueId val="{00000000-ADE0-B447-93B3-A32A1D98FCDA}"/>
            </c:ext>
          </c:extLst>
        </c:ser>
        <c:dLbls>
          <c:showLegendKey val="0"/>
          <c:showVal val="0"/>
          <c:showCatName val="0"/>
          <c:showSerName val="0"/>
          <c:showPercent val="0"/>
          <c:showBubbleSize val="0"/>
        </c:dLbls>
        <c:axId val="1914052704"/>
        <c:axId val="1863895024"/>
      </c:scatterChart>
      <c:valAx>
        <c:axId val="191405270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altLang="ja-JP" sz="1800"/>
                  <a:t>Cr (x)</a:t>
                </a:r>
              </a:p>
            </c:rich>
          </c:tx>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ja-JP"/>
          </a:p>
        </c:txPr>
        <c:crossAx val="1863895024"/>
        <c:crosses val="autoZero"/>
        <c:crossBetween val="midCat"/>
      </c:valAx>
      <c:valAx>
        <c:axId val="186389502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altLang="ja-JP" sz="1800"/>
                  <a:t>growth</a:t>
                </a:r>
                <a:r>
                  <a:rPr lang="en-US" altLang="ja-JP" sz="1800" baseline="0"/>
                  <a:t> rate (nm/min)</a:t>
                </a:r>
                <a:endParaRPr lang="ja-JP" altLang="en-US" sz="1800"/>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ja-JP"/>
            </a:p>
          </c:txPr>
        </c:title>
        <c:numFmt formatCode="0.000_);[Red]\(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ja-JP"/>
          </a:p>
        </c:txPr>
        <c:crossAx val="19140527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42</xdr:col>
      <xdr:colOff>1197841</xdr:colOff>
      <xdr:row>51</xdr:row>
      <xdr:rowOff>137088</xdr:rowOff>
    </xdr:from>
    <xdr:to>
      <xdr:col>46</xdr:col>
      <xdr:colOff>331932</xdr:colOff>
      <xdr:row>72</xdr:row>
      <xdr:rowOff>30601</xdr:rowOff>
    </xdr:to>
    <xdr:graphicFrame macro="">
      <xdr:nvGraphicFramePr>
        <xdr:cNvPr id="4" name="グラフ 3">
          <a:extLst>
            <a:ext uri="{FF2B5EF4-FFF2-40B4-BE49-F238E27FC236}">
              <a16:creationId xmlns:a16="http://schemas.microsoft.com/office/drawing/2014/main" id="{3FE850DB-2FB2-0376-BFEA-353EA947F4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植田　大雅" id="{B2D3856E-30D3-0A4D-815A-93DA8BD7F80B}" userId="S::4287075998@utac.u-tokyo.ac.jp::e49b90ff-71eb-411e-9a20-78b7a0ca1c0e" providerId="AD"/>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07-13T05:51:10.97" personId="{B2D3856E-30D3-0A4D-815A-93DA8BD7F80B}" id="{D0B33AC1-37E9-C048-8C0B-37793E08754C}">
    <text>Cr_x(Bi_{1-y}Sb_y)_{2-x}Te_3</text>
  </threadedComment>
  <threadedComment ref="L1" dT="2023-10-30T16:27:32.98" personId="{B2D3856E-30D3-0A4D-815A-93DA8BD7F80B}" id="{584D5211-C912-3346-A153-1A3569D717AC}">
    <text>バッファー層（ST, BST）含む成長時間．Te anneal timeは除く</text>
  </threadedComment>
  <threadedComment ref="W1" dT="2023-11-17T08:09:00.55" personId="{B2D3856E-30D3-0A4D-815A-93DA8BD7F80B}" id="{38AE21C7-E5A6-9642-BCE8-604BEB133C07}">
    <text>T = 2 K，単位は磁束密度（V s m^-2）の逆数に対応</text>
  </threadedComment>
  <threadedComment ref="AG39" dT="2024-01-20T12:18:58.10" personId="{B2D3856E-30D3-0A4D-815A-93DA8BD7F80B}" id="{5DB9644F-EAAD-E145-A605-CF0162581AD4}">
    <text>実際よりかなり小さい</text>
  </threadedComment>
  <threadedComment ref="AG44" dT="2024-01-20T13:52:33.36" personId="{B2D3856E-30D3-0A4D-815A-93DA8BD7F80B}" id="{C8F358CF-12F6-B145-8E8C-76F9859C09F2}">
    <text>フーリエ変換では26.90 nmに鋭いピーク</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CE4E-E89E-FA42-9F7F-129A12C3C5AA}">
  <dimension ref="A1:BZ63"/>
  <sheetViews>
    <sheetView tabSelected="1" zoomScale="88" workbookViewId="0">
      <pane xSplit="5" topLeftCell="K1" activePane="topRight" state="frozen"/>
      <selection pane="topRight" activeCell="C3" sqref="C3"/>
    </sheetView>
  </sheetViews>
  <sheetFormatPr baseColWidth="10" defaultRowHeight="20"/>
  <cols>
    <col min="3" max="3" width="28.28515625" customWidth="1"/>
    <col min="11" max="12" width="10.7109375" style="3"/>
    <col min="17" max="17" width="11.7109375" bestFit="1" customWidth="1"/>
    <col min="23" max="23" width="13" style="4" bestFit="1" customWidth="1"/>
    <col min="24" max="24" width="13.28515625" style="1" bestFit="1" customWidth="1"/>
    <col min="25" max="25" width="11.140625" style="59" customWidth="1"/>
    <col min="26" max="27" width="10.7109375" style="5"/>
    <col min="28" max="28" width="10.7109375" style="33"/>
    <col min="29" max="29" width="11.7109375" style="33" bestFit="1" customWidth="1"/>
    <col min="30" max="30" width="10.7109375" style="5"/>
    <col min="31" max="31" width="10.7109375" style="43"/>
    <col min="33" max="34" width="10.7109375" style="5"/>
    <col min="35" max="35" width="10.7109375" style="43"/>
    <col min="40" max="40" width="14.140625" style="38" customWidth="1"/>
    <col min="41" max="41" width="12.140625" style="38" bestFit="1" customWidth="1"/>
    <col min="42" max="42" width="12.140625" style="59" customWidth="1"/>
    <col min="43" max="47" width="15.42578125" style="5" customWidth="1"/>
    <col min="48" max="51" width="13" style="5" customWidth="1"/>
    <col min="52" max="62" width="10.7109375" style="5"/>
    <col min="63" max="63" width="13" style="5" customWidth="1"/>
  </cols>
  <sheetData>
    <row r="1" spans="1:78">
      <c r="A1" t="s">
        <v>31</v>
      </c>
      <c r="B1" t="s">
        <v>28</v>
      </c>
      <c r="C1" t="s">
        <v>15</v>
      </c>
      <c r="D1" t="s">
        <v>24</v>
      </c>
      <c r="E1" t="s">
        <v>25</v>
      </c>
      <c r="F1" t="s">
        <v>16</v>
      </c>
      <c r="G1" t="s">
        <v>17</v>
      </c>
      <c r="H1" t="s">
        <v>0</v>
      </c>
      <c r="I1" t="s">
        <v>5</v>
      </c>
      <c r="J1" t="s">
        <v>6</v>
      </c>
      <c r="K1" s="3" t="s">
        <v>7</v>
      </c>
      <c r="L1" s="3" t="s">
        <v>30</v>
      </c>
      <c r="M1" t="s">
        <v>1</v>
      </c>
      <c r="N1" t="s">
        <v>2</v>
      </c>
      <c r="O1" t="s">
        <v>3</v>
      </c>
      <c r="P1" t="s">
        <v>18</v>
      </c>
      <c r="Q1" t="s">
        <v>4</v>
      </c>
      <c r="R1" t="s">
        <v>27</v>
      </c>
      <c r="S1" t="s">
        <v>8</v>
      </c>
      <c r="T1" t="s">
        <v>12</v>
      </c>
      <c r="U1" t="s">
        <v>14</v>
      </c>
      <c r="V1" t="s">
        <v>13</v>
      </c>
      <c r="W1" s="4" t="s">
        <v>81</v>
      </c>
      <c r="X1" s="1" t="s">
        <v>82</v>
      </c>
      <c r="Y1" s="59" t="s">
        <v>98</v>
      </c>
      <c r="Z1" s="5" t="s">
        <v>85</v>
      </c>
      <c r="AA1" s="5" t="s">
        <v>99</v>
      </c>
      <c r="AB1" s="33" t="s">
        <v>175</v>
      </c>
      <c r="AC1" s="33" t="s">
        <v>96</v>
      </c>
      <c r="AD1" s="5" t="s">
        <v>97</v>
      </c>
      <c r="AE1" s="43" t="s">
        <v>89</v>
      </c>
      <c r="AF1" t="s">
        <v>54</v>
      </c>
      <c r="AG1" s="5" t="s">
        <v>168</v>
      </c>
      <c r="AH1" s="5" t="s">
        <v>167</v>
      </c>
      <c r="AI1" s="43" t="s">
        <v>56</v>
      </c>
      <c r="AJ1" t="s">
        <v>68</v>
      </c>
      <c r="AK1" t="s">
        <v>71</v>
      </c>
      <c r="AL1" t="s">
        <v>70</v>
      </c>
      <c r="AM1" t="s">
        <v>69</v>
      </c>
      <c r="AN1" s="38" t="s">
        <v>186</v>
      </c>
      <c r="AO1" s="38" t="s">
        <v>187</v>
      </c>
      <c r="AP1" s="59" t="s">
        <v>188</v>
      </c>
      <c r="AQ1" s="50" t="s">
        <v>154</v>
      </c>
      <c r="AR1" s="50" t="s">
        <v>155</v>
      </c>
      <c r="AS1" s="50" t="s">
        <v>156</v>
      </c>
      <c r="AT1" s="50" t="s">
        <v>157</v>
      </c>
      <c r="AU1" s="50" t="s">
        <v>158</v>
      </c>
      <c r="AV1" s="50" t="s">
        <v>159</v>
      </c>
      <c r="AW1" s="50" t="s">
        <v>160</v>
      </c>
      <c r="AX1" s="53" t="s">
        <v>162</v>
      </c>
      <c r="AY1" s="53" t="s">
        <v>161</v>
      </c>
      <c r="AZ1" s="50" t="s">
        <v>49</v>
      </c>
      <c r="BA1" s="50" t="s">
        <v>50</v>
      </c>
      <c r="BB1" s="50" t="s">
        <v>51</v>
      </c>
      <c r="BC1" s="50" t="s">
        <v>52</v>
      </c>
      <c r="BD1" s="50" t="s">
        <v>53</v>
      </c>
      <c r="BE1" s="50" t="s">
        <v>163</v>
      </c>
      <c r="BF1" s="50" t="s">
        <v>164</v>
      </c>
      <c r="BG1" s="53" t="s">
        <v>165</v>
      </c>
      <c r="BH1" s="53" t="s">
        <v>166</v>
      </c>
      <c r="BI1" s="53" t="s">
        <v>189</v>
      </c>
      <c r="BJ1" s="53" t="s">
        <v>190</v>
      </c>
      <c r="BK1" s="50" t="s">
        <v>100</v>
      </c>
    </row>
    <row r="2" spans="1:78" s="12" customFormat="1">
      <c r="A2" s="12" t="s">
        <v>32</v>
      </c>
      <c r="B2" s="12" t="s">
        <v>20</v>
      </c>
      <c r="C2" s="12" t="s">
        <v>133</v>
      </c>
      <c r="D2" s="12">
        <v>0</v>
      </c>
      <c r="E2" s="12">
        <v>0.84</v>
      </c>
      <c r="F2" s="13">
        <f>2*Q2/(Q2+M2+N2)</f>
        <v>0</v>
      </c>
      <c r="G2" s="14">
        <f t="shared" ref="G2:G20" si="0">N2/P2</f>
        <v>0.84</v>
      </c>
      <c r="H2" s="12" t="s">
        <v>9</v>
      </c>
      <c r="I2" s="14">
        <v>200</v>
      </c>
      <c r="J2" s="14">
        <v>380</v>
      </c>
      <c r="K2" s="15">
        <v>380</v>
      </c>
      <c r="L2" s="15">
        <v>60</v>
      </c>
      <c r="M2" s="14">
        <v>7.9999999999999996E-7</v>
      </c>
      <c r="N2" s="14">
        <v>4.1999999999999996E-6</v>
      </c>
      <c r="O2" s="14">
        <v>1E-4</v>
      </c>
      <c r="P2" s="14">
        <f t="shared" ref="P2:P24" si="1">M2+N2</f>
        <v>4.9999999999999996E-6</v>
      </c>
      <c r="Q2" s="14">
        <v>0</v>
      </c>
      <c r="R2" s="14">
        <f>P2+Q2</f>
        <v>4.9999999999999996E-6</v>
      </c>
      <c r="S2" s="14" t="s">
        <v>22</v>
      </c>
      <c r="T2" s="12" t="s">
        <v>11</v>
      </c>
      <c r="U2" s="12" t="s">
        <v>11</v>
      </c>
      <c r="W2" s="16">
        <v>-2141.0642380378699</v>
      </c>
      <c r="X2" s="14">
        <v>-388513000000</v>
      </c>
      <c r="Y2" s="44">
        <f>0.0001/(1.602E-19*X2)</f>
        <v>-1606.6894166818638</v>
      </c>
      <c r="Z2" s="17">
        <v>0</v>
      </c>
      <c r="AA2" s="17">
        <v>0</v>
      </c>
      <c r="AB2" s="34">
        <v>0</v>
      </c>
      <c r="AC2" s="34">
        <v>1.3368000000000001E-4</v>
      </c>
      <c r="AD2" s="17">
        <v>7480.3</v>
      </c>
      <c r="AE2" s="44">
        <v>0</v>
      </c>
      <c r="AF2" s="12">
        <v>0</v>
      </c>
      <c r="AG2" s="17">
        <v>12.936432908648399</v>
      </c>
      <c r="AH2" s="17">
        <v>3.8057312090108102</v>
      </c>
      <c r="AI2" s="44">
        <f>AG2/L2</f>
        <v>0.21560721514414</v>
      </c>
      <c r="AJ2" s="12">
        <f>17.38/2</f>
        <v>8.69</v>
      </c>
      <c r="AK2" s="12">
        <v>22.265000000000001</v>
      </c>
      <c r="AL2" s="12">
        <v>0.13</v>
      </c>
      <c r="AM2" s="12">
        <v>0.10199999999999999</v>
      </c>
      <c r="AN2" s="39">
        <f>(3/5)*(測定設定値!$B$2/(2*SIN(RADIANS(AJ2))))</f>
        <v>3.0590020587721583</v>
      </c>
      <c r="AO2" s="39">
        <f>(5 / 2)*(3/5)*(測定設定値!$B$2/(2*SIN(RADIANS(AK2))))</f>
        <v>3.0495545513399684</v>
      </c>
      <c r="AP2" s="60">
        <f>AVERAGE(AN2:AO2)</f>
        <v>3.0542783050560631</v>
      </c>
      <c r="AQ2" s="51">
        <v>14.6574394463668</v>
      </c>
      <c r="AR2" s="51">
        <v>15.744</v>
      </c>
      <c r="AS2" s="51">
        <v>17.38</v>
      </c>
      <c r="AT2" s="51">
        <v>19.12</v>
      </c>
      <c r="AU2" s="51">
        <v>20.276816608996501</v>
      </c>
      <c r="AV2" s="51">
        <f>0.1*(1/2)*測定設定値!$B$2/((SIN(RADIANS(AR2/2)-SIN(RADIANS(AQ2/2)))))</f>
        <v>7.8359049908822227</v>
      </c>
      <c r="AW2" s="51">
        <f>0.1*(3/4)*測定設定値!$B$2/(SIN(RADIANS(AS2/2))-(SIN(RADIANS(AR2/2))))</f>
        <v>8.1785348278902337</v>
      </c>
      <c r="AX2" s="51">
        <f>0.1*(3/4)*測定設定値!$B$2/(SIN(RADIANS(AT2/2))-(SIN(RADIANS(AS2/2))))</f>
        <v>7.7070707261957843</v>
      </c>
      <c r="AY2" s="51">
        <f>0.1*(1/2)*測定設定値!$B$2/((SIN(RADIANS(AU2/2)-SIN(RADIANS(AT2/2)))))</f>
        <v>7.0877448128814136</v>
      </c>
      <c r="AZ2" s="51">
        <v>41.476643598615901</v>
      </c>
      <c r="BA2" s="51">
        <v>42.787999999999997</v>
      </c>
      <c r="BB2" s="51">
        <v>44.524000000000001</v>
      </c>
      <c r="BC2" s="51">
        <v>46.335999999999999</v>
      </c>
      <c r="BD2" s="51">
        <v>47.604671280276797</v>
      </c>
      <c r="BE2" s="51"/>
      <c r="BF2" s="51">
        <f>0.1*(3/4)*測定設定値!$B$2/(SIN(RADIANS(BB2/2))-(SIN(RADIANS(BA2/2))))</f>
        <v>8.2161303980194269</v>
      </c>
      <c r="BG2" s="51">
        <f>0.1*(3/4)*測定設定値!$B$2/(SIN(RADIANS(BC2/2))-(SIN(RADIANS(BB2/2))))</f>
        <v>7.9215984624604276</v>
      </c>
      <c r="BH2" s="51"/>
      <c r="BI2" s="51">
        <f>AVERAGE(AV2,AW2,AX2,AY2,BF2,BG2)</f>
        <v>7.8244973697215849</v>
      </c>
      <c r="BJ2" s="51">
        <f>STDEV(AV2,AW2,AX2,AY2,BF2,BG2)</f>
        <v>0.4110647280641197</v>
      </c>
      <c r="BK2" s="54">
        <f>AVERAGE(AV2:AY2)/L2</f>
        <v>0.12837189732437357</v>
      </c>
    </row>
    <row r="3" spans="1:78">
      <c r="A3" t="s">
        <v>61</v>
      </c>
      <c r="F3" s="2"/>
      <c r="G3" s="1"/>
      <c r="I3" s="1"/>
      <c r="J3" s="1"/>
      <c r="M3" s="1"/>
      <c r="N3" s="1"/>
      <c r="O3" s="1"/>
      <c r="P3" s="1"/>
      <c r="Q3" s="1"/>
      <c r="R3" s="1"/>
      <c r="S3" s="1"/>
      <c r="Y3" s="59" t="e">
        <f t="shared" ref="Y3:Y47" si="2">0.0001/(1.602E-19*X3)</f>
        <v>#DIV/0!</v>
      </c>
      <c r="AI3" s="43" t="e">
        <f>AG3/L3</f>
        <v>#DIV/0!</v>
      </c>
      <c r="AN3" s="38" t="e">
        <f>(3/5)*(測定設定値!$B$2/(2*SIN(RADIANS(AJ3))))</f>
        <v>#DIV/0!</v>
      </c>
      <c r="AO3" s="38" t="e">
        <f>(5 / 2)*(3/5)*(測定設定値!$B$2/(2*SIN(RADIANS(AK3))))</f>
        <v>#DIV/0!</v>
      </c>
      <c r="AP3" s="59" t="e">
        <f t="shared" ref="AP3:AP58" si="3">AVERAGE(AN3:AO3)</f>
        <v>#DIV/0!</v>
      </c>
      <c r="AQ3" s="50"/>
      <c r="AR3" s="50"/>
      <c r="AS3" s="50"/>
      <c r="AT3" s="50"/>
      <c r="AU3" s="50"/>
      <c r="AV3" s="50" t="e">
        <f>0.1*(1/2)*測定設定値!$B$2/((SIN(RADIANS(AR3/2)-SIN(RADIANS(AQ3/2)))))</f>
        <v>#DIV/0!</v>
      </c>
      <c r="AW3" s="50" t="e">
        <f>0.1*(3/4)*測定設定値!$B$2/(SIN(RADIANS(AS3/2))-(SIN(RADIANS(AR3/2))))</f>
        <v>#DIV/0!</v>
      </c>
      <c r="AX3" s="50" t="e">
        <f>0.1*(3/4)*測定設定値!$B$2/(SIN(RADIANS(AT3/2))-(SIN(RADIANS(AS3/2))))</f>
        <v>#DIV/0!</v>
      </c>
      <c r="AY3" s="50" t="e">
        <f>0.1*(1/2)*測定設定値!$B$2/((SIN(RADIANS(AU3/2)-SIN(RADIANS(AT3/2)))))</f>
        <v>#DIV/0!</v>
      </c>
      <c r="AZ3" s="50"/>
      <c r="BA3" s="50"/>
      <c r="BB3" s="50"/>
      <c r="BC3" s="50"/>
      <c r="BD3" s="50"/>
      <c r="BE3" s="50"/>
      <c r="BF3" s="50" t="e">
        <f>0.1*(3/4)*測定設定値!$B$2/(SIN(RADIANS(BB3/2))-(SIN(RADIANS(BA3/2))))</f>
        <v>#DIV/0!</v>
      </c>
      <c r="BG3" s="50" t="e">
        <f>0.1*(3/4)*測定設定値!$B$2/(SIN(RADIANS(BC3/2))-(SIN(RADIANS(BB3/2))))</f>
        <v>#DIV/0!</v>
      </c>
      <c r="BH3" s="50"/>
      <c r="BI3" s="50" t="e">
        <f t="shared" ref="BI3:BI52" si="4">AVERAGE(AV3,AW3,AX3,AY3,BF3,BG3)</f>
        <v>#DIV/0!</v>
      </c>
      <c r="BJ3" s="50" t="e">
        <f t="shared" ref="BJ3:BJ52" si="5">STDEV(AV3,AW3,AX3,AY3,BF3,BG3)</f>
        <v>#DIV/0!</v>
      </c>
      <c r="BK3" s="55" t="e">
        <f>AVERAGE(AX3,AW3)/L3</f>
        <v>#DIV/0!</v>
      </c>
    </row>
    <row r="4" spans="1:78">
      <c r="A4" t="s">
        <v>62</v>
      </c>
      <c r="F4" s="2"/>
      <c r="G4" s="1"/>
      <c r="I4" s="1"/>
      <c r="J4" s="1"/>
      <c r="M4" s="1"/>
      <c r="N4" s="1"/>
      <c r="O4" s="1"/>
      <c r="P4" s="1"/>
      <c r="Q4" s="1"/>
      <c r="R4" s="1"/>
      <c r="S4" s="1"/>
      <c r="Y4" s="59" t="e">
        <f>0.0001/(1.602E-19*X4)</f>
        <v>#DIV/0!</v>
      </c>
      <c r="AI4" s="43" t="e">
        <f t="shared" ref="AI4:AI55" si="6">AG4/L4</f>
        <v>#DIV/0!</v>
      </c>
      <c r="AN4" s="38" t="e">
        <f>(3/5)*(測定設定値!$B$2/(2*SIN(RADIANS(AJ4))))</f>
        <v>#DIV/0!</v>
      </c>
      <c r="AO4" s="38" t="e">
        <f>(5 / 2)*(3/5)*(測定設定値!$B$2/(2*SIN(RADIANS(AK4))))</f>
        <v>#DIV/0!</v>
      </c>
      <c r="AP4" s="59" t="e">
        <f t="shared" si="3"/>
        <v>#DIV/0!</v>
      </c>
      <c r="AQ4" s="50"/>
      <c r="AR4" s="50"/>
      <c r="AS4" s="50"/>
      <c r="AT4" s="50"/>
      <c r="AU4" s="50"/>
      <c r="AV4" s="50" t="e">
        <f>0.1*(1/2)*測定設定値!$B$2/((SIN(RADIANS(AR4/2)-SIN(RADIANS(AQ4/2)))))</f>
        <v>#DIV/0!</v>
      </c>
      <c r="AW4" s="50" t="e">
        <f>0.1*(3/4)*測定設定値!$B$2/(SIN(RADIANS(AS4/2))-(SIN(RADIANS(AR4/2))))</f>
        <v>#DIV/0!</v>
      </c>
      <c r="AX4" s="50" t="e">
        <f>0.1*(3/4)*測定設定値!$B$2/(SIN(RADIANS(AT4/2))-(SIN(RADIANS(AS4/2))))</f>
        <v>#DIV/0!</v>
      </c>
      <c r="AY4" s="50" t="e">
        <f>0.1*(1/2)*測定設定値!$B$2/((SIN(RADIANS(AU4/2)-SIN(RADIANS(AT4/2)))))</f>
        <v>#DIV/0!</v>
      </c>
      <c r="AZ4" s="50"/>
      <c r="BA4" s="50"/>
      <c r="BB4" s="50"/>
      <c r="BC4" s="50"/>
      <c r="BD4" s="50"/>
      <c r="BE4" s="50"/>
      <c r="BF4" s="50" t="e">
        <f>0.1*(3/4)*測定設定値!$B$2/(SIN(RADIANS(BB4/2))-(SIN(RADIANS(BA4/2))))</f>
        <v>#DIV/0!</v>
      </c>
      <c r="BG4" s="50" t="e">
        <f>0.1*(3/4)*測定設定値!$B$2/(SIN(RADIANS(BC4/2))-(SIN(RADIANS(BB4/2))))</f>
        <v>#DIV/0!</v>
      </c>
      <c r="BH4" s="50"/>
      <c r="BI4" s="50" t="e">
        <f t="shared" si="4"/>
        <v>#DIV/0!</v>
      </c>
      <c r="BJ4" s="50" t="e">
        <f t="shared" si="5"/>
        <v>#DIV/0!</v>
      </c>
      <c r="BK4" s="55" t="e">
        <f>AVERAGE(AX4,AW4)/L4</f>
        <v>#DIV/0!</v>
      </c>
    </row>
    <row r="5" spans="1:78" s="12" customFormat="1">
      <c r="A5" s="12" t="s">
        <v>33</v>
      </c>
      <c r="B5" s="12" t="s">
        <v>29</v>
      </c>
      <c r="C5" s="12" t="s">
        <v>134</v>
      </c>
      <c r="D5" s="12">
        <v>0.08</v>
      </c>
      <c r="E5" s="12">
        <v>0.84</v>
      </c>
      <c r="F5" s="13">
        <f>2*Q5/(Q5+M5+N5)</f>
        <v>7.6923076923076927E-2</v>
      </c>
      <c r="G5" s="14">
        <f t="shared" si="0"/>
        <v>0.84</v>
      </c>
      <c r="H5" s="12" t="s">
        <v>9</v>
      </c>
      <c r="I5" s="14">
        <v>200</v>
      </c>
      <c r="J5" s="14">
        <v>380</v>
      </c>
      <c r="K5" s="15">
        <v>380</v>
      </c>
      <c r="L5" s="15">
        <v>60</v>
      </c>
      <c r="M5" s="14">
        <v>7.9999999999999996E-7</v>
      </c>
      <c r="N5" s="14">
        <v>4.1999999999999996E-6</v>
      </c>
      <c r="O5" s="14">
        <v>1E-4</v>
      </c>
      <c r="P5" s="14">
        <f t="shared" si="1"/>
        <v>4.9999999999999996E-6</v>
      </c>
      <c r="Q5" s="14">
        <v>1.9999999999999999E-7</v>
      </c>
      <c r="R5" s="14">
        <f t="shared" ref="R5:R24" si="7">P5+Q5</f>
        <v>5.1999999999999993E-6</v>
      </c>
      <c r="S5" s="14" t="s">
        <v>10</v>
      </c>
      <c r="T5" s="12" t="s">
        <v>11</v>
      </c>
      <c r="U5" s="12" t="s">
        <v>11</v>
      </c>
      <c r="V5" s="12" t="s">
        <v>11</v>
      </c>
      <c r="W5" s="16">
        <v>16.599</v>
      </c>
      <c r="X5" s="14">
        <v>164257837220455</v>
      </c>
      <c r="Y5" s="60">
        <f>0.0001/(1.602E-19*X5)</f>
        <v>3.80024317808068</v>
      </c>
      <c r="Z5" s="12">
        <v>0.431263751953125</v>
      </c>
      <c r="AA5" s="12">
        <v>94.033926964872705</v>
      </c>
      <c r="AB5" s="34">
        <v>1.7911901232501701E-5</v>
      </c>
      <c r="AC5" s="34">
        <v>4.3607631707900002E-4</v>
      </c>
      <c r="AD5" s="12">
        <v>2289.3141280258301</v>
      </c>
      <c r="AE5" s="44">
        <v>4.1061154060981597E-2</v>
      </c>
      <c r="AF5" s="12">
        <v>200</v>
      </c>
      <c r="AG5" s="17">
        <v>20.385493125256499</v>
      </c>
      <c r="AH5" s="17">
        <v>4.2438219747017003</v>
      </c>
      <c r="AI5" s="44">
        <f t="shared" si="6"/>
        <v>0.33975821875427498</v>
      </c>
      <c r="AJ5" s="12">
        <v>8.8439999999999994</v>
      </c>
      <c r="AK5" s="12">
        <v>22.629000000000001</v>
      </c>
      <c r="AL5" s="12">
        <v>0.66900000000000004</v>
      </c>
      <c r="AM5" s="12">
        <v>0.58899999999999997</v>
      </c>
      <c r="AN5" s="39">
        <f>(3/5)*(測定設定値!$B$2/(2*SIN(RADIANS(AJ5))))</f>
        <v>3.0061485825426209</v>
      </c>
      <c r="AO5" s="39">
        <f>(5 / 2)*(3/5)*(測定設定値!$B$2/(2*SIN(RADIANS(AK5))))</f>
        <v>3.0030170392237565</v>
      </c>
      <c r="AP5" s="60">
        <f t="shared" si="3"/>
        <v>3.0045828108831887</v>
      </c>
      <c r="AQ5" s="51">
        <v>16.549295774647799</v>
      </c>
      <c r="AR5" s="51">
        <v>17.0422535211267</v>
      </c>
      <c r="AS5" s="51">
        <v>17.7112676056338</v>
      </c>
      <c r="AT5" s="51">
        <v>18.521126760563298</v>
      </c>
      <c r="AU5" s="51"/>
      <c r="AV5" s="51">
        <f>0.1*(1/2)*測定設定値!$B$2/((SIN(RADIANS(AR5/2)-SIN(RADIANS(AQ5/2)))))</f>
        <v>16.036684088614926</v>
      </c>
      <c r="AW5" s="51">
        <f>0.1*(3/4)*測定設定値!$B$2/(SIN(RADIANS(AS5/2))-(SIN(RADIANS(AR5/2))))</f>
        <v>20.020785877535634</v>
      </c>
      <c r="AX5" s="51">
        <f>0.1*(3/4)*測定設定値!$B$2/(SIN(RADIANS(AT5/2))-(SIN(RADIANS(AS5/2))))</f>
        <v>16.555590672423346</v>
      </c>
      <c r="AY5" s="51"/>
      <c r="AZ5" s="51"/>
      <c r="BA5" s="51"/>
      <c r="BB5" s="51"/>
      <c r="BC5" s="51"/>
      <c r="BD5" s="51"/>
      <c r="BE5" s="51"/>
      <c r="BF5" s="51"/>
      <c r="BG5" s="51"/>
      <c r="BH5" s="51"/>
      <c r="BI5" s="51">
        <f t="shared" si="4"/>
        <v>17.537686879524639</v>
      </c>
      <c r="BJ5" s="51">
        <f t="shared" si="5"/>
        <v>2.1660220419289886</v>
      </c>
      <c r="BK5" s="54">
        <f>AVERAGE(AX5,AW5)/L5</f>
        <v>0.30480313791632485</v>
      </c>
    </row>
    <row r="6" spans="1:78">
      <c r="A6" t="s">
        <v>34</v>
      </c>
      <c r="B6" t="s">
        <v>29</v>
      </c>
      <c r="C6" t="s">
        <v>94</v>
      </c>
      <c r="D6">
        <v>0.02</v>
      </c>
      <c r="E6">
        <v>0.84</v>
      </c>
      <c r="F6" s="2">
        <f>2*Q6/(Q6+M6+N6)</f>
        <v>1.9801980198019806E-2</v>
      </c>
      <c r="G6" s="1">
        <f t="shared" si="0"/>
        <v>0.84</v>
      </c>
      <c r="H6" t="s">
        <v>9</v>
      </c>
      <c r="I6" s="1">
        <v>200</v>
      </c>
      <c r="J6" s="1">
        <v>380</v>
      </c>
      <c r="K6" s="3">
        <v>380</v>
      </c>
      <c r="L6" s="3">
        <v>60</v>
      </c>
      <c r="M6" s="1">
        <v>7.9999999999999996E-7</v>
      </c>
      <c r="N6" s="1">
        <v>4.1999999999999996E-6</v>
      </c>
      <c r="O6" s="1">
        <v>1E-4</v>
      </c>
      <c r="P6" s="1">
        <f t="shared" si="1"/>
        <v>4.9999999999999996E-6</v>
      </c>
      <c r="Q6" s="1">
        <v>4.9999999999999998E-8</v>
      </c>
      <c r="R6" s="1">
        <f t="shared" si="7"/>
        <v>5.0499999999999999E-6</v>
      </c>
      <c r="S6" s="1" t="s">
        <v>10</v>
      </c>
      <c r="T6" t="s">
        <v>11</v>
      </c>
      <c r="U6" t="s">
        <v>11</v>
      </c>
      <c r="V6" s="1" t="s">
        <v>11</v>
      </c>
      <c r="Y6" s="59" t="e">
        <f t="shared" si="2"/>
        <v>#DIV/0!</v>
      </c>
      <c r="AI6" s="43">
        <f>AG6/L6</f>
        <v>0</v>
      </c>
      <c r="AN6" s="38" t="e">
        <f>(3/5)*(測定設定値!$B$2/(2*SIN(RADIANS(AJ6))))</f>
        <v>#DIV/0!</v>
      </c>
      <c r="AO6" s="38" t="e">
        <f>(5 / 2)*(3/5)*(測定設定値!$B$2/(2*SIN(RADIANS(AK6))))</f>
        <v>#DIV/0!</v>
      </c>
      <c r="AP6" s="59" t="e">
        <f t="shared" si="3"/>
        <v>#DIV/0!</v>
      </c>
      <c r="AQ6" s="50"/>
      <c r="AR6" s="50"/>
      <c r="AS6" s="50"/>
      <c r="AT6" s="50"/>
      <c r="AU6" s="50"/>
      <c r="AV6" s="50" t="e">
        <f>0.1*(1/2)*測定設定値!$B$2/((SIN(RADIANS(AR6/2)-SIN(RADIANS(AQ6/2)))))</f>
        <v>#DIV/0!</v>
      </c>
      <c r="AW6" s="50" t="e">
        <f>0.1*(3/4)*測定設定値!$B$2/(SIN(RADIANS(AS6/2))-(SIN(RADIANS(AR6/2))))</f>
        <v>#DIV/0!</v>
      </c>
      <c r="AX6" s="50" t="e">
        <f>0.1*(3/4)*測定設定値!$B$2/(SIN(RADIANS(AT6/2))-(SIN(RADIANS(AS6/2))))</f>
        <v>#DIV/0!</v>
      </c>
      <c r="AY6" s="50" t="e">
        <f>0.1*(1/2)*測定設定値!$B$2/((SIN(RADIANS(AU6/2)-SIN(RADIANS(AT6/2)))))</f>
        <v>#DIV/0!</v>
      </c>
      <c r="AZ6" s="50"/>
      <c r="BA6" s="50"/>
      <c r="BB6" s="50"/>
      <c r="BC6" s="50"/>
      <c r="BD6" s="50"/>
      <c r="BE6" s="50"/>
      <c r="BF6" s="50" t="e">
        <f>0.1*(3/4)*測定設定値!$B$2/(SIN(RADIANS(BB6/2))-(SIN(RADIANS(BA6/2))))</f>
        <v>#DIV/0!</v>
      </c>
      <c r="BG6" s="50" t="e">
        <f>0.1*(3/4)*測定設定値!$B$2/(SIN(RADIANS(BC6/2))-(SIN(RADIANS(BB6/2))))</f>
        <v>#DIV/0!</v>
      </c>
      <c r="BH6" s="50"/>
      <c r="BI6" s="50" t="e">
        <f t="shared" si="4"/>
        <v>#DIV/0!</v>
      </c>
      <c r="BJ6" s="50" t="e">
        <f t="shared" si="5"/>
        <v>#DIV/0!</v>
      </c>
      <c r="BK6" s="55" t="e">
        <f>AVERAGE(AX6,AW6)/L6</f>
        <v>#DIV/0!</v>
      </c>
    </row>
    <row r="7" spans="1:78">
      <c r="A7" t="s">
        <v>35</v>
      </c>
      <c r="B7" t="s">
        <v>29</v>
      </c>
      <c r="C7" t="s">
        <v>95</v>
      </c>
      <c r="D7">
        <v>0.02</v>
      </c>
      <c r="E7">
        <v>0.84</v>
      </c>
      <c r="F7" s="2">
        <f t="shared" ref="F7:F20" si="8">2*Q7/(Q7+M7+N7)</f>
        <v>1.9801980198019806E-2</v>
      </c>
      <c r="G7" s="1">
        <f t="shared" si="0"/>
        <v>0.84</v>
      </c>
      <c r="H7" t="s">
        <v>9</v>
      </c>
      <c r="I7" s="1">
        <v>200</v>
      </c>
      <c r="J7" s="1">
        <v>380</v>
      </c>
      <c r="K7" s="3">
        <v>380</v>
      </c>
      <c r="L7" s="3">
        <v>60</v>
      </c>
      <c r="M7" s="1">
        <v>7.9999999999999996E-7</v>
      </c>
      <c r="N7" s="1">
        <v>4.1999999999999996E-6</v>
      </c>
      <c r="O7" s="1">
        <v>1E-4</v>
      </c>
      <c r="P7" s="1">
        <f t="shared" si="1"/>
        <v>4.9999999999999996E-6</v>
      </c>
      <c r="Q7" s="1">
        <v>4.9999999999999998E-8</v>
      </c>
      <c r="R7" s="1">
        <f t="shared" si="7"/>
        <v>5.0499999999999999E-6</v>
      </c>
      <c r="S7" s="1" t="s">
        <v>10</v>
      </c>
      <c r="T7" t="s">
        <v>11</v>
      </c>
      <c r="U7" t="s">
        <v>11</v>
      </c>
      <c r="V7" s="1" t="s">
        <v>11</v>
      </c>
      <c r="Y7" s="59" t="e">
        <f t="shared" si="2"/>
        <v>#DIV/0!</v>
      </c>
      <c r="AI7" s="43">
        <f t="shared" si="6"/>
        <v>0</v>
      </c>
      <c r="AN7" s="38" t="e">
        <f>(3/5)*(測定設定値!$B$2/(2*SIN(RADIANS(AJ7))))</f>
        <v>#DIV/0!</v>
      </c>
      <c r="AO7" s="38" t="e">
        <f>(5 / 2)*(3/5)*(測定設定値!$B$2/(2*SIN(RADIANS(AK7))))</f>
        <v>#DIV/0!</v>
      </c>
      <c r="AP7" s="59" t="e">
        <f t="shared" si="3"/>
        <v>#DIV/0!</v>
      </c>
      <c r="AQ7" s="50"/>
      <c r="AR7" s="50"/>
      <c r="AS7" s="50"/>
      <c r="AT7" s="50"/>
      <c r="AU7" s="50"/>
      <c r="AV7" s="50" t="e">
        <f>0.1*(1/2)*測定設定値!$B$2/((SIN(RADIANS(AR7/2)-SIN(RADIANS(AQ7/2)))))</f>
        <v>#DIV/0!</v>
      </c>
      <c r="AW7" s="50" t="e">
        <f>0.1*(3/4)*測定設定値!$B$2/(SIN(RADIANS(AS7/2))-(SIN(RADIANS(AR7/2))))</f>
        <v>#DIV/0!</v>
      </c>
      <c r="AX7" s="50" t="e">
        <f>0.1*(3/4)*測定設定値!$B$2/(SIN(RADIANS(AT7/2))-(SIN(RADIANS(AS7/2))))</f>
        <v>#DIV/0!</v>
      </c>
      <c r="AY7" s="50" t="e">
        <f>0.1*(1/2)*測定設定値!$B$2/((SIN(RADIANS(AU7/2)-SIN(RADIANS(AT7/2)))))</f>
        <v>#DIV/0!</v>
      </c>
      <c r="AZ7" s="50"/>
      <c r="BA7" s="50"/>
      <c r="BB7" s="50"/>
      <c r="BC7" s="50"/>
      <c r="BD7" s="50"/>
      <c r="BE7" s="50"/>
      <c r="BF7" s="50" t="e">
        <f>0.1*(3/4)*測定設定値!$B$2/(SIN(RADIANS(BB7/2))-(SIN(RADIANS(BA7/2))))</f>
        <v>#DIV/0!</v>
      </c>
      <c r="BG7" s="50" t="e">
        <f>0.1*(3/4)*測定設定値!$B$2/(SIN(RADIANS(BC7/2))-(SIN(RADIANS(BB7/2))))</f>
        <v>#DIV/0!</v>
      </c>
      <c r="BH7" s="50"/>
      <c r="BI7" s="50" t="e">
        <f t="shared" si="4"/>
        <v>#DIV/0!</v>
      </c>
      <c r="BJ7" s="50" t="e">
        <f t="shared" si="5"/>
        <v>#DIV/0!</v>
      </c>
      <c r="BK7" s="55" t="e">
        <f>AVERAGE(AX7,AW7)/L7</f>
        <v>#DIV/0!</v>
      </c>
    </row>
    <row r="8" spans="1:78" s="12" customFormat="1">
      <c r="A8" s="12" t="s">
        <v>36</v>
      </c>
      <c r="B8" s="12" t="s">
        <v>29</v>
      </c>
      <c r="C8" s="12" t="s">
        <v>172</v>
      </c>
      <c r="D8" s="12">
        <v>8.0000000000000002E-3</v>
      </c>
      <c r="E8" s="12">
        <v>0.84</v>
      </c>
      <c r="F8" s="13">
        <f t="shared" si="8"/>
        <v>7.9681274900398422E-3</v>
      </c>
      <c r="G8" s="14">
        <f t="shared" si="0"/>
        <v>0.84</v>
      </c>
      <c r="H8" s="12" t="s">
        <v>9</v>
      </c>
      <c r="I8" s="14">
        <v>200</v>
      </c>
      <c r="J8" s="14">
        <v>380</v>
      </c>
      <c r="K8" s="15">
        <v>380</v>
      </c>
      <c r="L8" s="15">
        <v>60</v>
      </c>
      <c r="M8" s="14">
        <v>7.9999999999999996E-7</v>
      </c>
      <c r="N8" s="14">
        <v>4.1999999999999996E-6</v>
      </c>
      <c r="O8" s="14">
        <v>1E-4</v>
      </c>
      <c r="P8" s="14">
        <f t="shared" si="1"/>
        <v>4.9999999999999996E-6</v>
      </c>
      <c r="Q8" s="14">
        <v>2E-8</v>
      </c>
      <c r="R8" s="14">
        <f t="shared" si="7"/>
        <v>5.0199999999999994E-6</v>
      </c>
      <c r="S8" s="14" t="s">
        <v>10</v>
      </c>
      <c r="T8" s="12" t="s">
        <v>11</v>
      </c>
      <c r="U8" s="12" t="s">
        <v>11</v>
      </c>
      <c r="V8" s="14" t="s">
        <v>11</v>
      </c>
      <c r="W8" s="16">
        <v>-305.30664369551403</v>
      </c>
      <c r="X8" s="14">
        <v>-1278230095314.6699</v>
      </c>
      <c r="Y8" s="60">
        <f>0.0001/(1.602E-19*X8)</f>
        <v>-488.34691628008716</v>
      </c>
      <c r="Z8" s="17">
        <v>3.1744996093749998E-2</v>
      </c>
      <c r="AA8" s="17">
        <v>2763.1212350000001</v>
      </c>
      <c r="AB8" s="34">
        <v>1.0494187488864699E-5</v>
      </c>
      <c r="AC8" s="34">
        <v>6.0727414251169998E-5</v>
      </c>
      <c r="AD8" s="12">
        <v>15989.537833533701</v>
      </c>
      <c r="AE8" s="44">
        <v>0.11691904468651999</v>
      </c>
      <c r="AF8" s="12">
        <v>14</v>
      </c>
      <c r="AG8" s="17">
        <v>17.1793216341377</v>
      </c>
      <c r="AH8" s="17">
        <v>1.95519535983088</v>
      </c>
      <c r="AI8" s="44">
        <f t="shared" si="6"/>
        <v>0.28632202723562833</v>
      </c>
      <c r="AJ8" s="12">
        <v>8.6929999999999996</v>
      </c>
      <c r="AK8" s="12">
        <v>22.257999999999999</v>
      </c>
      <c r="AL8" s="12">
        <v>0.127</v>
      </c>
      <c r="AM8" s="12">
        <v>0.109</v>
      </c>
      <c r="AN8" s="39">
        <f>(3/5)*(測定設定値!$B$2/(2*SIN(RADIANS(AJ8))))</f>
        <v>3.0579544897032505</v>
      </c>
      <c r="AO8" s="39">
        <f>(5 / 2)*(3/5)*(測定設定値!$B$2/(2*SIN(RADIANS(AK8))))</f>
        <v>3.0504648564995529</v>
      </c>
      <c r="AP8" s="60">
        <f t="shared" si="3"/>
        <v>3.0542096731014015</v>
      </c>
      <c r="AQ8" s="51">
        <v>15.0352112676056</v>
      </c>
      <c r="AR8" s="51">
        <v>16.015999999999998</v>
      </c>
      <c r="AS8" s="51">
        <v>17.366</v>
      </c>
      <c r="AT8" s="51">
        <v>18.832000000000001</v>
      </c>
      <c r="AU8" s="51">
        <v>19.8169014084507</v>
      </c>
      <c r="AV8" s="51">
        <f>0.1*(1/2)*測定設定値!$B$2/((SIN(RADIANS(AR8/2)-SIN(RADIANS(AQ8/2)))))</f>
        <v>8.6211280027145829</v>
      </c>
      <c r="AW8" s="51">
        <f>0.1*(3/4)*測定設定値!$B$2/(SIN(RADIANS(AS8/2))-(SIN(RADIANS(AR8/2))))</f>
        <v>9.9127761695380432</v>
      </c>
      <c r="AX8" s="51">
        <f>0.1*(3/4)*測定設定値!$B$2/(SIN(RADIANS(AT8/2))-(SIN(RADIANS(AS8/2))))</f>
        <v>9.1455931615944159</v>
      </c>
      <c r="AY8" s="51">
        <f>0.1*(1/2)*測定設定値!$B$2/((SIN(RADIANS(AU8/2)-SIN(RADIANS(AT8/2)))))</f>
        <v>8.2530612784498558</v>
      </c>
      <c r="AZ8" s="51">
        <v>41.690140845070403</v>
      </c>
      <c r="BA8" s="51">
        <v>42.927999999999997</v>
      </c>
      <c r="BB8" s="51">
        <v>44.52</v>
      </c>
      <c r="BC8" s="51">
        <v>46.195999999999998</v>
      </c>
      <c r="BD8" s="51">
        <v>47.323943661971803</v>
      </c>
      <c r="BE8" s="51"/>
      <c r="BF8" s="51">
        <f>0.1*(3/4)*測定設定値!$B$2/(SIN(RADIANS(BB8/2))-(SIN(RADIANS(BA8/2))))</f>
        <v>8.9614159132747826</v>
      </c>
      <c r="BG8" s="51">
        <f>0.1*(3/4)*測定設定値!$B$2/(SIN(RADIANS(BC8/2))-(SIN(RADIANS(BB8/2))))</f>
        <v>8.5621379473979928</v>
      </c>
      <c r="BH8" s="51"/>
      <c r="BI8" s="51">
        <f t="shared" si="4"/>
        <v>8.9093520788282792</v>
      </c>
      <c r="BJ8" s="51">
        <f t="shared" si="5"/>
        <v>0.58304867440692121</v>
      </c>
      <c r="BK8" s="54">
        <f>AVERAGE(AX8,AW8)/L8</f>
        <v>0.15881974442610383</v>
      </c>
    </row>
    <row r="9" spans="1:78" s="12" customFormat="1">
      <c r="A9" s="12" t="s">
        <v>37</v>
      </c>
      <c r="B9" s="12" t="s">
        <v>29</v>
      </c>
      <c r="C9" s="30" t="s">
        <v>135</v>
      </c>
      <c r="D9" s="12">
        <v>0.05</v>
      </c>
      <c r="E9" s="12">
        <v>0.84</v>
      </c>
      <c r="F9" s="13">
        <f t="shared" si="8"/>
        <v>4.9921996879875197E-2</v>
      </c>
      <c r="G9" s="14">
        <f t="shared" si="0"/>
        <v>0.84</v>
      </c>
      <c r="H9" s="12" t="s">
        <v>9</v>
      </c>
      <c r="I9" s="14">
        <v>200</v>
      </c>
      <c r="J9" s="14">
        <v>380</v>
      </c>
      <c r="K9" s="15">
        <v>380</v>
      </c>
      <c r="L9" s="15">
        <v>60</v>
      </c>
      <c r="M9" s="14">
        <v>7.9999999999999996E-7</v>
      </c>
      <c r="N9" s="14">
        <v>4.1999999999999996E-6</v>
      </c>
      <c r="O9" s="14">
        <v>1E-4</v>
      </c>
      <c r="P9" s="14">
        <f t="shared" si="1"/>
        <v>4.9999999999999996E-6</v>
      </c>
      <c r="Q9" s="14">
        <v>1.2800000000000001E-7</v>
      </c>
      <c r="R9" s="14">
        <f t="shared" si="7"/>
        <v>5.1279999999999999E-6</v>
      </c>
      <c r="S9" s="14" t="s">
        <v>10</v>
      </c>
      <c r="T9" s="12" t="s">
        <v>11</v>
      </c>
      <c r="U9" s="12" t="s">
        <v>11</v>
      </c>
      <c r="V9" s="14" t="s">
        <v>11</v>
      </c>
      <c r="W9" s="16" t="s">
        <v>173</v>
      </c>
      <c r="X9" s="14">
        <v>155548361995661</v>
      </c>
      <c r="Y9" s="60">
        <f t="shared" si="2"/>
        <v>4.0130266711566751</v>
      </c>
      <c r="Z9" s="12">
        <v>0.23294083593750001</v>
      </c>
      <c r="AA9" s="12">
        <v>371.37912321613601</v>
      </c>
      <c r="AB9" s="34">
        <v>8.4517562986093299E-6</v>
      </c>
      <c r="AC9" s="34">
        <v>1.5061980629240001E-4</v>
      </c>
      <c r="AD9" s="12">
        <v>6618.3938134958498</v>
      </c>
      <c r="AE9" s="44">
        <v>5.6257526242882001E-2</v>
      </c>
      <c r="AF9" s="12">
        <v>160</v>
      </c>
      <c r="AG9" s="17">
        <v>17.190142894535999</v>
      </c>
      <c r="AH9" s="17">
        <v>5.4666523414203301</v>
      </c>
      <c r="AI9" s="44">
        <f t="shared" si="6"/>
        <v>0.28650238157559998</v>
      </c>
      <c r="AJ9" s="12">
        <v>8.8460000000000001</v>
      </c>
      <c r="AK9" s="12">
        <v>22.597000000000001</v>
      </c>
      <c r="AL9" s="12">
        <v>0.501</v>
      </c>
      <c r="AM9" s="12">
        <v>0.34200000000000003</v>
      </c>
      <c r="AN9" s="39">
        <f>(3/5)*(測定設定値!$B$2/(2*SIN(RADIANS(AJ9))))</f>
        <v>3.0054743268454214</v>
      </c>
      <c r="AO9" s="39">
        <f>(5 / 2)*(3/5)*(測定設定値!$B$2/(2*SIN(RADIANS(AK9))))</f>
        <v>3.0070463822560498</v>
      </c>
      <c r="AP9" s="60">
        <f t="shared" si="3"/>
        <v>3.0062603545507356</v>
      </c>
      <c r="AQ9" s="51">
        <v>16.197183098591498</v>
      </c>
      <c r="AR9" s="51">
        <v>16.756</v>
      </c>
      <c r="AS9" s="51">
        <v>17.684000000000001</v>
      </c>
      <c r="AT9" s="51">
        <v>18.68</v>
      </c>
      <c r="AU9" s="51"/>
      <c r="AV9" s="51">
        <f>0.1*(1/2)*測定設定値!$B$2/((SIN(RADIANS(AR9/2)-SIN(RADIANS(AQ9/2)))))</f>
        <v>14.406825656282692</v>
      </c>
      <c r="AW9" s="51">
        <f>0.1*(3/4)*測定設定値!$B$2/(SIN(RADIANS(AS9/2))-(SIN(RADIANS(AR9/2))))</f>
        <v>14.430407745635273</v>
      </c>
      <c r="AX9" s="51">
        <f>0.1*(3/4)*測定設定値!$B$2/(SIN(RADIANS(AT9/2))-(SIN(RADIANS(AS9/2))))</f>
        <v>13.462791903392999</v>
      </c>
      <c r="AY9" s="51"/>
      <c r="AZ9" s="51"/>
      <c r="BA9" s="51">
        <v>44.154929577464699</v>
      </c>
      <c r="BB9" s="51">
        <v>45.211267605633701</v>
      </c>
      <c r="BC9" s="51">
        <v>46.267605633802802</v>
      </c>
      <c r="BD9" s="51"/>
      <c r="BE9" s="51"/>
      <c r="BF9" s="51">
        <f>0.1*(3/4)*測定設定値!$B$2/(SIN(RADIANS(BB9/2))-(SIN(RADIANS(BA9/2))))</f>
        <v>13.551611953880675</v>
      </c>
      <c r="BG9" s="51">
        <f>0.1*(3/4)*測定設定値!$B$2/(SIN(RADIANS(BC9/2))-(SIN(RADIANS(BB9/2))))</f>
        <v>13.603727038106779</v>
      </c>
      <c r="BH9" s="51"/>
      <c r="BI9" s="51">
        <f t="shared" si="4"/>
        <v>13.891072859459683</v>
      </c>
      <c r="BJ9" s="51">
        <f t="shared" si="5"/>
        <v>0.48428012855982455</v>
      </c>
      <c r="BK9" s="54">
        <f>AVERAGE(AX9,AW9)/L9</f>
        <v>0.23244333040856893</v>
      </c>
    </row>
    <row r="10" spans="1:78" s="12" customFormat="1">
      <c r="A10" s="12" t="s">
        <v>38</v>
      </c>
      <c r="B10" s="12" t="s">
        <v>29</v>
      </c>
      <c r="C10" s="12" t="s">
        <v>136</v>
      </c>
      <c r="D10" s="12">
        <v>0.02</v>
      </c>
      <c r="E10" s="12">
        <v>0.78</v>
      </c>
      <c r="F10" s="13">
        <f t="shared" si="8"/>
        <v>1.9874861980125141E-2</v>
      </c>
      <c r="G10" s="14">
        <f t="shared" si="0"/>
        <v>0.78066914498141271</v>
      </c>
      <c r="H10" s="12" t="s">
        <v>9</v>
      </c>
      <c r="I10" s="14">
        <v>200</v>
      </c>
      <c r="J10" s="14">
        <v>380</v>
      </c>
      <c r="K10" s="15">
        <v>380</v>
      </c>
      <c r="L10" s="15">
        <v>60</v>
      </c>
      <c r="M10" s="14">
        <v>1.1799999999999999E-6</v>
      </c>
      <c r="N10" s="14">
        <v>4.1999999999999996E-6</v>
      </c>
      <c r="O10" s="14">
        <v>1E-4</v>
      </c>
      <c r="P10" s="14">
        <f t="shared" si="1"/>
        <v>5.3799999999999993E-6</v>
      </c>
      <c r="Q10" s="14">
        <v>5.4E-8</v>
      </c>
      <c r="R10" s="14">
        <f t="shared" si="7"/>
        <v>5.4339999999999991E-6</v>
      </c>
      <c r="S10" s="14" t="s">
        <v>19</v>
      </c>
      <c r="T10" s="12" t="s">
        <v>11</v>
      </c>
      <c r="U10" s="12" t="s">
        <v>11</v>
      </c>
      <c r="V10" s="14" t="s">
        <v>11</v>
      </c>
      <c r="W10" s="16">
        <v>99.338542634054406</v>
      </c>
      <c r="X10" s="14">
        <v>5308635767597.7598</v>
      </c>
      <c r="Y10" s="60">
        <f t="shared" si="2"/>
        <v>117.58571366929361</v>
      </c>
      <c r="Z10" s="12">
        <v>7.7795871826171897E-2</v>
      </c>
      <c r="AA10" s="12">
        <v>4274.6114694651096</v>
      </c>
      <c r="AB10" s="34">
        <v>2.7013482771831101E-5</v>
      </c>
      <c r="AC10" s="34">
        <v>7.47648943832751E-5</v>
      </c>
      <c r="AD10" s="12">
        <v>11830.791229087799</v>
      </c>
      <c r="AE10" s="44">
        <v>0.36004181685085102</v>
      </c>
      <c r="AF10" s="12">
        <v>50</v>
      </c>
      <c r="AG10" s="17">
        <v>20.2210802590212</v>
      </c>
      <c r="AH10" s="17">
        <v>3.1219335467985201</v>
      </c>
      <c r="AI10" s="44">
        <f t="shared" si="6"/>
        <v>0.33701800431702</v>
      </c>
      <c r="AJ10" s="12">
        <v>8.7759999999999998</v>
      </c>
      <c r="AK10" s="12">
        <v>22.382999999999999</v>
      </c>
      <c r="AL10" s="12">
        <v>0.21199999999999999</v>
      </c>
      <c r="AM10" s="12">
        <v>0.14699999999999999</v>
      </c>
      <c r="AN10" s="39">
        <f>(3/5)*(測定設定値!$B$2/(2*SIN(RADIANS(AJ10))))</f>
        <v>3.0292568718367856</v>
      </c>
      <c r="AO10" s="39">
        <f>(5 / 2)*(3/5)*(測定設定値!$B$2/(2*SIN(RADIANS(AK10))))</f>
        <v>3.0342975630896918</v>
      </c>
      <c r="AP10" s="60">
        <f t="shared" si="3"/>
        <v>3.0317772174632385</v>
      </c>
      <c r="AQ10" s="51">
        <v>16.028169014084501</v>
      </c>
      <c r="AR10" s="51">
        <v>16.408000000000001</v>
      </c>
      <c r="AS10" s="51">
        <v>17.571999999999999</v>
      </c>
      <c r="AT10" s="51">
        <v>18.4366197183098</v>
      </c>
      <c r="AU10" s="51">
        <v>18.985915492957702</v>
      </c>
      <c r="AV10" s="51">
        <f>0.1*(1/2)*測定設定値!$B$2/((SIN(RADIANS(AR10/2)-SIN(RADIANS(AQ10/2)))))</f>
        <v>20.430830679715704</v>
      </c>
      <c r="AW10" s="51">
        <f>0.1*(3/4)*測定設定値!$B$2/(SIN(RADIANS(AS10/2))-(SIN(RADIANS(AR10/2))))</f>
        <v>11.501200857726605</v>
      </c>
      <c r="AX10" s="51">
        <f>0.1*(3/4)*測定設定値!$B$2/(SIN(RADIANS(AT10/2))-(SIN(RADIANS(AS10/2))))</f>
        <v>15.50464318098903</v>
      </c>
      <c r="AY10" s="51">
        <f>0.1*(1/2)*測定設定値!$B$2/((SIN(RADIANS(AU10/2)-SIN(RADIANS(AT10/2)))))</f>
        <v>14.039373668300534</v>
      </c>
      <c r="AZ10" s="51">
        <v>43.098591549295698</v>
      </c>
      <c r="BA10" s="51">
        <v>43.830985915492903</v>
      </c>
      <c r="BB10" s="51">
        <v>44.82</v>
      </c>
      <c r="BC10" s="51">
        <v>45.802816901408399</v>
      </c>
      <c r="BD10" s="51">
        <v>46.478873239436602</v>
      </c>
      <c r="BE10" s="51"/>
      <c r="BF10" s="51">
        <f>0.1*(3/4)*測定設定値!$B$2/(SIN(RADIANS(BB10/2))-(SIN(RADIANS(BA10/2))))</f>
        <v>14.455618470962841</v>
      </c>
      <c r="BG10" s="51">
        <f>0.1*(3/4)*測定設定値!$B$2/(SIN(RADIANS(BC10/2))-(SIN(RADIANS(BB10/2))))</f>
        <v>14.59846968402689</v>
      </c>
      <c r="BH10" s="51"/>
      <c r="BI10" s="51">
        <f t="shared" si="4"/>
        <v>15.088356090286936</v>
      </c>
      <c r="BJ10" s="51">
        <f t="shared" si="5"/>
        <v>2.9435937916310531</v>
      </c>
      <c r="BK10" s="54">
        <f>AVERAGE(AX10,AW10)/L10</f>
        <v>0.2250487003226303</v>
      </c>
    </row>
    <row r="11" spans="1:78">
      <c r="A11" t="s">
        <v>39</v>
      </c>
      <c r="B11" t="s">
        <v>29</v>
      </c>
      <c r="C11" s="49" t="s">
        <v>185</v>
      </c>
      <c r="D11" s="2">
        <v>1.2E-2</v>
      </c>
      <c r="E11">
        <v>0.84</v>
      </c>
      <c r="F11" s="2">
        <f t="shared" si="8"/>
        <v>1.1967952923401125E-2</v>
      </c>
      <c r="G11" s="1">
        <f t="shared" si="0"/>
        <v>0.84</v>
      </c>
      <c r="H11" t="s">
        <v>9</v>
      </c>
      <c r="I11" s="1">
        <v>200</v>
      </c>
      <c r="J11" s="1">
        <v>380</v>
      </c>
      <c r="K11" s="3">
        <v>380</v>
      </c>
      <c r="L11" s="3">
        <v>60</v>
      </c>
      <c r="M11" s="1">
        <v>7.9999999999999996E-7</v>
      </c>
      <c r="N11" s="1">
        <v>4.1999999999999996E-6</v>
      </c>
      <c r="O11" s="1">
        <v>1E-4</v>
      </c>
      <c r="P11" s="1">
        <f t="shared" si="1"/>
        <v>4.9999999999999996E-6</v>
      </c>
      <c r="Q11" s="1">
        <v>3.0099999999999998E-8</v>
      </c>
      <c r="R11" s="1">
        <f t="shared" si="7"/>
        <v>5.0300999999999995E-6</v>
      </c>
      <c r="S11" s="1" t="s">
        <v>26</v>
      </c>
      <c r="T11" t="s">
        <v>11</v>
      </c>
      <c r="U11" t="s">
        <v>11</v>
      </c>
      <c r="V11" s="1" t="s">
        <v>11</v>
      </c>
      <c r="Y11" s="59" t="e">
        <f t="shared" si="2"/>
        <v>#DIV/0!</v>
      </c>
      <c r="AI11" s="43">
        <f t="shared" si="6"/>
        <v>0</v>
      </c>
      <c r="AN11" s="38" t="e">
        <f>(3/5)*(測定設定値!$B$2/(2*SIN(RADIANS(AJ11))))</f>
        <v>#DIV/0!</v>
      </c>
      <c r="AO11" s="38" t="e">
        <f>(5 / 2)*(3/5)*(測定設定値!$B$2/(2*SIN(RADIANS(AK11))))</f>
        <v>#DIV/0!</v>
      </c>
      <c r="AP11" s="59" t="e">
        <f t="shared" si="3"/>
        <v>#DIV/0!</v>
      </c>
      <c r="AQ11" s="50"/>
      <c r="AR11" s="50"/>
      <c r="AS11" s="50"/>
      <c r="AT11" s="50"/>
      <c r="AU11" s="50"/>
      <c r="AV11" s="50" t="e">
        <f>0.1*(1/2)*測定設定値!$B$2/((SIN(RADIANS(AR11/2)-SIN(RADIANS(AQ11/2)))))</f>
        <v>#DIV/0!</v>
      </c>
      <c r="AW11" s="50" t="e">
        <f>0.1*(3/4)*測定設定値!$B$2/(SIN(RADIANS(AS11/2))-(SIN(RADIANS(AR11/2))))</f>
        <v>#DIV/0!</v>
      </c>
      <c r="AX11" s="50" t="e">
        <f>0.1*(3/4)*測定設定値!$B$2/(SIN(RADIANS(AT11/2))-(SIN(RADIANS(AS11/2))))</f>
        <v>#DIV/0!</v>
      </c>
      <c r="AY11" s="50" t="e">
        <f>0.1*(1/2)*測定設定値!$B$2/((SIN(RADIANS(AU11/2)-SIN(RADIANS(AT11/2)))))</f>
        <v>#DIV/0!</v>
      </c>
      <c r="AZ11" s="50"/>
      <c r="BA11" s="50"/>
      <c r="BB11" s="50"/>
      <c r="BC11" s="50"/>
      <c r="BD11" s="50"/>
      <c r="BE11" s="50"/>
      <c r="BF11" s="50" t="e">
        <f>0.1*(3/4)*測定設定値!$B$2/(SIN(RADIANS(BB11/2))-(SIN(RADIANS(BA11/2))))</f>
        <v>#DIV/0!</v>
      </c>
      <c r="BG11" s="50" t="e">
        <f>0.1*(3/4)*測定設定値!$B$2/(SIN(RADIANS(BC11/2))-(SIN(RADIANS(BB11/2))))</f>
        <v>#DIV/0!</v>
      </c>
      <c r="BH11" s="50"/>
      <c r="BI11" s="50" t="e">
        <f t="shared" si="4"/>
        <v>#DIV/0!</v>
      </c>
      <c r="BJ11" s="50" t="e">
        <f t="shared" si="5"/>
        <v>#DIV/0!</v>
      </c>
      <c r="BK11" s="55" t="e">
        <f>AVERAGE(AX11,AW11)/L11</f>
        <v>#DIV/0!</v>
      </c>
    </row>
    <row r="12" spans="1:78" s="12" customFormat="1">
      <c r="A12" s="12" t="s">
        <v>40</v>
      </c>
      <c r="B12" s="12" t="s">
        <v>29</v>
      </c>
      <c r="C12" s="12" t="s">
        <v>135</v>
      </c>
      <c r="D12" s="13">
        <v>1.2E-2</v>
      </c>
      <c r="E12" s="12">
        <v>0.84</v>
      </c>
      <c r="F12" s="13">
        <f t="shared" si="8"/>
        <v>1.1967952923401125E-2</v>
      </c>
      <c r="G12" s="14">
        <f>N12/P12</f>
        <v>0.84</v>
      </c>
      <c r="H12" s="12" t="s">
        <v>9</v>
      </c>
      <c r="I12" s="14">
        <v>200</v>
      </c>
      <c r="J12" s="14">
        <v>380</v>
      </c>
      <c r="K12" s="15">
        <v>380</v>
      </c>
      <c r="L12" s="15">
        <v>60</v>
      </c>
      <c r="M12" s="14">
        <v>7.9999999999999996E-7</v>
      </c>
      <c r="N12" s="14">
        <v>4.1999999999999996E-6</v>
      </c>
      <c r="O12" s="14">
        <v>1E-4</v>
      </c>
      <c r="P12" s="14">
        <f t="shared" si="1"/>
        <v>4.9999999999999996E-6</v>
      </c>
      <c r="Q12" s="14">
        <v>3.0099999999999998E-8</v>
      </c>
      <c r="R12" s="14">
        <f t="shared" si="7"/>
        <v>5.0300999999999995E-6</v>
      </c>
      <c r="S12" s="14" t="s">
        <v>26</v>
      </c>
      <c r="T12" s="12" t="s">
        <v>11</v>
      </c>
      <c r="U12" s="12" t="s">
        <v>11</v>
      </c>
      <c r="V12" s="14" t="s">
        <v>11</v>
      </c>
      <c r="W12" s="16">
        <v>67.6864313786525</v>
      </c>
      <c r="X12" s="14">
        <v>4604462169087.9404</v>
      </c>
      <c r="Y12" s="60">
        <f t="shared" si="2"/>
        <v>135.56843392785817</v>
      </c>
      <c r="Z12" s="12">
        <v>8.0944776367187499E-2</v>
      </c>
      <c r="AA12" s="12">
        <v>6891.8458486109103</v>
      </c>
      <c r="AB12" s="34">
        <v>1.5363399375031101E-5</v>
      </c>
      <c r="AC12" s="34">
        <v>4.4645044266503498E-5</v>
      </c>
      <c r="AD12" s="12">
        <v>20027.257996639099</v>
      </c>
      <c r="AE12" s="44">
        <v>0.29591210993696299</v>
      </c>
      <c r="AF12" s="12">
        <v>18</v>
      </c>
      <c r="AG12" s="17">
        <v>8.0175873544003302</v>
      </c>
      <c r="AH12" s="17">
        <v>1.7472164795521099</v>
      </c>
      <c r="AI12" s="44">
        <f t="shared" si="6"/>
        <v>0.13362645590667216</v>
      </c>
      <c r="AJ12" s="12">
        <v>8.7539999999999996</v>
      </c>
      <c r="AK12" s="12">
        <v>22.334</v>
      </c>
      <c r="AL12" s="12">
        <v>0.33</v>
      </c>
      <c r="AM12" s="12">
        <v>0.17299999999999999</v>
      </c>
      <c r="AN12" s="39">
        <f>(3/5)*(測定設定値!$B$2/(2*SIN(RADIANS(AJ12))))</f>
        <v>3.0368102552423006</v>
      </c>
      <c r="AO12" s="39">
        <f>(5 / 2)*(3/5)*(測定設定値!$B$2/(2*SIN(RADIANS(AK12))))</f>
        <v>3.0406129536204149</v>
      </c>
      <c r="AP12" s="60">
        <f t="shared" si="3"/>
        <v>3.0387116044313576</v>
      </c>
      <c r="AQ12" s="51">
        <v>15.54</v>
      </c>
      <c r="AR12" s="51">
        <v>16.367999999999999</v>
      </c>
      <c r="AS12" s="51">
        <v>17.495999999999999</v>
      </c>
      <c r="AT12" s="51">
        <v>18.652000000000001</v>
      </c>
      <c r="AU12" s="51">
        <v>19.324000000000002</v>
      </c>
      <c r="AV12" s="51">
        <f>0.1*(1/2)*測定設定値!$B$2/((SIN(RADIANS(AR12/2)-SIN(RADIANS(AQ12/2)))))</f>
        <v>10.081296827479276</v>
      </c>
      <c r="AW12" s="51">
        <f>0.1*(3/4)*測定設定値!$B$2/(SIN(RADIANS(AS12/2))-(SIN(RADIANS(AR12/2))))</f>
        <v>11.867361714148853</v>
      </c>
      <c r="AX12" s="51">
        <f>0.1*(3/4)*測定設定値!$B$2/(SIN(RADIANS(AT12/2))-(SIN(RADIANS(AS12/2))))</f>
        <v>11.59769849330578</v>
      </c>
      <c r="AY12" s="51">
        <f>0.1*(1/2)*測定設定値!$B$2/((SIN(RADIANS(AU12/2)-SIN(RADIANS(AT12/2)))))</f>
        <v>11.703044441657394</v>
      </c>
      <c r="AZ12" s="51">
        <v>42.591549295774598</v>
      </c>
      <c r="BA12" s="51">
        <v>43.4366197183098</v>
      </c>
      <c r="BB12" s="51">
        <v>44.676056338028097</v>
      </c>
      <c r="BC12" s="51">
        <v>45.971830985915403</v>
      </c>
      <c r="BD12" s="51">
        <v>46.873239436619698</v>
      </c>
      <c r="BE12" s="51"/>
      <c r="BF12" s="51">
        <f>0.1*(3/4)*測定設定値!$B$2/(SIN(RADIANS(BB12/2))-(SIN(RADIANS(BA12/2))))</f>
        <v>11.523953095820517</v>
      </c>
      <c r="BG12" s="51">
        <f>0.1*(3/4)*測定設定値!$B$2/(SIN(RADIANS(BC12/2))-(SIN(RADIANS(BB12/2))))</f>
        <v>11.073152614303094</v>
      </c>
      <c r="BH12" s="51"/>
      <c r="BI12" s="51">
        <f t="shared" si="4"/>
        <v>11.307751197785819</v>
      </c>
      <c r="BJ12" s="51">
        <f>STDEV(AV12,AW12,AX12,AY12,BF12,BG12)</f>
        <v>0.65718493460880212</v>
      </c>
      <c r="BK12" s="54">
        <f>AVERAGE(AX12,AW12)/L12</f>
        <v>0.1955421683954553</v>
      </c>
    </row>
    <row r="13" spans="1:78" s="12" customFormat="1">
      <c r="A13" s="12" t="s">
        <v>41</v>
      </c>
      <c r="B13" s="12" t="s">
        <v>29</v>
      </c>
      <c r="C13" s="12" t="s">
        <v>135</v>
      </c>
      <c r="D13" s="12">
        <v>1.6E-2</v>
      </c>
      <c r="E13" s="12">
        <v>0.84</v>
      </c>
      <c r="F13" s="13">
        <f t="shared" si="8"/>
        <v>1.5991111640180147E-2</v>
      </c>
      <c r="G13" s="14">
        <f t="shared" si="0"/>
        <v>0.84</v>
      </c>
      <c r="H13" s="12" t="s">
        <v>23</v>
      </c>
      <c r="I13" s="14">
        <v>200</v>
      </c>
      <c r="J13" s="14">
        <v>380</v>
      </c>
      <c r="K13" s="15">
        <v>380</v>
      </c>
      <c r="L13" s="15">
        <v>60</v>
      </c>
      <c r="M13" s="14">
        <v>7.9999999999999996E-7</v>
      </c>
      <c r="N13" s="14">
        <v>4.1999999999999996E-6</v>
      </c>
      <c r="O13" s="14">
        <v>1E-4</v>
      </c>
      <c r="P13" s="14">
        <f t="shared" si="1"/>
        <v>4.9999999999999996E-6</v>
      </c>
      <c r="Q13" s="14">
        <v>4.0299999999999997E-8</v>
      </c>
      <c r="R13" s="14">
        <f t="shared" si="7"/>
        <v>5.0402999999999998E-6</v>
      </c>
      <c r="S13" s="14" t="s">
        <v>26</v>
      </c>
      <c r="T13" s="12" t="s">
        <v>11</v>
      </c>
      <c r="U13" s="12" t="s">
        <v>11</v>
      </c>
      <c r="V13" s="14" t="s">
        <v>11</v>
      </c>
      <c r="W13" s="16">
        <v>321.37878935409998</v>
      </c>
      <c r="X13" s="14">
        <v>3415214511011.0601</v>
      </c>
      <c r="Y13" s="60">
        <f t="shared" si="2"/>
        <v>182.77613992642685</v>
      </c>
      <c r="Z13" s="12">
        <v>3.0233228027343802E-2</v>
      </c>
      <c r="AA13" s="12">
        <v>2692.32945620484</v>
      </c>
      <c r="AB13" s="34">
        <v>6.8004108351017104E-5</v>
      </c>
      <c r="AC13" s="34">
        <v>1.43645069114E-4</v>
      </c>
      <c r="AD13" s="12">
        <v>5687.0071557757701</v>
      </c>
      <c r="AE13" s="44">
        <v>0.44065424197365199</v>
      </c>
      <c r="AF13" s="12">
        <v>25</v>
      </c>
      <c r="AG13" s="17">
        <v>17.648782584254398</v>
      </c>
      <c r="AH13" s="17">
        <v>3.6803528245042401</v>
      </c>
      <c r="AI13" s="44">
        <f t="shared" si="6"/>
        <v>0.29414637640423996</v>
      </c>
      <c r="AJ13" s="12">
        <v>8.73</v>
      </c>
      <c r="AK13" s="12">
        <v>22.341000000000001</v>
      </c>
      <c r="AL13" s="12">
        <v>0.34899999999999998</v>
      </c>
      <c r="AM13" s="12">
        <v>0.19700000000000001</v>
      </c>
      <c r="AN13" s="39">
        <f>(3/5)*(測定設定値!$B$2/(2*SIN(RADIANS(AJ13))))</f>
        <v>3.0450939010644231</v>
      </c>
      <c r="AO13" s="39">
        <f>(5 / 2)*(3/5)*(測定設定値!$B$2/(2*SIN(RADIANS(AK13))))</f>
        <v>3.0397090097458657</v>
      </c>
      <c r="AP13" s="60">
        <f t="shared" si="3"/>
        <v>3.0424014554051446</v>
      </c>
      <c r="AQ13" s="51">
        <v>15.690140845070401</v>
      </c>
      <c r="AR13" s="51">
        <v>16.440000000000001</v>
      </c>
      <c r="AS13" s="51">
        <v>17.488</v>
      </c>
      <c r="AT13" s="51">
        <v>18.568000000000001</v>
      </c>
      <c r="AU13" s="51">
        <v>19.3239436619718</v>
      </c>
      <c r="AV13" s="51">
        <f>0.1*(1/2)*測定設定値!$B$2/((SIN(RADIANS(AR13/2)-SIN(RADIANS(AQ13/2)))))</f>
        <v>11.049846650170604</v>
      </c>
      <c r="AW13" s="51">
        <f>0.1*(3/4)*測定設定値!$B$2/(SIN(RADIANS(AS13/2))-(SIN(RADIANS(AR13/2))))</f>
        <v>12.773791576084287</v>
      </c>
      <c r="AX13" s="51">
        <f>0.1*(3/4)*測定設定値!$B$2/(SIN(RADIANS(AT13/2))-(SIN(RADIANS(AS13/2))))</f>
        <v>12.41303462351323</v>
      </c>
      <c r="AY13" s="51">
        <f>0.1*(1/2)*測定設定値!$B$2/((SIN(RADIANS(AU13/2)-SIN(RADIANS(AT13/2)))))</f>
        <v>10.544929747359397</v>
      </c>
      <c r="AZ13" s="51">
        <v>42.6478873239436</v>
      </c>
      <c r="BA13" s="51">
        <v>43.492957746478801</v>
      </c>
      <c r="BB13" s="51">
        <v>44.676056338028097</v>
      </c>
      <c r="BC13" s="51">
        <v>45.8591549295774</v>
      </c>
      <c r="BD13" s="51"/>
      <c r="BE13" s="51"/>
      <c r="BF13" s="51">
        <f>0.1*(3/4)*測定設定値!$B$2/(SIN(RADIANS(BB13/2))-(SIN(RADIANS(BA13/2))))</f>
        <v>12.073908759426836</v>
      </c>
      <c r="BG13" s="51">
        <f>0.1*(3/4)*測定設定値!$B$2/(SIN(RADIANS(BC13/2))-(SIN(RADIANS(BB13/2))))</f>
        <v>12.125240285607248</v>
      </c>
      <c r="BH13" s="51"/>
      <c r="BI13" s="51">
        <f t="shared" si="4"/>
        <v>11.830125273693602</v>
      </c>
      <c r="BJ13" s="51">
        <f t="shared" si="5"/>
        <v>0.85292144184377072</v>
      </c>
      <c r="BK13" s="54">
        <f>AVERAGE(AX13,AW13)/L13</f>
        <v>0.20989021832997931</v>
      </c>
      <c r="BZ13" s="12" t="s">
        <v>20</v>
      </c>
    </row>
    <row r="14" spans="1:78" s="6" customFormat="1">
      <c r="A14" s="6" t="s">
        <v>42</v>
      </c>
      <c r="B14" s="6" t="s">
        <v>83</v>
      </c>
      <c r="C14" s="31" t="s">
        <v>138</v>
      </c>
      <c r="D14" s="6">
        <v>0.02</v>
      </c>
      <c r="E14" s="6">
        <v>0.72</v>
      </c>
      <c r="F14" s="7">
        <f>2*Q14/(Q14+M14+N14)</f>
        <v>1.9801980198019806E-2</v>
      </c>
      <c r="G14" s="8">
        <f t="shared" si="0"/>
        <v>0.72</v>
      </c>
      <c r="H14" s="6" t="s">
        <v>23</v>
      </c>
      <c r="I14" s="8">
        <v>200</v>
      </c>
      <c r="J14" s="8">
        <v>380</v>
      </c>
      <c r="K14" s="9">
        <v>380</v>
      </c>
      <c r="L14" s="9">
        <v>60</v>
      </c>
      <c r="M14" s="8">
        <f>(M13+N13)*(1-E14)</f>
        <v>1.3999999999999999E-6</v>
      </c>
      <c r="N14" s="8">
        <f>(M13+N13)*E14</f>
        <v>3.5999999999999994E-6</v>
      </c>
      <c r="O14" s="8">
        <v>1E-4</v>
      </c>
      <c r="P14" s="8">
        <f t="shared" si="1"/>
        <v>4.9999999999999996E-6</v>
      </c>
      <c r="Q14" s="8">
        <v>4.9999999999999998E-8</v>
      </c>
      <c r="R14" s="8">
        <f t="shared" si="7"/>
        <v>5.0499999999999999E-6</v>
      </c>
      <c r="S14" s="8" t="s">
        <v>67</v>
      </c>
      <c r="T14" s="6" t="s">
        <v>11</v>
      </c>
      <c r="U14" s="6" t="s">
        <v>11</v>
      </c>
      <c r="W14" s="10"/>
      <c r="X14" s="8"/>
      <c r="Y14" s="61" t="e">
        <f t="shared" si="2"/>
        <v>#DIV/0!</v>
      </c>
      <c r="Z14" s="11"/>
      <c r="AA14" s="11"/>
      <c r="AB14" s="35"/>
      <c r="AC14" s="35"/>
      <c r="AD14" s="11"/>
      <c r="AE14" s="45"/>
      <c r="AG14" s="11">
        <v>14.2738372925712</v>
      </c>
      <c r="AH14" s="11">
        <v>3.2068271957018601</v>
      </c>
      <c r="AI14" s="45">
        <f t="shared" si="6"/>
        <v>0.23789728820952</v>
      </c>
      <c r="AJ14" s="6">
        <v>8.6880000000000006</v>
      </c>
      <c r="AK14" s="6">
        <v>22.215</v>
      </c>
      <c r="AL14" s="6">
        <v>0.373</v>
      </c>
      <c r="AM14" s="6">
        <v>0.214</v>
      </c>
      <c r="AN14" s="40">
        <f>(3/5)*(測定設定値!$B$2/(2*SIN(RADIANS(AJ14))))</f>
        <v>3.0597008416457872</v>
      </c>
      <c r="AO14" s="40">
        <f>(5 / 2)*(3/5)*(測定設定値!$B$2/(2*SIN(RADIANS(AK14))))</f>
        <v>3.0560696778785923</v>
      </c>
      <c r="AP14" s="61">
        <f t="shared" si="3"/>
        <v>3.0578852597621897</v>
      </c>
      <c r="AQ14" s="52">
        <v>15.7746478873239</v>
      </c>
      <c r="AR14" s="52">
        <v>16.408450704225299</v>
      </c>
      <c r="AS14" s="52">
        <v>17.380281690140801</v>
      </c>
      <c r="AT14" s="52">
        <v>18.3943661971831</v>
      </c>
      <c r="AU14" s="52">
        <v>19.112676056338</v>
      </c>
      <c r="AV14" s="52">
        <f>0.1*(1/2)*測定設定値!$B$2/((SIN(RADIANS(AR14/2)-SIN(RADIANS(AQ14/2)))))</f>
        <v>12.91298350104433</v>
      </c>
      <c r="AW14" s="52">
        <f>0.1*(3/4)*測定設定値!$B$2/(SIN(RADIANS(AS14/2))-(SIN(RADIANS(AR14/2))))</f>
        <v>13.773708253922855</v>
      </c>
      <c r="AX14" s="52">
        <f>0.1*(3/4)*測定設定値!$B$2/(SIN(RADIANS(AT14/2))-(SIN(RADIANS(AS14/2))))</f>
        <v>13.217312038505188</v>
      </c>
      <c r="AY14" s="52">
        <f>0.1*(1/2)*測定設定値!$B$2/((SIN(RADIANS(AU14/2)-SIN(RADIANS(AT14/2)))))</f>
        <v>11.072523764961518</v>
      </c>
      <c r="AZ14" s="52"/>
      <c r="BA14" s="52"/>
      <c r="BB14" s="52">
        <v>44.450704225352098</v>
      </c>
      <c r="BC14" s="52">
        <v>45.5774647887323</v>
      </c>
      <c r="BD14" s="52"/>
      <c r="BE14" s="52"/>
      <c r="BF14" s="52">
        <f>0.1*(3/4)*測定設定値!$B$2/(SIN(RADIANS(BB14/2))-(SIN(RADIANS(BA14/2))))</f>
        <v>0.30547182961985736</v>
      </c>
      <c r="BG14" s="52">
        <f>0.1*(3/4)*測定設定値!$B$2/(SIN(RADIANS(BC14/2))-(SIN(RADIANS(BB14/2))))</f>
        <v>12.719794673460529</v>
      </c>
      <c r="BH14" s="52"/>
      <c r="BI14" s="52">
        <f t="shared" si="4"/>
        <v>10.666965676919046</v>
      </c>
      <c r="BJ14" s="52">
        <f t="shared" si="5"/>
        <v>5.1563524136651013</v>
      </c>
      <c r="BK14" s="56">
        <f>AVERAGE(AX14,AW14)/L14</f>
        <v>0.22492516910356702</v>
      </c>
      <c r="BZ14" s="6" t="s">
        <v>21</v>
      </c>
    </row>
    <row r="15" spans="1:78" s="6" customFormat="1">
      <c r="A15" s="6" t="s">
        <v>43</v>
      </c>
      <c r="B15" s="6" t="s">
        <v>83</v>
      </c>
      <c r="C15" s="32" t="s">
        <v>137</v>
      </c>
      <c r="D15" s="6">
        <v>1.6E-2</v>
      </c>
      <c r="E15" s="6">
        <v>0.72</v>
      </c>
      <c r="F15" s="7">
        <f t="shared" si="8"/>
        <v>1.5873015873015876E-2</v>
      </c>
      <c r="G15" s="8">
        <f t="shared" si="0"/>
        <v>0.72</v>
      </c>
      <c r="H15" s="6" t="s">
        <v>23</v>
      </c>
      <c r="I15" s="8">
        <v>200</v>
      </c>
      <c r="J15" s="8">
        <v>380</v>
      </c>
      <c r="K15" s="9">
        <v>380</v>
      </c>
      <c r="L15" s="9">
        <v>60</v>
      </c>
      <c r="M15" s="8">
        <f>(M14+N14)*(1-E15)</f>
        <v>1.3999999999999999E-6</v>
      </c>
      <c r="N15" s="8">
        <f>(M14+N14)*E15</f>
        <v>3.5999999999999994E-6</v>
      </c>
      <c r="O15" s="8">
        <v>1E-4</v>
      </c>
      <c r="P15" s="8">
        <f t="shared" si="1"/>
        <v>4.9999999999999996E-6</v>
      </c>
      <c r="Q15" s="8">
        <v>4.0000000000000001E-8</v>
      </c>
      <c r="R15" s="8">
        <f t="shared" si="7"/>
        <v>5.0399999999999992E-6</v>
      </c>
      <c r="S15" s="8" t="s">
        <v>67</v>
      </c>
      <c r="T15" s="6" t="s">
        <v>11</v>
      </c>
      <c r="U15" s="6" t="s">
        <v>11</v>
      </c>
      <c r="W15" s="10"/>
      <c r="X15" s="8"/>
      <c r="Y15" s="61" t="e">
        <f t="shared" si="2"/>
        <v>#DIV/0!</v>
      </c>
      <c r="Z15" s="11"/>
      <c r="AA15" s="11"/>
      <c r="AB15" s="35"/>
      <c r="AC15" s="35"/>
      <c r="AD15" s="11"/>
      <c r="AE15" s="45"/>
      <c r="AG15" s="11">
        <v>13.4497445986211</v>
      </c>
      <c r="AH15" s="11">
        <v>3.8846715850461</v>
      </c>
      <c r="AI15" s="45">
        <f t="shared" si="6"/>
        <v>0.22416240997701833</v>
      </c>
      <c r="AJ15" s="6">
        <v>8.6989999999999998</v>
      </c>
      <c r="AK15" s="6">
        <v>22.224</v>
      </c>
      <c r="AL15" s="6">
        <v>0.36499999999999999</v>
      </c>
      <c r="AM15" s="6">
        <v>0.191</v>
      </c>
      <c r="AN15" s="40">
        <f>(3/5)*(測定設定値!$B$2/(2*SIN(RADIANS(AJ15))))</f>
        <v>3.0558615276798666</v>
      </c>
      <c r="AO15" s="40">
        <f>(5 / 2)*(3/5)*(測定設定値!$B$2/(2*SIN(RADIANS(AK15))))</f>
        <v>3.0548947296718194</v>
      </c>
      <c r="AP15" s="61">
        <f t="shared" si="3"/>
        <v>3.055378128675843</v>
      </c>
      <c r="AQ15" s="52">
        <v>15.690140845070401</v>
      </c>
      <c r="AR15" s="52">
        <v>16.366197183098599</v>
      </c>
      <c r="AS15" s="52">
        <v>17.422535211267601</v>
      </c>
      <c r="AT15" s="52">
        <v>18.4366197183098</v>
      </c>
      <c r="AU15" s="52">
        <v>19.154929577464799</v>
      </c>
      <c r="AV15" s="52">
        <f>0.1*(1/2)*測定設定値!$B$2/((SIN(RADIANS(AR15/2)-SIN(RADIANS(AQ15/2)))))</f>
        <v>12.174614338922554</v>
      </c>
      <c r="AW15" s="52">
        <f>0.1*(3/4)*測定設定値!$B$2/(SIN(RADIANS(AS15/2))-(SIN(RADIANS(AR15/2))))</f>
        <v>12.671818485207359</v>
      </c>
      <c r="AX15" s="52">
        <f>0.1*(3/4)*測定設定値!$B$2/(SIN(RADIANS(AT15/2))-(SIN(RADIANS(AS15/2))))</f>
        <v>13.218079978712376</v>
      </c>
      <c r="AY15" s="52">
        <f>0.1*(1/2)*測定設定値!$B$2/((SIN(RADIANS(AU15/2)-SIN(RADIANS(AT15/2)))))</f>
        <v>11.064967034665838</v>
      </c>
      <c r="AZ15" s="52">
        <v>42.6478873239436</v>
      </c>
      <c r="BA15" s="52">
        <v>43.323943661971803</v>
      </c>
      <c r="BB15" s="52">
        <v>44.450704225352098</v>
      </c>
      <c r="BC15" s="52">
        <v>45.633802816901401</v>
      </c>
      <c r="BD15" s="52">
        <v>46.478873239436602</v>
      </c>
      <c r="BE15" s="52"/>
      <c r="BF15" s="52">
        <f>0.1*(3/4)*測定設定値!$B$2/(SIN(RADIANS(BB15/2))-(SIN(RADIANS(BA15/2))))</f>
        <v>12.668791330911334</v>
      </c>
      <c r="BG15" s="52">
        <f>0.1*(3/4)*測定設定値!$B$2/(SIN(RADIANS(BC15/2))-(SIN(RADIANS(BB15/2))))</f>
        <v>12.115329574278469</v>
      </c>
      <c r="BH15" s="52"/>
      <c r="BI15" s="52">
        <f t="shared" si="4"/>
        <v>12.318933457116321</v>
      </c>
      <c r="BJ15" s="52">
        <f t="shared" si="5"/>
        <v>0.73349944510157694</v>
      </c>
      <c r="BK15" s="56">
        <f>AVERAGE(AX15,AW15)/L15</f>
        <v>0.2157491538659978</v>
      </c>
    </row>
    <row r="16" spans="1:78" s="6" customFormat="1">
      <c r="A16" s="6" t="s">
        <v>44</v>
      </c>
      <c r="B16" s="6" t="s">
        <v>83</v>
      </c>
      <c r="C16" s="32" t="s">
        <v>137</v>
      </c>
      <c r="D16" s="6">
        <v>1.2E-2</v>
      </c>
      <c r="E16" s="6">
        <v>0.72</v>
      </c>
      <c r="F16" s="7">
        <f t="shared" si="8"/>
        <v>1.1928429423459246E-2</v>
      </c>
      <c r="G16" s="8">
        <f t="shared" si="0"/>
        <v>0.72</v>
      </c>
      <c r="H16" s="6" t="s">
        <v>23</v>
      </c>
      <c r="I16" s="8">
        <v>200</v>
      </c>
      <c r="J16" s="8">
        <v>380</v>
      </c>
      <c r="K16" s="9">
        <v>380</v>
      </c>
      <c r="L16" s="9">
        <v>60</v>
      </c>
      <c r="M16" s="8">
        <f>(M15+N15)*(1-E16)</f>
        <v>1.3999999999999999E-6</v>
      </c>
      <c r="N16" s="8">
        <f>(M15+N15)*E16</f>
        <v>3.5999999999999994E-6</v>
      </c>
      <c r="O16" s="8">
        <v>1E-4</v>
      </c>
      <c r="P16" s="8">
        <f t="shared" si="1"/>
        <v>4.9999999999999996E-6</v>
      </c>
      <c r="Q16" s="8">
        <v>2.9999999999999997E-8</v>
      </c>
      <c r="R16" s="8">
        <f t="shared" si="7"/>
        <v>5.0299999999999993E-6</v>
      </c>
      <c r="S16" s="8" t="s">
        <v>67</v>
      </c>
      <c r="T16" s="6" t="s">
        <v>11</v>
      </c>
      <c r="U16" s="6" t="s">
        <v>11</v>
      </c>
      <c r="W16" s="10"/>
      <c r="X16" s="8"/>
      <c r="Y16" s="61" t="e">
        <f t="shared" si="2"/>
        <v>#DIV/0!</v>
      </c>
      <c r="AB16" s="35"/>
      <c r="AC16" s="35"/>
      <c r="AE16" s="45"/>
      <c r="AG16" s="11">
        <v>17.173458343392799</v>
      </c>
      <c r="AH16" s="11">
        <v>7.2034779766906096</v>
      </c>
      <c r="AI16" s="45">
        <f t="shared" si="6"/>
        <v>0.28622430572321333</v>
      </c>
      <c r="AJ16" s="6">
        <v>8.67</v>
      </c>
      <c r="AK16" s="6">
        <v>22.178999999999998</v>
      </c>
      <c r="AL16" s="6">
        <v>0.23100000000000001</v>
      </c>
      <c r="AM16" s="6">
        <v>0.14099999999999999</v>
      </c>
      <c r="AN16" s="40">
        <f>(3/5)*(測定設定値!$B$2/(2*SIN(RADIANS(AJ16))))</f>
        <v>3.0660044518380904</v>
      </c>
      <c r="AO16" s="40">
        <f>(5 / 2)*(3/5)*(測定設定値!$B$2/(2*SIN(RADIANS(AK16))))</f>
        <v>3.0607792786974501</v>
      </c>
      <c r="AP16" s="61">
        <f t="shared" si="3"/>
        <v>3.0633918652677705</v>
      </c>
      <c r="AQ16" s="52">
        <v>15.3098591549295</v>
      </c>
      <c r="AR16" s="52">
        <v>16.112676056338</v>
      </c>
      <c r="AS16" s="52">
        <v>17.380281690140801</v>
      </c>
      <c r="AT16" s="52">
        <v>18.6478873239436</v>
      </c>
      <c r="AU16" s="52">
        <v>19.5352112676056</v>
      </c>
      <c r="AV16" s="52">
        <f>0.1*(1/2)*測定設定値!$B$2/((SIN(RADIANS(AR16/2)-SIN(RADIANS(AQ16/2)))))</f>
        <v>10.405302120931445</v>
      </c>
      <c r="AW16" s="52">
        <f>0.1*(3/4)*測定設定値!$B$2/(SIN(RADIANS(AS16/2))-(SIN(RADIANS(AR16/2))))</f>
        <v>10.557850469951653</v>
      </c>
      <c r="AX16" s="52">
        <f>0.1*(3/4)*測定設定値!$B$2/(SIN(RADIANS(AT16/2))-(SIN(RADIANS(AS16/2))))</f>
        <v>10.575716627356975</v>
      </c>
      <c r="AY16" s="52">
        <f>0.1*(1/2)*測定設定値!$B$2/((SIN(RADIANS(AU16/2)-SIN(RADIANS(AT16/2)))))</f>
        <v>9.1045782468417666</v>
      </c>
      <c r="AZ16" s="52">
        <v>41.915492957746402</v>
      </c>
      <c r="BA16" s="52">
        <v>42.9295774647887</v>
      </c>
      <c r="BB16" s="52">
        <v>44.394366197182997</v>
      </c>
      <c r="BC16" s="52">
        <v>45.915492957746402</v>
      </c>
      <c r="BD16" s="52">
        <v>46.9295774647887</v>
      </c>
      <c r="BE16" s="52"/>
      <c r="BF16" s="52">
        <f>0.1*(3/4)*測定設定値!$B$2/(SIN(RADIANS(BB16/2))-(SIN(RADIANS(BA16/2))))</f>
        <v>9.7375549915788024</v>
      </c>
      <c r="BG16" s="52">
        <f>0.1*(3/4)*測定設定値!$B$2/(SIN(RADIANS(BC16/2))-(SIN(RADIANS(BB16/2))))</f>
        <v>9.4269094890740526</v>
      </c>
      <c r="BH16" s="52"/>
      <c r="BI16" s="52">
        <f t="shared" si="4"/>
        <v>9.967985324289117</v>
      </c>
      <c r="BJ16" s="52">
        <f t="shared" si="5"/>
        <v>0.63243295083263806</v>
      </c>
      <c r="BK16" s="56">
        <f>AVERAGE(AX16,AW16)/L16</f>
        <v>0.17611305914423855</v>
      </c>
    </row>
    <row r="17" spans="1:63" s="12" customFormat="1">
      <c r="A17" s="12" t="s">
        <v>45</v>
      </c>
      <c r="B17" s="12" t="s">
        <v>29</v>
      </c>
      <c r="C17" s="12" t="s">
        <v>135</v>
      </c>
      <c r="D17" s="12">
        <v>0.03</v>
      </c>
      <c r="E17" s="12">
        <v>0.84</v>
      </c>
      <c r="F17" s="13">
        <f t="shared" si="8"/>
        <v>2.9944838455476758E-2</v>
      </c>
      <c r="G17" s="14">
        <f t="shared" si="0"/>
        <v>0.84</v>
      </c>
      <c r="H17" s="12" t="s">
        <v>23</v>
      </c>
      <c r="I17" s="14">
        <v>200</v>
      </c>
      <c r="J17" s="14">
        <v>380</v>
      </c>
      <c r="K17" s="15">
        <v>380</v>
      </c>
      <c r="L17" s="15">
        <v>60</v>
      </c>
      <c r="M17" s="14">
        <v>7.9999999999999996E-7</v>
      </c>
      <c r="N17" s="14">
        <v>4.1999999999999996E-6</v>
      </c>
      <c r="O17" s="14">
        <v>1E-4</v>
      </c>
      <c r="P17" s="14">
        <f t="shared" si="1"/>
        <v>4.9999999999999996E-6</v>
      </c>
      <c r="Q17" s="14">
        <v>7.6000000000000006E-8</v>
      </c>
      <c r="R17" s="14">
        <f t="shared" si="7"/>
        <v>5.0759999999999993E-6</v>
      </c>
      <c r="S17" s="12" t="s">
        <v>66</v>
      </c>
      <c r="T17" s="12" t="s">
        <v>11</v>
      </c>
      <c r="U17" s="12" t="s">
        <v>11</v>
      </c>
      <c r="V17" s="14" t="s">
        <v>11</v>
      </c>
      <c r="W17" s="16">
        <v>74.730229603767597</v>
      </c>
      <c r="X17" s="14">
        <v>11923616381263.5</v>
      </c>
      <c r="Y17" s="60">
        <f t="shared" si="2"/>
        <v>52.351543808823443</v>
      </c>
      <c r="Z17" s="12">
        <v>9.9376009277343705E-2</v>
      </c>
      <c r="AA17" s="12">
        <v>938.42430892951802</v>
      </c>
      <c r="AB17" s="34">
        <v>1.8788447698524199E-5</v>
      </c>
      <c r="AC17" s="34">
        <v>1.4024359361120001E-4</v>
      </c>
      <c r="AD17" s="12">
        <v>7004.7296896563103</v>
      </c>
      <c r="AE17" s="44">
        <v>0.13380815024076401</v>
      </c>
      <c r="AF17" s="12">
        <v>100</v>
      </c>
      <c r="AG17" s="17">
        <v>17.651036630506301</v>
      </c>
      <c r="AH17" s="17">
        <v>7.3584888031159696</v>
      </c>
      <c r="AI17" s="44">
        <f t="shared" si="6"/>
        <v>0.29418394384177166</v>
      </c>
      <c r="AJ17" s="12">
        <v>8.7989999999999995</v>
      </c>
      <c r="AK17" s="12">
        <v>22.484000000000002</v>
      </c>
      <c r="AL17" s="12">
        <v>0.40899999999999997</v>
      </c>
      <c r="AM17" s="12">
        <v>0.254</v>
      </c>
      <c r="AN17" s="39">
        <f>(3/5)*(測定設定値!$B$2/(2*SIN(RADIANS(AJ17))))</f>
        <v>3.021400699114873</v>
      </c>
      <c r="AO17" s="39">
        <f>(5 / 2)*(3/5)*(測定設定値!$B$2/(2*SIN(RADIANS(AK17))))</f>
        <v>3.0213694872352752</v>
      </c>
      <c r="AP17" s="60">
        <f t="shared" si="3"/>
        <v>3.0213850931750743</v>
      </c>
      <c r="AQ17" s="51">
        <v>16.028169014084501</v>
      </c>
      <c r="AR17" s="51">
        <v>16.661971830985902</v>
      </c>
      <c r="AS17" s="51">
        <v>17.591549295774598</v>
      </c>
      <c r="AT17" s="51">
        <v>18.563380281690101</v>
      </c>
      <c r="AU17" s="51">
        <v>19.281690140845001</v>
      </c>
      <c r="AV17" s="51">
        <f>0.1*(1/2)*測定設定値!$B$2/((SIN(RADIANS(AR17/2)-SIN(RADIANS(AQ17/2)))))</f>
        <v>12.867111240562243</v>
      </c>
      <c r="AW17" s="51">
        <f>0.1*(3/4)*測定設定値!$B$2/(SIN(RADIANS(AS17/2))-(SIN(RADIANS(AR17/2))))</f>
        <v>14.404150078807524</v>
      </c>
      <c r="AX17" s="51">
        <f>0.1*(3/4)*測定設定値!$B$2/(SIN(RADIANS(AT17/2))-(SIN(RADIANS(AS17/2))))</f>
        <v>13.795595592963094</v>
      </c>
      <c r="AY17" s="51">
        <f>0.1*(1/2)*測定設定値!$B$2/((SIN(RADIANS(AU17/2)-SIN(RADIANS(AT17/2)))))</f>
        <v>11.042151435658051</v>
      </c>
      <c r="AZ17" s="51"/>
      <c r="BA17" s="51">
        <v>43.8591549295774</v>
      </c>
      <c r="BB17" s="51">
        <v>44.957746478873197</v>
      </c>
      <c r="BC17" s="51">
        <v>46.225352112675999</v>
      </c>
      <c r="BD17" s="51"/>
      <c r="BE17" s="51"/>
      <c r="BF17" s="51">
        <f>0.1*(3/4)*測定設定値!$B$2/(SIN(RADIANS(BB17/2))-(SIN(RADIANS(BA17/2))))</f>
        <v>13.017614770958543</v>
      </c>
      <c r="BG17" s="51">
        <f>0.1*(3/4)*測定設定値!$B$2/(SIN(RADIANS(BC17/2))-(SIN(RADIANS(BB17/2))))</f>
        <v>11.330298643924582</v>
      </c>
      <c r="BH17" s="51"/>
      <c r="BI17" s="51">
        <f t="shared" si="4"/>
        <v>12.742820293812338</v>
      </c>
      <c r="BJ17" s="51">
        <f t="shared" si="5"/>
        <v>1.3301732748499793</v>
      </c>
      <c r="BK17" s="54">
        <f>AVERAGE(AX17,AW17)/L17</f>
        <v>0.23499788059808849</v>
      </c>
    </row>
    <row r="18" spans="1:63" s="12" customFormat="1">
      <c r="A18" s="12" t="s">
        <v>46</v>
      </c>
      <c r="B18" s="12" t="s">
        <v>29</v>
      </c>
      <c r="C18" s="12" t="s">
        <v>135</v>
      </c>
      <c r="D18" s="12">
        <v>0.04</v>
      </c>
      <c r="E18" s="12">
        <v>0.84</v>
      </c>
      <c r="F18" s="13">
        <f>2*Q18/(Q18+M18+N18)</f>
        <v>3.9984319874558999E-2</v>
      </c>
      <c r="G18" s="14">
        <f t="shared" si="0"/>
        <v>0.84</v>
      </c>
      <c r="H18" s="12" t="s">
        <v>23</v>
      </c>
      <c r="I18" s="14">
        <v>200</v>
      </c>
      <c r="J18" s="14">
        <v>380</v>
      </c>
      <c r="K18" s="15">
        <v>380</v>
      </c>
      <c r="L18" s="15">
        <v>60</v>
      </c>
      <c r="M18" s="14">
        <v>7.9999999999999996E-7</v>
      </c>
      <c r="N18" s="14">
        <v>4.1999999999999996E-6</v>
      </c>
      <c r="O18" s="14">
        <v>1E-4</v>
      </c>
      <c r="P18" s="14">
        <f t="shared" si="1"/>
        <v>4.9999999999999996E-6</v>
      </c>
      <c r="Q18" s="14">
        <v>1.02E-7</v>
      </c>
      <c r="R18" s="14">
        <f>P18+Q18</f>
        <v>5.1019999999999996E-6</v>
      </c>
      <c r="S18" s="12" t="s">
        <v>66</v>
      </c>
      <c r="T18" s="12" t="s">
        <v>11</v>
      </c>
      <c r="U18" s="12" t="s">
        <v>11</v>
      </c>
      <c r="V18" s="14" t="s">
        <v>11</v>
      </c>
      <c r="W18" s="16">
        <v>8.5305532213463593</v>
      </c>
      <c r="X18" s="14">
        <v>42060455416751.398</v>
      </c>
      <c r="Y18" s="60">
        <f>0.0001/(1.602E-19*X18)</f>
        <v>14.841012042268881</v>
      </c>
      <c r="Z18" s="17">
        <f>(0.13355 + 0.14301)/2</f>
        <v>0.13828000000000001</v>
      </c>
      <c r="AA18" s="12">
        <v>637.61894752400895</v>
      </c>
      <c r="AB18" s="34">
        <v>2.10383048878411E-6</v>
      </c>
      <c r="AC18" s="34">
        <v>5.7402826734768098E-5</v>
      </c>
      <c r="AD18" s="12">
        <v>17397.3759590675</v>
      </c>
      <c r="AE18" s="44">
        <v>3.66448177831891E-2</v>
      </c>
      <c r="AF18" s="12">
        <v>150</v>
      </c>
      <c r="AG18" s="17">
        <v>21.020041485504301</v>
      </c>
      <c r="AH18" s="17">
        <v>5.4921699837149296</v>
      </c>
      <c r="AI18" s="44">
        <f t="shared" si="6"/>
        <v>0.35033402475840503</v>
      </c>
      <c r="AJ18" s="12">
        <v>8.8170000000000002</v>
      </c>
      <c r="AK18" s="12">
        <v>22.545999999999999</v>
      </c>
      <c r="AL18" s="12">
        <v>0.57799999999999996</v>
      </c>
      <c r="AM18" s="12">
        <v>0.38600000000000001</v>
      </c>
      <c r="AN18" s="39">
        <f>(3/5)*(測定設定値!$B$2/(2*SIN(RADIANS(AJ18))))</f>
        <v>3.0152810947275417</v>
      </c>
      <c r="AO18" s="39">
        <f>(5 / 2)*(3/5)*(測定設定値!$B$2/(2*SIN(RADIANS(AK18))))</f>
        <v>3.0134924911683707</v>
      </c>
      <c r="AP18" s="60">
        <f t="shared" si="3"/>
        <v>3.0143867929479562</v>
      </c>
      <c r="AQ18" s="51">
        <v>16.197183098591498</v>
      </c>
      <c r="AR18" s="51">
        <v>16.830985915492899</v>
      </c>
      <c r="AS18" s="51">
        <v>17.633802816901401</v>
      </c>
      <c r="AT18" s="51">
        <v>18.521126760563298</v>
      </c>
      <c r="AU18" s="51">
        <v>19.112676056338</v>
      </c>
      <c r="AV18" s="51">
        <f>0.1*(1/2)*測定設定値!$B$2/((SIN(RADIANS(AR18/2)-SIN(RADIANS(AQ18/2)))))</f>
        <v>12.83590086921263</v>
      </c>
      <c r="AW18" s="51">
        <f>0.1*(3/4)*測定設定値!$B$2/(SIN(RADIANS(AS18/2))-(SIN(RADIANS(AR18/2))))</f>
        <v>16.680800507410151</v>
      </c>
      <c r="AX18" s="51">
        <f>0.1*(3/4)*測定設定値!$B$2/(SIN(RADIANS(AT18/2))-(SIN(RADIANS(AS18/2))))</f>
        <v>15.109454307375096</v>
      </c>
      <c r="AY18" s="51">
        <f>0.1*(1/2)*測定設定値!$B$2/((SIN(RADIANS(AU18/2)-SIN(RADIANS(AT18/2)))))</f>
        <v>13.133831849239108</v>
      </c>
      <c r="AZ18" s="51"/>
      <c r="BA18" s="51">
        <v>44.056338028169002</v>
      </c>
      <c r="BB18" s="51">
        <v>45.0704225352112</v>
      </c>
      <c r="BC18" s="51"/>
      <c r="BD18" s="51"/>
      <c r="BE18" s="51"/>
      <c r="BF18" s="51">
        <f>0.1*(3/4)*測定設定値!$B$2/(SIN(RADIANS(BB18/2))-(SIN(RADIANS(BA18/2))))</f>
        <v>14.110207817692606</v>
      </c>
      <c r="BG18" s="51"/>
      <c r="BH18" s="51"/>
      <c r="BI18" s="51">
        <f t="shared" si="4"/>
        <v>14.374039070185919</v>
      </c>
      <c r="BJ18" s="51">
        <f t="shared" si="5"/>
        <v>1.568085927598434</v>
      </c>
      <c r="BK18" s="54">
        <f>AVERAGE(AX18,AW18)/L18</f>
        <v>0.2649187901232104</v>
      </c>
    </row>
    <row r="19" spans="1:63">
      <c r="A19" t="s">
        <v>47</v>
      </c>
      <c r="B19" t="s">
        <v>29</v>
      </c>
      <c r="C19" t="s">
        <v>55</v>
      </c>
      <c r="D19">
        <v>0.04</v>
      </c>
      <c r="E19">
        <v>0.84</v>
      </c>
      <c r="F19" s="2">
        <f>2*Q19/(Q19+M19+N19)</f>
        <v>3.9984319874558999E-2</v>
      </c>
      <c r="G19" s="1">
        <f t="shared" si="0"/>
        <v>0.84</v>
      </c>
      <c r="H19" t="s">
        <v>23</v>
      </c>
      <c r="I19" s="1">
        <v>200</v>
      </c>
      <c r="J19" s="1">
        <v>380</v>
      </c>
      <c r="K19" s="3">
        <v>380</v>
      </c>
      <c r="L19" s="3">
        <v>60</v>
      </c>
      <c r="M19" s="1">
        <v>7.9999999999999996E-7</v>
      </c>
      <c r="N19" s="1">
        <v>4.1999999999999996E-6</v>
      </c>
      <c r="O19" s="1">
        <v>6.0000000000000002E-5</v>
      </c>
      <c r="P19" s="1">
        <f t="shared" si="1"/>
        <v>4.9999999999999996E-6</v>
      </c>
      <c r="Q19" s="1">
        <v>1.02E-7</v>
      </c>
      <c r="R19" s="1">
        <f>P19+Q19</f>
        <v>5.1019999999999996E-6</v>
      </c>
      <c r="S19" t="s">
        <v>66</v>
      </c>
      <c r="T19" t="s">
        <v>11</v>
      </c>
      <c r="U19" t="s">
        <v>11</v>
      </c>
      <c r="Y19" s="59" t="e">
        <f>0.0001/(1.602E-19*X19)</f>
        <v>#DIV/0!</v>
      </c>
      <c r="AG19" s="5">
        <v>20.333819721954399</v>
      </c>
      <c r="AH19" s="5">
        <v>3.4346267554534702</v>
      </c>
      <c r="AI19" s="43">
        <f t="shared" si="6"/>
        <v>0.33889699536590662</v>
      </c>
      <c r="AJ19">
        <v>8.7739999999999991</v>
      </c>
      <c r="AK19">
        <v>22.573</v>
      </c>
      <c r="AL19">
        <v>0.49399999999999999</v>
      </c>
      <c r="AM19">
        <v>0.29399999999999998</v>
      </c>
      <c r="AN19" s="38">
        <f>(3/5)*(測定設定値!$B$2/(2*SIN(RADIANS(AJ19))))</f>
        <v>3.029941971584257</v>
      </c>
      <c r="AO19" s="38">
        <f>(5 / 2)*(3/5)*(測定設定値!$B$2/(2*SIN(RADIANS(AK19))))</f>
        <v>3.0100761094803197</v>
      </c>
      <c r="AP19" s="59">
        <f t="shared" si="3"/>
        <v>3.0200090405322886</v>
      </c>
      <c r="AQ19" s="50">
        <v>16.0704225352112</v>
      </c>
      <c r="AR19" s="50">
        <v>16.746478873239401</v>
      </c>
      <c r="AS19" s="50">
        <v>17.633802816901401</v>
      </c>
      <c r="AT19" s="50">
        <v>18.563380281690101</v>
      </c>
      <c r="AU19" s="50">
        <v>19.197183098591498</v>
      </c>
      <c r="AV19" s="50">
        <f>0.1*(1/2)*測定設定値!$B$2/((SIN(RADIANS(AR19/2)-SIN(RADIANS(AQ19/2)))))</f>
        <v>12.11369947125652</v>
      </c>
      <c r="AW19" s="50">
        <f>0.1*(3/4)*測定設定値!$B$2/(SIN(RADIANS(AS19/2))-(SIN(RADIANS(AR19/2))))</f>
        <v>15.091317523388584</v>
      </c>
      <c r="AX19" s="50">
        <f>0.1*(3/4)*測定設定値!$B$2/(SIN(RADIANS(AT19/2))-(SIN(RADIANS(AS19/2))))</f>
        <v>14.423087694942524</v>
      </c>
      <c r="AY19" s="50">
        <f>0.1*(1/2)*測定設定値!$B$2/((SIN(RADIANS(AU19/2)-SIN(RADIANS(AT19/2)))))</f>
        <v>12.347425010558647</v>
      </c>
      <c r="AZ19" s="50"/>
      <c r="BA19" s="50">
        <v>44.169014084506998</v>
      </c>
      <c r="BB19" s="50">
        <v>45.126760563380202</v>
      </c>
      <c r="BC19" s="50"/>
      <c r="BD19" s="50"/>
      <c r="BE19" s="50"/>
      <c r="BF19" s="50">
        <f>0.1*(3/4)*測定設定値!$B$2/(SIN(RADIANS(BB19/2))-(SIN(RADIANS(BA19/2))))</f>
        <v>14.944734844850398</v>
      </c>
      <c r="BG19" s="50"/>
      <c r="BH19" s="50"/>
      <c r="BI19" s="50">
        <f t="shared" si="4"/>
        <v>13.784052908999334</v>
      </c>
      <c r="BJ19" s="50">
        <f t="shared" si="5"/>
        <v>1.4420878190533377</v>
      </c>
      <c r="BK19" s="55">
        <f>AVERAGE(AX19,AW19)/L19</f>
        <v>0.24595337681942589</v>
      </c>
    </row>
    <row r="20" spans="1:63" s="12" customFormat="1">
      <c r="A20" s="12" t="s">
        <v>48</v>
      </c>
      <c r="B20" s="12" t="s">
        <v>29</v>
      </c>
      <c r="C20" s="12" t="s">
        <v>174</v>
      </c>
      <c r="D20" s="12">
        <v>2.5000000000000001E-2</v>
      </c>
      <c r="E20" s="12">
        <v>0.84</v>
      </c>
      <c r="F20" s="13">
        <f t="shared" si="8"/>
        <v>2.5276461295418648E-2</v>
      </c>
      <c r="G20" s="14">
        <f t="shared" si="0"/>
        <v>0.84</v>
      </c>
      <c r="H20" s="12" t="s">
        <v>23</v>
      </c>
      <c r="I20" s="14">
        <v>200</v>
      </c>
      <c r="J20" s="14">
        <v>380</v>
      </c>
      <c r="K20" s="15">
        <v>380</v>
      </c>
      <c r="L20" s="15">
        <v>60</v>
      </c>
      <c r="M20" s="14">
        <v>7.9999999999999996E-7</v>
      </c>
      <c r="N20" s="14">
        <v>4.1999999999999996E-6</v>
      </c>
      <c r="O20" s="14">
        <v>1E-4</v>
      </c>
      <c r="P20" s="14">
        <f t="shared" si="1"/>
        <v>4.9999999999999996E-6</v>
      </c>
      <c r="Q20" s="14">
        <v>6.4000000000000004E-8</v>
      </c>
      <c r="R20" s="14">
        <f t="shared" si="7"/>
        <v>5.0639999999999993E-6</v>
      </c>
      <c r="S20" s="12" t="s">
        <v>66</v>
      </c>
      <c r="T20" s="12" t="s">
        <v>11</v>
      </c>
      <c r="U20" s="12" t="s">
        <v>11</v>
      </c>
      <c r="V20" s="14" t="s">
        <v>11</v>
      </c>
      <c r="W20" s="16">
        <v>8.0419244414109698</v>
      </c>
      <c r="X20" s="14">
        <v>30441533548299.801</v>
      </c>
      <c r="Y20" s="60">
        <f t="shared" si="2"/>
        <v>20.505528223566923</v>
      </c>
      <c r="Z20" s="12">
        <v>7.0848416503906303E-2</v>
      </c>
      <c r="AA20" s="12">
        <v>390.52488354566401</v>
      </c>
      <c r="AB20" s="34">
        <v>6.0058031418917398E-7</v>
      </c>
      <c r="AC20" s="34">
        <v>3.92112109390483E-5</v>
      </c>
      <c r="AD20" s="12">
        <v>25496.928926699598</v>
      </c>
      <c r="AE20" s="44">
        <v>1.7914614458793901E-2</v>
      </c>
      <c r="AF20" s="12">
        <v>100</v>
      </c>
      <c r="AG20" s="17">
        <v>18.433998204377001</v>
      </c>
      <c r="AH20" s="17">
        <v>3.3908232880910201</v>
      </c>
      <c r="AI20" s="44">
        <f t="shared" si="6"/>
        <v>0.30723330340628335</v>
      </c>
      <c r="AJ20" s="12">
        <v>8.7910000000000004</v>
      </c>
      <c r="AK20" s="12">
        <v>22.495000000000001</v>
      </c>
      <c r="AL20" s="12">
        <v>0.437</v>
      </c>
      <c r="AM20" s="12">
        <v>0.25700000000000001</v>
      </c>
      <c r="AN20" s="39">
        <f>(3/5)*(測定設定値!$B$2/(2*SIN(RADIANS(AJ20))))</f>
        <v>3.0241285996967457</v>
      </c>
      <c r="AO20" s="39">
        <f>(5 / 2)*(3/5)*(測定設定値!$B$2/(2*SIN(RADIANS(AK20))))</f>
        <v>3.0199686939769519</v>
      </c>
      <c r="AP20" s="60">
        <f>AVERAGE(AN20:AO20)</f>
        <v>3.0220486468368488</v>
      </c>
      <c r="AQ20" s="17">
        <v>15.901408450704199</v>
      </c>
      <c r="AR20" s="17">
        <v>16.619718309859099</v>
      </c>
      <c r="AS20" s="17">
        <v>17.591549295774598</v>
      </c>
      <c r="AT20" s="17">
        <v>18.563380281690101</v>
      </c>
      <c r="AU20" s="17">
        <v>19.239436619718301</v>
      </c>
      <c r="AV20" s="51">
        <f>0.1*(1/2)*測定設定値!$B$2/((SIN(RADIANS(AR20/2)-SIN(RADIANS(AQ20/2)))))</f>
        <v>11.474217466266495</v>
      </c>
      <c r="AW20" s="51">
        <f>0.1*(3/4)*測定設定値!$B$2/(SIN(RADIANS(AS20/2))-(SIN(RADIANS(AR20/2))))</f>
        <v>13.777503937059974</v>
      </c>
      <c r="AX20" s="51">
        <f>0.1*(3/4)*測定設定値!$B$2/(SIN(RADIANS(AT20/2))-(SIN(RADIANS(AS20/2))))</f>
        <v>13.795595592963094</v>
      </c>
      <c r="AY20" s="51">
        <f>0.1*(1/2)*測定設定値!$B$2/((SIN(RADIANS(AU20/2)-SIN(RADIANS(AT20/2)))))</f>
        <v>11.65836652508735</v>
      </c>
      <c r="AZ20" s="51">
        <v>43.154929577464699</v>
      </c>
      <c r="BA20" s="51">
        <v>43.887323943661897</v>
      </c>
      <c r="BB20" s="51">
        <v>44.957746478873197</v>
      </c>
      <c r="BC20" s="51">
        <v>46.1408450704225</v>
      </c>
      <c r="BD20" s="51"/>
      <c r="BE20" s="51"/>
      <c r="BF20" s="51">
        <f>0.1*(3/4)*測定設定値!$B$2/(SIN(RADIANS(BB20/2))-(SIN(RADIANS(BA20/2))))</f>
        <v>13.360851397680142</v>
      </c>
      <c r="BG20" s="51">
        <f>0.1*(3/4)*測定設定値!$B$2/(SIN(RADIANS(BC20/2))-(SIN(RADIANS(BB20/2))))</f>
        <v>12.137717574010271</v>
      </c>
      <c r="BH20" s="51"/>
      <c r="BI20" s="51">
        <f t="shared" si="4"/>
        <v>12.700708748844555</v>
      </c>
      <c r="BJ20" s="51">
        <f t="shared" si="5"/>
        <v>1.0678736476014168</v>
      </c>
      <c r="BK20" s="54">
        <f>AVERAGE(AX20,AW20)/L20</f>
        <v>0.2297758294168589</v>
      </c>
    </row>
    <row r="21" spans="1:63" s="12" customFormat="1">
      <c r="A21" s="12" t="s">
        <v>57</v>
      </c>
      <c r="B21" s="12" t="s">
        <v>29</v>
      </c>
      <c r="C21" s="12" t="s">
        <v>135</v>
      </c>
      <c r="D21" s="12">
        <v>0.1</v>
      </c>
      <c r="E21" s="12">
        <v>0.84</v>
      </c>
      <c r="F21" s="13">
        <f>2*Q21/(Q21+M21+N21)</f>
        <v>9.8859315589353625E-2</v>
      </c>
      <c r="G21" s="14">
        <f>N21/P21</f>
        <v>0.84</v>
      </c>
      <c r="H21" s="12" t="s">
        <v>23</v>
      </c>
      <c r="I21" s="14">
        <v>200</v>
      </c>
      <c r="J21" s="14">
        <v>380</v>
      </c>
      <c r="K21" s="15">
        <v>380</v>
      </c>
      <c r="L21" s="15">
        <v>60</v>
      </c>
      <c r="M21" s="14">
        <v>7.9999999999999996E-7</v>
      </c>
      <c r="N21" s="14">
        <v>4.1999999999999996E-6</v>
      </c>
      <c r="O21" s="14">
        <v>1E-4</v>
      </c>
      <c r="P21" s="14">
        <f t="shared" si="1"/>
        <v>4.9999999999999996E-6</v>
      </c>
      <c r="Q21" s="14">
        <v>2.6E-7</v>
      </c>
      <c r="R21" s="14">
        <f t="shared" si="7"/>
        <v>5.2599999999999996E-6</v>
      </c>
      <c r="S21" s="12" t="s">
        <v>66</v>
      </c>
      <c r="T21" s="12" t="s">
        <v>11</v>
      </c>
      <c r="U21" s="12" t="s">
        <v>11</v>
      </c>
      <c r="V21" s="14"/>
      <c r="W21" s="16">
        <v>15.478999999999999</v>
      </c>
      <c r="X21" s="14">
        <v>393830000000000</v>
      </c>
      <c r="Y21" s="60">
        <f>0.0001/(1.602E-19*X21)</f>
        <v>1.5849979060592665</v>
      </c>
      <c r="Z21" s="17">
        <v>0.313</v>
      </c>
      <c r="AA21" s="17">
        <v>44.578000000000003</v>
      </c>
      <c r="AB21" s="34">
        <v>4.2438999999999998E-5</v>
      </c>
      <c r="AC21" s="34">
        <v>9.7479000000000001E-4</v>
      </c>
      <c r="AD21" s="17">
        <v>1023.9</v>
      </c>
      <c r="AE21" s="44">
        <v>4.3594729560101297E-2</v>
      </c>
      <c r="AF21" s="12">
        <v>190</v>
      </c>
      <c r="AG21" s="17">
        <v>24.747646974322102</v>
      </c>
      <c r="AH21" s="17">
        <v>5.6129044074983403</v>
      </c>
      <c r="AI21" s="44">
        <f t="shared" si="6"/>
        <v>0.41246078290536836</v>
      </c>
      <c r="AJ21" s="12">
        <v>8.8759999999999994</v>
      </c>
      <c r="AK21" s="12">
        <v>22.65</v>
      </c>
      <c r="AL21" s="12">
        <v>1.2549999999999999</v>
      </c>
      <c r="AM21" s="12">
        <v>1.306</v>
      </c>
      <c r="AN21" s="39">
        <f>(3/5)*(測定設定値!$B$2/(2*SIN(RADIANS(AJ21))))</f>
        <v>2.9953971019215233</v>
      </c>
      <c r="AO21" s="39">
        <f>(5 / 2)*(3/5)*(測定設定値!$B$2/(2*SIN(RADIANS(AK21))))</f>
        <v>3.000379154253177</v>
      </c>
      <c r="AP21" s="60">
        <f t="shared" si="3"/>
        <v>2.9978881280873502</v>
      </c>
      <c r="AQ21" s="51"/>
      <c r="AR21" s="51"/>
      <c r="AS21" s="51">
        <v>17.773851590105998</v>
      </c>
      <c r="AT21" s="51">
        <v>18.5159010600706</v>
      </c>
      <c r="AU21" s="51"/>
      <c r="AV21" s="51"/>
      <c r="AW21" s="51"/>
      <c r="AX21" s="51">
        <f>0.1*(3/4)*測定設定値!$B$2/(SIN(RADIANS(AT21/2))-(SIN(RADIANS(AS21/2))))</f>
        <v>18.069182902700199</v>
      </c>
      <c r="AY21" s="51"/>
      <c r="AZ21" s="51"/>
      <c r="BA21" s="51"/>
      <c r="BB21" s="51"/>
      <c r="BC21" s="51"/>
      <c r="BD21" s="51"/>
      <c r="BE21" s="51"/>
      <c r="BF21" s="51"/>
      <c r="BG21" s="51"/>
      <c r="BH21" s="51"/>
      <c r="BI21" s="51">
        <f t="shared" si="4"/>
        <v>18.069182902700199</v>
      </c>
      <c r="BJ21" s="51" t="e">
        <f t="shared" si="5"/>
        <v>#DIV/0!</v>
      </c>
      <c r="BK21" s="54">
        <f>AVERAGE(AX21,AW21)/L21</f>
        <v>0.30115304837833662</v>
      </c>
    </row>
    <row r="22" spans="1:63">
      <c r="A22" t="s">
        <v>58</v>
      </c>
      <c r="B22" t="s">
        <v>29</v>
      </c>
      <c r="C22" t="s">
        <v>92</v>
      </c>
      <c r="D22">
        <v>0.05</v>
      </c>
      <c r="E22">
        <v>0.6</v>
      </c>
      <c r="F22" s="2">
        <f>2*Q22/(Q22+M22+N22)</f>
        <v>4.9921996879875197E-2</v>
      </c>
      <c r="G22" s="1">
        <f>N22/P22</f>
        <v>0.60000000000000009</v>
      </c>
      <c r="H22" t="s">
        <v>23</v>
      </c>
      <c r="I22" s="1">
        <v>200</v>
      </c>
      <c r="J22" s="1">
        <v>380</v>
      </c>
      <c r="K22" s="3">
        <v>380</v>
      </c>
      <c r="L22" s="3">
        <v>395</v>
      </c>
      <c r="M22" s="1">
        <v>1.9999999999999999E-6</v>
      </c>
      <c r="N22" s="1">
        <v>3.0000000000000001E-6</v>
      </c>
      <c r="O22" s="1">
        <v>1E-4</v>
      </c>
      <c r="P22" s="1">
        <f t="shared" si="1"/>
        <v>4.9999999999999996E-6</v>
      </c>
      <c r="Q22" s="1">
        <v>1.2800000000000001E-7</v>
      </c>
      <c r="R22" s="1">
        <f t="shared" si="7"/>
        <v>5.1279999999999999E-6</v>
      </c>
      <c r="S22" t="s">
        <v>65</v>
      </c>
      <c r="T22" t="s">
        <v>11</v>
      </c>
      <c r="U22" t="s">
        <v>11</v>
      </c>
      <c r="V22" s="1" t="s">
        <v>11</v>
      </c>
      <c r="W22" s="4">
        <v>18.375058968875798</v>
      </c>
      <c r="X22" s="1">
        <v>751487223217491</v>
      </c>
      <c r="Y22" s="59">
        <f t="shared" si="2"/>
        <v>0.83064582611361693</v>
      </c>
      <c r="Z22" s="5">
        <v>0.10017</v>
      </c>
      <c r="AA22" s="5">
        <v>60.256</v>
      </c>
      <c r="AB22" s="33">
        <v>2.8968E-4</v>
      </c>
      <c r="AC22" s="33">
        <v>2.1738E-3</v>
      </c>
      <c r="AD22" s="5">
        <v>452.11</v>
      </c>
      <c r="AE22" s="43">
        <v>0.13226486300951701</v>
      </c>
      <c r="AF22">
        <v>120</v>
      </c>
      <c r="AG22" s="5">
        <v>153.66485738061701</v>
      </c>
      <c r="AH22" s="5">
        <v>32.708182033084803</v>
      </c>
      <c r="AI22" s="43">
        <f t="shared" si="6"/>
        <v>0.38902495539396709</v>
      </c>
      <c r="AJ22" s="49">
        <v>8.798</v>
      </c>
      <c r="AK22" s="49">
        <v>22.51</v>
      </c>
      <c r="AL22" s="49">
        <v>0.57999999999999996</v>
      </c>
      <c r="AM22" s="49">
        <v>0.55300000000000005</v>
      </c>
      <c r="AN22" s="38">
        <f>(3/5)*(測定設定値!$B$2/(2*SIN(RADIANS(AJ22))))</f>
        <v>3.0217414142984031</v>
      </c>
      <c r="AO22" s="38">
        <f>(5 / 2)*(3/5)*(測定設定値!$B$2/(2*SIN(RADIANS(AK22))))</f>
        <v>3.0180607924616947</v>
      </c>
      <c r="AP22" s="59">
        <f t="shared" si="3"/>
        <v>3.0199011033800489</v>
      </c>
      <c r="AQ22" s="50"/>
      <c r="AR22" s="50"/>
      <c r="AS22" s="50"/>
      <c r="AT22" s="50"/>
      <c r="AU22" s="50"/>
      <c r="AV22" s="50" t="e">
        <f>0.1*(1/2)*測定設定値!$B$2/((SIN(RADIANS(AR22/2)-SIN(RADIANS(AQ22/2)))))</f>
        <v>#DIV/0!</v>
      </c>
      <c r="AW22" s="50" t="e">
        <f>0.1*(3/4)*測定設定値!$B$2/(SIN(RADIANS(AS22/2))-(SIN(RADIANS(AR22/2))))</f>
        <v>#DIV/0!</v>
      </c>
      <c r="AX22" s="50" t="e">
        <f>0.1*(3/4)*測定設定値!$B$2/(SIN(RADIANS(AT22/2))-(SIN(RADIANS(AS22/2))))</f>
        <v>#DIV/0!</v>
      </c>
      <c r="AY22" s="50" t="e">
        <f>0.1*(1/2)*測定設定値!$B$2/((SIN(RADIANS(AU22/2)-SIN(RADIANS(AT22/2)))))</f>
        <v>#DIV/0!</v>
      </c>
      <c r="AZ22" s="50"/>
      <c r="BA22" s="50"/>
      <c r="BB22" s="50"/>
      <c r="BC22" s="50"/>
      <c r="BD22" s="50"/>
      <c r="BE22" s="50"/>
      <c r="BF22" s="50" t="e">
        <f>0.1*(3/4)*測定設定値!$B$2/(SIN(RADIANS(BB22/2))-(SIN(RADIANS(BA22/2))))</f>
        <v>#DIV/0!</v>
      </c>
      <c r="BG22" s="50" t="e">
        <f>0.1*(3/4)*測定設定値!$B$2/(SIN(RADIANS(BC22/2))-(SIN(RADIANS(BB22/2))))</f>
        <v>#DIV/0!</v>
      </c>
      <c r="BH22" s="50"/>
      <c r="BI22" s="50" t="e">
        <f t="shared" si="4"/>
        <v>#DIV/0!</v>
      </c>
      <c r="BJ22" s="50" t="e">
        <f t="shared" si="5"/>
        <v>#DIV/0!</v>
      </c>
      <c r="BK22" s="50" t="e">
        <f>AVERAGE(AX22,AW22)/L22</f>
        <v>#DIV/0!</v>
      </c>
    </row>
    <row r="23" spans="1:63">
      <c r="A23" t="s">
        <v>59</v>
      </c>
      <c r="B23" t="s">
        <v>63</v>
      </c>
      <c r="C23" t="s">
        <v>139</v>
      </c>
      <c r="F23" s="2">
        <v>0</v>
      </c>
      <c r="G23" s="1">
        <v>0</v>
      </c>
      <c r="H23" t="s">
        <v>23</v>
      </c>
      <c r="I23" s="1">
        <v>200</v>
      </c>
      <c r="J23" s="1">
        <v>380</v>
      </c>
      <c r="K23" s="3">
        <v>380</v>
      </c>
      <c r="L23" s="3">
        <v>55</v>
      </c>
      <c r="M23" s="1">
        <v>0</v>
      </c>
      <c r="N23" s="1">
        <v>0</v>
      </c>
      <c r="O23" s="1">
        <v>1E-4</v>
      </c>
      <c r="P23" s="1">
        <f t="shared" si="1"/>
        <v>0</v>
      </c>
      <c r="Q23" s="1">
        <v>1.9999999999999999E-6</v>
      </c>
      <c r="R23" s="1">
        <f t="shared" si="7"/>
        <v>1.9999999999999999E-6</v>
      </c>
      <c r="S23" t="s">
        <v>64</v>
      </c>
      <c r="T23" t="s">
        <v>11</v>
      </c>
      <c r="U23" t="s">
        <v>11</v>
      </c>
      <c r="V23" s="1" t="s">
        <v>11</v>
      </c>
      <c r="W23" s="4">
        <v>7.1940999999999997</v>
      </c>
      <c r="X23" s="1">
        <v>2.6679E+16</v>
      </c>
      <c r="Y23" s="59">
        <f>0.0001/(1.602E-19*X23)</f>
        <v>2.3397418394367139E-2</v>
      </c>
      <c r="Z23" s="5">
        <v>1.1024</v>
      </c>
      <c r="AA23" s="5">
        <v>0.17682999999999999</v>
      </c>
      <c r="AB23" s="33">
        <v>1.6511999999999999E-4</v>
      </c>
      <c r="AC23" s="33">
        <v>1.6511999999999999E-4</v>
      </c>
      <c r="AD23" s="5">
        <v>32.484000000000002</v>
      </c>
      <c r="AE23" s="43">
        <v>5.5276086417670803E-3</v>
      </c>
      <c r="AF23">
        <v>140</v>
      </c>
      <c r="AG23" s="5">
        <v>87.561019265288706</v>
      </c>
      <c r="AH23" s="5">
        <v>13.377309976109901</v>
      </c>
      <c r="AI23" s="43">
        <f t="shared" si="6"/>
        <v>1.5920185320961584</v>
      </c>
      <c r="AN23" s="38" t="e">
        <f>(3/5)*(測定設定値!$B$2/(2*SIN(RADIANS(AJ23))))</f>
        <v>#DIV/0!</v>
      </c>
      <c r="AO23" s="38" t="e">
        <f>(5 / 2)*(3/5)*(測定設定値!$B$2/(2*SIN(RADIANS(AK23))))</f>
        <v>#DIV/0!</v>
      </c>
      <c r="AP23" s="59" t="e">
        <f t="shared" si="3"/>
        <v>#DIV/0!</v>
      </c>
      <c r="AQ23" s="50"/>
      <c r="AR23" s="50"/>
      <c r="AS23" s="50"/>
      <c r="AT23" s="50"/>
      <c r="AU23" s="50"/>
      <c r="AV23" s="50" t="e">
        <f>0.1*(1/2)*測定設定値!$B$2/((SIN(RADIANS(AR23/2)-SIN(RADIANS(AQ23/2)))))</f>
        <v>#DIV/0!</v>
      </c>
      <c r="AW23" s="50" t="e">
        <f>0.1*(3/4)*測定設定値!$B$2/(SIN(RADIANS(AS23/2))-(SIN(RADIANS(AR23/2))))</f>
        <v>#DIV/0!</v>
      </c>
      <c r="AX23" s="50" t="e">
        <f>0.1*(3/4)*測定設定値!$B$2/(SIN(RADIANS(AT23/2))-(SIN(RADIANS(AS23/2))))</f>
        <v>#DIV/0!</v>
      </c>
      <c r="AY23" s="50" t="e">
        <f>0.1*(1/2)*測定設定値!$B$2/((SIN(RADIANS(AU23/2)-SIN(RADIANS(AT23/2)))))</f>
        <v>#DIV/0!</v>
      </c>
      <c r="AZ23" s="50"/>
      <c r="BA23" s="50"/>
      <c r="BB23" s="50"/>
      <c r="BC23" s="50"/>
      <c r="BD23" s="50"/>
      <c r="BE23" s="50"/>
      <c r="BF23" s="50" t="e">
        <f>0.1*(3/4)*測定設定値!$B$2/(SIN(RADIANS(BB23/2))-(SIN(RADIANS(BA23/2))))</f>
        <v>#DIV/0!</v>
      </c>
      <c r="BG23" s="50" t="e">
        <f>0.1*(3/4)*測定設定値!$B$2/(SIN(RADIANS(BC23/2))-(SIN(RADIANS(BB23/2))))</f>
        <v>#DIV/0!</v>
      </c>
      <c r="BH23" s="50"/>
      <c r="BI23" s="50" t="e">
        <f t="shared" si="4"/>
        <v>#DIV/0!</v>
      </c>
      <c r="BJ23" s="50" t="e">
        <f t="shared" si="5"/>
        <v>#DIV/0!</v>
      </c>
      <c r="BK23" s="50" t="e">
        <f>AVERAGE(AX23,AW23)/L23</f>
        <v>#DIV/0!</v>
      </c>
    </row>
    <row r="24" spans="1:63">
      <c r="A24" t="s">
        <v>60</v>
      </c>
      <c r="B24" t="s">
        <v>29</v>
      </c>
      <c r="C24" t="s">
        <v>140</v>
      </c>
      <c r="D24">
        <v>0.05</v>
      </c>
      <c r="E24">
        <v>0.6</v>
      </c>
      <c r="F24" s="2">
        <f>2*Q24/(Q24+M24+N24)</f>
        <v>4.9921996879875197E-2</v>
      </c>
      <c r="G24" s="1">
        <f>N24/P24</f>
        <v>0.60000000000000009</v>
      </c>
      <c r="H24" t="s">
        <v>23</v>
      </c>
      <c r="I24" s="1">
        <v>200</v>
      </c>
      <c r="J24" s="1">
        <v>380</v>
      </c>
      <c r="K24" s="3">
        <v>380</v>
      </c>
      <c r="L24" s="3">
        <v>198</v>
      </c>
      <c r="M24" s="1">
        <v>1.9999999999999999E-6</v>
      </c>
      <c r="N24" s="1">
        <v>3.0000000000000001E-6</v>
      </c>
      <c r="O24" s="1">
        <v>1E-4</v>
      </c>
      <c r="P24" s="1">
        <f t="shared" si="1"/>
        <v>4.9999999999999996E-6</v>
      </c>
      <c r="Q24" s="1">
        <v>1.2800000000000001E-7</v>
      </c>
      <c r="R24" s="1">
        <f t="shared" si="7"/>
        <v>5.1279999999999999E-6</v>
      </c>
      <c r="S24" t="s">
        <v>90</v>
      </c>
      <c r="T24" t="s">
        <v>11</v>
      </c>
      <c r="U24" t="s">
        <v>11</v>
      </c>
      <c r="V24" s="1"/>
      <c r="Y24" s="59" t="e">
        <f t="shared" si="2"/>
        <v>#DIV/0!</v>
      </c>
      <c r="AG24" s="5">
        <v>92.515043421445398</v>
      </c>
      <c r="AH24" s="5">
        <v>15.430081434995</v>
      </c>
      <c r="AI24" s="43">
        <f t="shared" si="6"/>
        <v>0.46724769404770405</v>
      </c>
      <c r="AJ24">
        <v>8.7650000000000006</v>
      </c>
      <c r="AK24">
        <v>22.454999999999998</v>
      </c>
      <c r="AL24">
        <v>0.76100000000000001</v>
      </c>
      <c r="AM24" s="48">
        <v>0.71099999999999997</v>
      </c>
      <c r="AN24" s="38">
        <f>(3/5)*(測定設定値!$B$2/(2*SIN(RADIANS(AJ24))))</f>
        <v>3.0330288049581853</v>
      </c>
      <c r="AO24" s="38">
        <f>(5 / 2)*(3/5)*(測定設定値!$B$2/(2*SIN(RADIANS(AK24))))</f>
        <v>3.025069259251616</v>
      </c>
      <c r="AP24" s="59">
        <f t="shared" si="3"/>
        <v>3.0290490321049006</v>
      </c>
      <c r="AQ24" s="50"/>
      <c r="AR24" s="50"/>
      <c r="AS24" s="50"/>
      <c r="AT24" s="50"/>
      <c r="AU24" s="50"/>
      <c r="AV24" s="50" t="e">
        <f>0.1*(1/2)*測定設定値!$B$2/((SIN(RADIANS(AR24/2)-SIN(RADIANS(AQ24/2)))))</f>
        <v>#DIV/0!</v>
      </c>
      <c r="AW24" s="50" t="e">
        <f>0.1*(3/4)*測定設定値!$B$2/(SIN(RADIANS(AS24/2))-(SIN(RADIANS(AR24/2))))</f>
        <v>#DIV/0!</v>
      </c>
      <c r="AX24" s="50" t="e">
        <f>0.1*(3/4)*測定設定値!$B$2/(SIN(RADIANS(AT24/2))-(SIN(RADIANS(AS24/2))))</f>
        <v>#DIV/0!</v>
      </c>
      <c r="AY24" s="50" t="e">
        <f>0.1*(1/2)*測定設定値!$B$2/((SIN(RADIANS(AU24/2)-SIN(RADIANS(AT24/2)))))</f>
        <v>#DIV/0!</v>
      </c>
      <c r="AZ24" s="50"/>
      <c r="BA24" s="50"/>
      <c r="BB24" s="50"/>
      <c r="BC24" s="50"/>
      <c r="BD24" s="50"/>
      <c r="BE24" s="50"/>
      <c r="BF24" s="50" t="e">
        <f>0.1*(3/4)*測定設定値!$B$2/(SIN(RADIANS(BB24/2))-(SIN(RADIANS(BA24/2))))</f>
        <v>#DIV/0!</v>
      </c>
      <c r="BG24" s="50" t="e">
        <f>0.1*(3/4)*測定設定値!$B$2/(SIN(RADIANS(BC24/2))-(SIN(RADIANS(BB24/2))))</f>
        <v>#DIV/0!</v>
      </c>
      <c r="BH24" s="50"/>
      <c r="BI24" s="50" t="e">
        <f t="shared" si="4"/>
        <v>#DIV/0!</v>
      </c>
      <c r="BJ24" s="50" t="e">
        <f t="shared" si="5"/>
        <v>#DIV/0!</v>
      </c>
      <c r="BK24" s="50" t="e">
        <f>AVERAGE(AX24,AW24)/L24</f>
        <v>#DIV/0!</v>
      </c>
    </row>
    <row r="25" spans="1:63">
      <c r="A25" t="s">
        <v>72</v>
      </c>
      <c r="B25" t="s">
        <v>29</v>
      </c>
      <c r="C25" t="s">
        <v>84</v>
      </c>
      <c r="D25">
        <v>0.05</v>
      </c>
      <c r="E25">
        <v>0.55000000000000004</v>
      </c>
      <c r="F25" s="2">
        <f>2*Q25/(Q25+M25+N25)</f>
        <v>4.9921996879875197E-2</v>
      </c>
      <c r="G25" s="1">
        <f>N25/P25</f>
        <v>0.60000000000000009</v>
      </c>
      <c r="H25" t="s">
        <v>9</v>
      </c>
      <c r="I25" s="1">
        <v>200</v>
      </c>
      <c r="J25" s="1">
        <v>380</v>
      </c>
      <c r="K25" s="3">
        <v>380</v>
      </c>
      <c r="L25" s="3">
        <v>360</v>
      </c>
      <c r="M25" s="1">
        <v>1.9999999999999999E-6</v>
      </c>
      <c r="N25" s="1">
        <v>3.0000000000000001E-6</v>
      </c>
      <c r="O25" s="1">
        <v>1E-4</v>
      </c>
      <c r="P25" s="1">
        <f>M25+N25</f>
        <v>4.9999999999999996E-6</v>
      </c>
      <c r="Q25" s="1">
        <v>1.2800000000000001E-7</v>
      </c>
      <c r="R25" s="1">
        <f t="shared" ref="R25:R45" si="9">P25+Q25</f>
        <v>5.1279999999999999E-6</v>
      </c>
      <c r="S25" t="s">
        <v>65</v>
      </c>
      <c r="T25" t="s">
        <v>11</v>
      </c>
      <c r="U25" t="s">
        <v>11</v>
      </c>
      <c r="V25" s="1" t="s">
        <v>11</v>
      </c>
      <c r="Y25" s="59" t="e">
        <f t="shared" si="2"/>
        <v>#DIV/0!</v>
      </c>
      <c r="AG25" s="5">
        <v>9.3140383812681709</v>
      </c>
      <c r="AH25" s="5">
        <v>2.24004120936549</v>
      </c>
      <c r="AI25" s="43">
        <f t="shared" si="6"/>
        <v>2.5872328836856029E-2</v>
      </c>
      <c r="AJ25">
        <v>8.7899999999999991</v>
      </c>
      <c r="AK25">
        <v>22.5</v>
      </c>
      <c r="AL25">
        <v>0.56000000000000005</v>
      </c>
      <c r="AM25">
        <v>0.51900000000000002</v>
      </c>
      <c r="AN25" s="38">
        <f>(3/5)*(測定設定値!$B$2/(2*SIN(RADIANS(AJ25))))</f>
        <v>3.0244699378028961</v>
      </c>
      <c r="AO25" s="38">
        <f>(5 / 2)*(3/5)*(測定設定値!$B$2/(2*SIN(RADIANS(AK25))))</f>
        <v>3.019332435843924</v>
      </c>
      <c r="AP25" s="59">
        <f t="shared" si="3"/>
        <v>3.0219011868234098</v>
      </c>
      <c r="AQ25" s="50"/>
      <c r="AR25" s="50"/>
      <c r="AS25" s="50"/>
      <c r="AT25" s="50"/>
      <c r="AU25" s="50"/>
      <c r="AV25" s="50" t="e">
        <f>0.1*(1/2)*測定設定値!$B$2/((SIN(RADIANS(AR25/2)-SIN(RADIANS(AQ25/2)))))</f>
        <v>#DIV/0!</v>
      </c>
      <c r="AW25" s="50" t="e">
        <f>0.1*(3/4)*測定設定値!$B$2/(SIN(RADIANS(AS25/2))-(SIN(RADIANS(AR25/2))))</f>
        <v>#DIV/0!</v>
      </c>
      <c r="AX25" s="50" t="e">
        <f>0.1*(3/4)*測定設定値!$B$2/(SIN(RADIANS(AT25/2))-(SIN(RADIANS(AS25/2))))</f>
        <v>#DIV/0!</v>
      </c>
      <c r="AY25" s="50" t="e">
        <f>0.1*(1/2)*測定設定値!$B$2/((SIN(RADIANS(AU25/2)-SIN(RADIANS(AT25/2)))))</f>
        <v>#DIV/0!</v>
      </c>
      <c r="AZ25" s="50"/>
      <c r="BA25" s="50"/>
      <c r="BB25" s="50"/>
      <c r="BC25" s="50"/>
      <c r="BD25" s="50"/>
      <c r="BE25" s="50"/>
      <c r="BF25" s="50" t="e">
        <f>0.1*(3/4)*測定設定値!$B$2/(SIN(RADIANS(BB25/2))-(SIN(RADIANS(BA25/2))))</f>
        <v>#DIV/0!</v>
      </c>
      <c r="BG25" s="50" t="e">
        <f>0.1*(3/4)*測定設定値!$B$2/(SIN(RADIANS(BC25/2))-(SIN(RADIANS(BB25/2))))</f>
        <v>#DIV/0!</v>
      </c>
      <c r="BH25" s="50"/>
      <c r="BI25" s="50" t="e">
        <f t="shared" si="4"/>
        <v>#DIV/0!</v>
      </c>
      <c r="BJ25" s="50" t="e">
        <f t="shared" si="5"/>
        <v>#DIV/0!</v>
      </c>
      <c r="BK25" s="50" t="e">
        <f>AVERAGE(AX25,AW25)/L25</f>
        <v>#DIV/0!</v>
      </c>
    </row>
    <row r="26" spans="1:63">
      <c r="A26" t="s">
        <v>73</v>
      </c>
      <c r="B26" t="s">
        <v>29</v>
      </c>
      <c r="C26" t="s">
        <v>91</v>
      </c>
      <c r="D26">
        <v>0.05</v>
      </c>
      <c r="E26">
        <v>0.55000000000000004</v>
      </c>
      <c r="F26" s="2">
        <f>2*Q26/(Q26+M26+N26)</f>
        <v>4.9921996879875197E-2</v>
      </c>
      <c r="G26" s="1">
        <f>N26/P26</f>
        <v>0.60000000000000009</v>
      </c>
      <c r="H26" t="s">
        <v>23</v>
      </c>
      <c r="I26" s="1">
        <v>200</v>
      </c>
      <c r="J26" s="1">
        <v>380</v>
      </c>
      <c r="K26" s="3">
        <v>380</v>
      </c>
      <c r="L26" s="3">
        <f>2.5+2.5+192.5</f>
        <v>197.5</v>
      </c>
      <c r="M26" s="1">
        <v>1.9999999999999999E-6</v>
      </c>
      <c r="N26" s="1">
        <v>3.0000000000000001E-6</v>
      </c>
      <c r="O26" s="1">
        <v>1E-4</v>
      </c>
      <c r="P26" s="1">
        <f t="shared" ref="P26:P45" si="10">M26+N26</f>
        <v>4.9999999999999996E-6</v>
      </c>
      <c r="Q26" s="1">
        <v>1.2800000000000001E-7</v>
      </c>
      <c r="R26" s="1">
        <f t="shared" si="9"/>
        <v>5.1279999999999999E-6</v>
      </c>
      <c r="S26" t="s">
        <v>65</v>
      </c>
      <c r="T26" t="s">
        <v>11</v>
      </c>
      <c r="U26" t="s">
        <v>11</v>
      </c>
      <c r="Y26" s="59" t="e">
        <f t="shared" si="2"/>
        <v>#DIV/0!</v>
      </c>
      <c r="AG26" s="5">
        <v>77.921809942331706</v>
      </c>
      <c r="AH26" s="5">
        <v>21.906027290004602</v>
      </c>
      <c r="AI26" s="43">
        <f t="shared" si="6"/>
        <v>0.39454080983459089</v>
      </c>
      <c r="AJ26">
        <v>8.7919999999999998</v>
      </c>
      <c r="AK26">
        <v>22.49</v>
      </c>
      <c r="AL26">
        <v>0.441</v>
      </c>
      <c r="AM26">
        <v>0.39900000000000002</v>
      </c>
      <c r="AN26" s="38">
        <f>(3/5)*(測定設定値!$B$2/(2*SIN(RADIANS(AJ26))))</f>
        <v>3.0237873395489276</v>
      </c>
      <c r="AO26" s="38">
        <f>(5 / 2)*(3/5)*(測定設定値!$B$2/(2*SIN(RADIANS(AK26))))</f>
        <v>3.0206052433294852</v>
      </c>
      <c r="AP26" s="59">
        <f t="shared" si="3"/>
        <v>3.0221962914392062</v>
      </c>
      <c r="AV26" s="5" t="e">
        <f>0.1*(1/2)*測定設定値!$B$2/((SIN(RADIANS(AR26/2)-SIN(RADIANS(AQ26/2)))))</f>
        <v>#DIV/0!</v>
      </c>
      <c r="AW26" s="5" t="e">
        <f>0.1*(3/4)*測定設定値!$B$2/(SIN(RADIANS(AS26/2))-(SIN(RADIANS(AR26/2))))</f>
        <v>#DIV/0!</v>
      </c>
      <c r="AX26" s="5" t="e">
        <f>0.1*(3/4)*測定設定値!$B$2/(SIN(RADIANS(AT26/2))-(SIN(RADIANS(AS26/2))))</f>
        <v>#DIV/0!</v>
      </c>
      <c r="AY26" s="5" t="e">
        <f>0.1*(1/2)*測定設定値!$B$2/((SIN(RADIANS(AU26/2)-SIN(RADIANS(AT26/2)))))</f>
        <v>#DIV/0!</v>
      </c>
      <c r="AZ26" s="55"/>
      <c r="BA26" s="55"/>
      <c r="BB26" s="55"/>
      <c r="BC26" s="55"/>
      <c r="BD26" s="55"/>
      <c r="BF26" s="5" t="e">
        <f>0.1*(3/4)*測定設定値!$B$2/(SIN(RADIANS(BB26/2))-(SIN(RADIANS(BA26/2))))</f>
        <v>#DIV/0!</v>
      </c>
      <c r="BG26" s="5" t="e">
        <f>0.1*(3/4)*測定設定値!$B$2/(SIN(RADIANS(BC26/2))-(SIN(RADIANS(BB26/2))))</f>
        <v>#DIV/0!</v>
      </c>
      <c r="BI26" s="5" t="e">
        <f t="shared" si="4"/>
        <v>#DIV/0!</v>
      </c>
      <c r="BJ26" s="5" t="e">
        <f t="shared" si="5"/>
        <v>#DIV/0!</v>
      </c>
      <c r="BK26" s="5" t="e">
        <f>AVERAGE(AX26,AW26)/L26</f>
        <v>#DIV/0!</v>
      </c>
    </row>
    <row r="27" spans="1:63" s="18" customFormat="1">
      <c r="A27" s="18" t="s">
        <v>74</v>
      </c>
      <c r="B27" s="18" t="s">
        <v>79</v>
      </c>
      <c r="C27" s="18" t="s">
        <v>170</v>
      </c>
      <c r="D27" s="18">
        <v>0.04</v>
      </c>
      <c r="E27" s="18">
        <v>0.84</v>
      </c>
      <c r="F27" s="19">
        <f>2*Q27/(Q27+N27)</f>
        <v>3.9215686274509796E-2</v>
      </c>
      <c r="G27" s="20"/>
      <c r="H27" s="18" t="s">
        <v>23</v>
      </c>
      <c r="I27" s="20">
        <v>200</v>
      </c>
      <c r="J27" s="20">
        <v>380</v>
      </c>
      <c r="K27" s="21">
        <v>0</v>
      </c>
      <c r="L27" s="21">
        <f>5+55+55</f>
        <v>115</v>
      </c>
      <c r="M27" s="20">
        <v>5.0000000000000004E-6</v>
      </c>
      <c r="N27" s="20">
        <v>5.0000000000000004E-6</v>
      </c>
      <c r="O27" s="20">
        <v>1E-4</v>
      </c>
      <c r="P27" s="20">
        <f t="shared" si="10"/>
        <v>1.0000000000000001E-5</v>
      </c>
      <c r="Q27" s="20">
        <v>9.9999999999999995E-8</v>
      </c>
      <c r="R27" s="20">
        <f t="shared" si="9"/>
        <v>1.0100000000000002E-5</v>
      </c>
      <c r="S27" s="18" t="s">
        <v>86</v>
      </c>
      <c r="T27" s="18" t="s">
        <v>11</v>
      </c>
      <c r="U27" s="18" t="s">
        <v>11</v>
      </c>
      <c r="V27" s="20" t="s">
        <v>11</v>
      </c>
      <c r="W27" s="22">
        <v>-3.1406000000000001</v>
      </c>
      <c r="X27" s="20">
        <v>-3193200000000000</v>
      </c>
      <c r="Y27" s="62">
        <f t="shared" si="2"/>
        <v>-0.1954840678138923</v>
      </c>
      <c r="Z27" s="23">
        <v>6.3247999999999999E-2</v>
      </c>
      <c r="AA27" s="23"/>
      <c r="AB27" s="36"/>
      <c r="AC27" s="36"/>
      <c r="AD27" s="23"/>
      <c r="AE27" s="46">
        <v>0.119750389432358</v>
      </c>
      <c r="AF27" s="18">
        <v>170</v>
      </c>
      <c r="AG27" s="23">
        <v>45.0287424233059</v>
      </c>
      <c r="AH27" s="23">
        <v>19.627445649820501</v>
      </c>
      <c r="AI27" s="46">
        <f t="shared" si="6"/>
        <v>0.39155428194179043</v>
      </c>
      <c r="AJ27" s="18">
        <v>8.7919999999999998</v>
      </c>
      <c r="AK27" s="18">
        <v>22.466999999999999</v>
      </c>
      <c r="AL27" s="18">
        <v>0.65600000000000003</v>
      </c>
      <c r="AM27" s="18">
        <v>0.52400000000000002</v>
      </c>
      <c r="AN27" s="41">
        <f>(3/5)*(測定設定値!$B$2/(2*SIN(RADIANS(AJ27))))</f>
        <v>3.0237873395489276</v>
      </c>
      <c r="AO27" s="41">
        <f>(5 / 2)*(3/5)*(測定設定値!$B$2/(2*SIN(RADIANS(AK27))))</f>
        <v>3.023537126756739</v>
      </c>
      <c r="AP27" s="62">
        <f t="shared" si="3"/>
        <v>3.0236622331528333</v>
      </c>
      <c r="AQ27" s="23"/>
      <c r="AR27" s="23"/>
      <c r="AS27" s="23"/>
      <c r="AT27" s="23"/>
      <c r="AU27" s="23"/>
      <c r="AV27" s="23" t="e">
        <f>0.1*(1/2)*測定設定値!$B$2/((SIN(RADIANS(AR27/2)-SIN(RADIANS(AQ27/2)))))</f>
        <v>#DIV/0!</v>
      </c>
      <c r="AW27" s="23" t="e">
        <f>0.1*(3/4)*測定設定値!$B$2/(SIN(RADIANS(AS27/2))-(SIN(RADIANS(AR27/2))))</f>
        <v>#DIV/0!</v>
      </c>
      <c r="AX27" s="23" t="e">
        <f>0.1*(3/4)*測定設定値!$B$2/(SIN(RADIANS(AT27/2))-(SIN(RADIANS(AS27/2))))</f>
        <v>#DIV/0!</v>
      </c>
      <c r="AY27" s="23" t="e">
        <f>0.1*(1/2)*測定設定値!$B$2/((SIN(RADIANS(AU27/2)-SIN(RADIANS(AT27/2)))))</f>
        <v>#DIV/0!</v>
      </c>
      <c r="AZ27" s="57"/>
      <c r="BA27" s="57"/>
      <c r="BB27" s="57"/>
      <c r="BC27" s="57"/>
      <c r="BD27" s="57"/>
      <c r="BE27" s="23"/>
      <c r="BF27" s="23" t="e">
        <f>0.1*(3/4)*測定設定値!$B$2/(SIN(RADIANS(BB27/2))-(SIN(RADIANS(BA27/2))))</f>
        <v>#DIV/0!</v>
      </c>
      <c r="BG27" s="23" t="e">
        <f>0.1*(3/4)*測定設定値!$B$2/(SIN(RADIANS(BC27/2))-(SIN(RADIANS(BB27/2))))</f>
        <v>#DIV/0!</v>
      </c>
      <c r="BH27" s="23"/>
      <c r="BI27" s="23" t="e">
        <f t="shared" si="4"/>
        <v>#DIV/0!</v>
      </c>
      <c r="BJ27" s="23" t="e">
        <f t="shared" si="5"/>
        <v>#DIV/0!</v>
      </c>
      <c r="BK27" s="23" t="e">
        <f>AVERAGE(AX27,AW27)/L27</f>
        <v>#DIV/0!</v>
      </c>
    </row>
    <row r="28" spans="1:63">
      <c r="A28" t="s">
        <v>75</v>
      </c>
      <c r="B28" t="s">
        <v>80</v>
      </c>
      <c r="C28" t="s">
        <v>93</v>
      </c>
      <c r="D28">
        <v>0.04</v>
      </c>
      <c r="E28">
        <v>0.84</v>
      </c>
      <c r="F28" s="2">
        <f>2*Q28/(Q28+N28)</f>
        <v>3.9215686274509796E-2</v>
      </c>
      <c r="G28" s="1"/>
      <c r="H28" t="s">
        <v>23</v>
      </c>
      <c r="I28" s="1">
        <v>200</v>
      </c>
      <c r="J28" s="1">
        <v>380</v>
      </c>
      <c r="K28" s="3">
        <v>0</v>
      </c>
      <c r="L28" s="3">
        <f>5+55+55</f>
        <v>115</v>
      </c>
      <c r="M28" s="1">
        <v>5.0000000000000004E-6</v>
      </c>
      <c r="N28" s="1">
        <v>5.0000000000000004E-6</v>
      </c>
      <c r="O28" s="1">
        <v>1E-4</v>
      </c>
      <c r="P28" s="1">
        <f t="shared" si="10"/>
        <v>1.0000000000000001E-5</v>
      </c>
      <c r="Q28" s="1">
        <v>9.9999999999999995E-8</v>
      </c>
      <c r="R28" s="1">
        <f t="shared" si="9"/>
        <v>1.0100000000000002E-5</v>
      </c>
      <c r="S28" t="s">
        <v>87</v>
      </c>
      <c r="T28" t="s">
        <v>11</v>
      </c>
      <c r="U28" t="s">
        <v>11</v>
      </c>
      <c r="Y28" s="59" t="e">
        <f t="shared" si="2"/>
        <v>#DIV/0!</v>
      </c>
      <c r="AI28" s="43">
        <f t="shared" si="6"/>
        <v>0</v>
      </c>
      <c r="AN28" s="38" t="e">
        <f>(3/5)*(測定設定値!$B$2/(2*SIN(RADIANS(AJ28))))</f>
        <v>#DIV/0!</v>
      </c>
      <c r="AO28" s="38" t="e">
        <f>(5 / 2)*(3/5)*(測定設定値!$B$2/(2*SIN(RADIANS(AK28))))</f>
        <v>#DIV/0!</v>
      </c>
      <c r="AP28" s="59" t="e">
        <f t="shared" si="3"/>
        <v>#DIV/0!</v>
      </c>
      <c r="AV28" s="5" t="e">
        <f>0.1*(1/2)*測定設定値!$B$2/((SIN(RADIANS(AR28/2)-SIN(RADIANS(AQ28/2)))))</f>
        <v>#DIV/0!</v>
      </c>
      <c r="AW28" s="5" t="e">
        <f>0.1*(3/4)*測定設定値!$B$2/(SIN(RADIANS(AS28/2))-(SIN(RADIANS(AR28/2))))</f>
        <v>#DIV/0!</v>
      </c>
      <c r="AX28" s="5" t="e">
        <f>0.1*(3/4)*測定設定値!$B$2/(SIN(RADIANS(AT28/2))-(SIN(RADIANS(AS28/2))))</f>
        <v>#DIV/0!</v>
      </c>
      <c r="AY28" s="5" t="e">
        <f>0.1*(1/2)*測定設定値!$B$2/((SIN(RADIANS(AU28/2)-SIN(RADIANS(AT28/2)))))</f>
        <v>#DIV/0!</v>
      </c>
      <c r="AZ28" s="55"/>
      <c r="BA28" s="55"/>
      <c r="BB28" s="55"/>
      <c r="BC28" s="55"/>
      <c r="BD28" s="55"/>
      <c r="BF28" s="5" t="e">
        <f>0.1*(3/4)*測定設定値!$B$2/(SIN(RADIANS(BB28/2))-(SIN(RADIANS(BA28/2))))</f>
        <v>#DIV/0!</v>
      </c>
      <c r="BG28" s="5" t="e">
        <f>0.1*(3/4)*測定設定値!$B$2/(SIN(RADIANS(BC28/2))-(SIN(RADIANS(BB28/2))))</f>
        <v>#DIV/0!</v>
      </c>
      <c r="BI28" s="5" t="e">
        <f t="shared" si="4"/>
        <v>#DIV/0!</v>
      </c>
      <c r="BJ28" s="5" t="e">
        <f t="shared" si="5"/>
        <v>#DIV/0!</v>
      </c>
      <c r="BK28" s="5" t="e">
        <f>AVERAGE(AX28,AW28)/L28</f>
        <v>#DIV/0!</v>
      </c>
    </row>
    <row r="29" spans="1:63" s="6" customFormat="1">
      <c r="A29" s="6" t="s">
        <v>76</v>
      </c>
      <c r="B29" s="6" t="s">
        <v>83</v>
      </c>
      <c r="C29" s="6" t="s">
        <v>176</v>
      </c>
      <c r="D29" s="6">
        <v>0.03</v>
      </c>
      <c r="E29" s="6">
        <v>0.72</v>
      </c>
      <c r="F29" s="7">
        <f>2*Q29/(Q29+M29+N29)</f>
        <v>2.9944838455476755E-2</v>
      </c>
      <c r="G29" s="8">
        <f>N29/P29</f>
        <v>0.60000000000000009</v>
      </c>
      <c r="H29" s="6" t="s">
        <v>23</v>
      </c>
      <c r="I29" s="8">
        <v>200</v>
      </c>
      <c r="J29" s="8">
        <v>380</v>
      </c>
      <c r="K29" s="9">
        <v>380</v>
      </c>
      <c r="L29" s="9">
        <f>2.5+3.5+10+25+10</f>
        <v>51</v>
      </c>
      <c r="M29" s="8">
        <v>1.9999999999999999E-6</v>
      </c>
      <c r="N29" s="8">
        <v>3.0000000000000001E-6</v>
      </c>
      <c r="O29" s="8">
        <v>1E-4</v>
      </c>
      <c r="P29" s="8">
        <f t="shared" si="10"/>
        <v>4.9999999999999996E-6</v>
      </c>
      <c r="Q29" s="8">
        <v>7.6000000000000006E-8</v>
      </c>
      <c r="R29" s="8">
        <f t="shared" si="9"/>
        <v>5.0759999999999993E-6</v>
      </c>
      <c r="S29" s="6" t="s">
        <v>88</v>
      </c>
      <c r="T29" s="6" t="s">
        <v>11</v>
      </c>
      <c r="U29" s="6" t="s">
        <v>11</v>
      </c>
      <c r="W29" s="10">
        <v>-95.848596728821903</v>
      </c>
      <c r="X29" s="8">
        <v>-3544077273175.6699</v>
      </c>
      <c r="Y29" s="61">
        <f t="shared" si="2"/>
        <v>-176.1303936762047</v>
      </c>
      <c r="Z29" s="11">
        <v>0.03</v>
      </c>
      <c r="AA29" s="11">
        <v>14041</v>
      </c>
      <c r="AB29" s="35">
        <v>3.218E-5</v>
      </c>
      <c r="AC29" s="35">
        <v>4.0000000000000003E-5</v>
      </c>
      <c r="AD29" s="11">
        <v>19000</v>
      </c>
      <c r="AE29" s="45">
        <v>0.51388162327096898</v>
      </c>
      <c r="AF29" s="6">
        <v>20</v>
      </c>
      <c r="AG29" s="11"/>
      <c r="AH29" s="11"/>
      <c r="AI29" s="45">
        <f t="shared" si="6"/>
        <v>0</v>
      </c>
      <c r="AN29" s="40" t="e">
        <f>(3/5)*(測定設定値!$B$2/(2*SIN(RADIANS(AJ29))))</f>
        <v>#DIV/0!</v>
      </c>
      <c r="AO29" s="40" t="e">
        <f>(5 / 2)*(3/5)*(測定設定値!$B$2/(2*SIN(RADIANS(AK29))))</f>
        <v>#DIV/0!</v>
      </c>
      <c r="AP29" s="61" t="e">
        <f t="shared" si="3"/>
        <v>#DIV/0!</v>
      </c>
      <c r="AQ29" s="11"/>
      <c r="AR29" s="11"/>
      <c r="AS29" s="11"/>
      <c r="AT29" s="11"/>
      <c r="AU29" s="11"/>
      <c r="AV29" s="11" t="e">
        <f>0.1*(1/2)*測定設定値!$B$2/((SIN(RADIANS(AR29/2)-SIN(RADIANS(AQ29/2)))))</f>
        <v>#DIV/0!</v>
      </c>
      <c r="AW29" s="11" t="e">
        <f>0.1*(3/4)*測定設定値!$B$2/(SIN(RADIANS(AS29/2))-(SIN(RADIANS(AR29/2))))</f>
        <v>#DIV/0!</v>
      </c>
      <c r="AX29" s="11" t="e">
        <f>0.1*(3/4)*測定設定値!$B$2/(SIN(RADIANS(AT29/2))-(SIN(RADIANS(AS29/2))))</f>
        <v>#DIV/0!</v>
      </c>
      <c r="AY29" s="11" t="e">
        <f>0.1*(1/2)*測定設定値!$B$2/((SIN(RADIANS(AU29/2)-SIN(RADIANS(AT29/2)))))</f>
        <v>#DIV/0!</v>
      </c>
      <c r="AZ29" s="56"/>
      <c r="BA29" s="56"/>
      <c r="BB29" s="56"/>
      <c r="BC29" s="56"/>
      <c r="BD29" s="56"/>
      <c r="BE29" s="11"/>
      <c r="BF29" s="11" t="e">
        <f>0.1*(3/4)*測定設定値!$B$2/(SIN(RADIANS(BB29/2))-(SIN(RADIANS(BA29/2))))</f>
        <v>#DIV/0!</v>
      </c>
      <c r="BG29" s="11" t="e">
        <f>0.1*(3/4)*測定設定値!$B$2/(SIN(RADIANS(BC29/2))-(SIN(RADIANS(BB29/2))))</f>
        <v>#DIV/0!</v>
      </c>
      <c r="BH29" s="11"/>
      <c r="BI29" s="11" t="e">
        <f t="shared" si="4"/>
        <v>#DIV/0!</v>
      </c>
      <c r="BJ29" s="11" t="e">
        <f t="shared" si="5"/>
        <v>#DIV/0!</v>
      </c>
      <c r="BK29" s="11" t="e">
        <f>AVERAGE(AX29,AW29)/L29</f>
        <v>#DIV/0!</v>
      </c>
    </row>
    <row r="30" spans="1:63" s="18" customFormat="1">
      <c r="A30" s="18" t="s">
        <v>77</v>
      </c>
      <c r="B30" s="18" t="s">
        <v>80</v>
      </c>
      <c r="C30" s="18" t="s">
        <v>171</v>
      </c>
      <c r="D30" s="18">
        <v>0.04</v>
      </c>
      <c r="F30" s="19">
        <f>2*Q30/(Q30+M30+N30)</f>
        <v>1.9801980198019799E-2</v>
      </c>
      <c r="G30" s="20"/>
      <c r="H30" s="18" t="s">
        <v>23</v>
      </c>
      <c r="I30" s="20">
        <v>200</v>
      </c>
      <c r="J30" s="20">
        <v>380</v>
      </c>
      <c r="K30" s="21"/>
      <c r="L30" s="21">
        <f>5+55+55</f>
        <v>115</v>
      </c>
      <c r="M30" s="20">
        <v>5.0000000000000004E-6</v>
      </c>
      <c r="N30" s="20">
        <v>5.0000000000000004E-6</v>
      </c>
      <c r="O30" s="20">
        <v>1E-4</v>
      </c>
      <c r="P30" s="20">
        <f t="shared" si="10"/>
        <v>1.0000000000000001E-5</v>
      </c>
      <c r="Q30" s="20">
        <v>9.9999999999999995E-8</v>
      </c>
      <c r="R30" s="20">
        <f t="shared" si="9"/>
        <v>1.0100000000000002E-5</v>
      </c>
      <c r="S30" s="18" t="s">
        <v>87</v>
      </c>
      <c r="T30" s="18" t="s">
        <v>11</v>
      </c>
      <c r="U30" s="18" t="s">
        <v>11</v>
      </c>
      <c r="V30" s="20" t="s">
        <v>11</v>
      </c>
      <c r="W30" s="22">
        <v>4.9306999999999999</v>
      </c>
      <c r="X30" s="20">
        <v>1352900000000000</v>
      </c>
      <c r="Y30" s="62">
        <f t="shared" si="2"/>
        <v>0.4613938394140889</v>
      </c>
      <c r="Z30" s="23">
        <v>5.2012999999999997E-2</v>
      </c>
      <c r="AA30" s="23"/>
      <c r="AB30" s="36"/>
      <c r="AC30" s="36"/>
      <c r="AD30" s="23"/>
      <c r="AE30" s="46">
        <v>0.20461423878569299</v>
      </c>
      <c r="AG30" s="23">
        <v>40.183207776545402</v>
      </c>
      <c r="AH30" s="23">
        <v>10.571468278559101</v>
      </c>
      <c r="AI30" s="46">
        <f t="shared" si="6"/>
        <v>0.34941919805691651</v>
      </c>
      <c r="AJ30" s="18">
        <v>8.7319999999999993</v>
      </c>
      <c r="AK30" s="18">
        <v>22.292000000000002</v>
      </c>
      <c r="AL30" s="18">
        <v>0.70799999999999996</v>
      </c>
      <c r="AM30" s="18">
        <v>0.65100000000000002</v>
      </c>
      <c r="AN30" s="41">
        <f>(3/5)*(測定設定値!$B$2/(2*SIN(RADIANS(AJ30))))</f>
        <v>3.0444018511616386</v>
      </c>
      <c r="AO30" s="41">
        <f>(5 / 2)*(3/5)*(測定設定値!$B$2/(2*SIN(RADIANS(AK30))))</f>
        <v>3.0460488832320101</v>
      </c>
      <c r="AP30" s="62">
        <f t="shared" si="3"/>
        <v>3.0452253671968244</v>
      </c>
      <c r="AQ30" s="23"/>
      <c r="AR30" s="23"/>
      <c r="AS30" s="23"/>
      <c r="AT30" s="23"/>
      <c r="AU30" s="23"/>
      <c r="AV30" s="23" t="e">
        <f>0.1*(1/2)*測定設定値!$B$2/((SIN(RADIANS(AR30/2)-SIN(RADIANS(AQ30/2)))))</f>
        <v>#DIV/0!</v>
      </c>
      <c r="AW30" s="23" t="e">
        <f>0.1*(3/4)*測定設定値!$B$2/(SIN(RADIANS(AS30/2))-(SIN(RADIANS(AR30/2))))</f>
        <v>#DIV/0!</v>
      </c>
      <c r="AX30" s="23" t="e">
        <f>0.1*(3/4)*測定設定値!$B$2/(SIN(RADIANS(AT30/2))-(SIN(RADIANS(AS30/2))))</f>
        <v>#DIV/0!</v>
      </c>
      <c r="AY30" s="23" t="e">
        <f>0.1*(1/2)*測定設定値!$B$2/((SIN(RADIANS(AU30/2)-SIN(RADIANS(AT30/2)))))</f>
        <v>#DIV/0!</v>
      </c>
      <c r="AZ30" s="57"/>
      <c r="BA30" s="57"/>
      <c r="BB30" s="57"/>
      <c r="BC30" s="57"/>
      <c r="BD30" s="57"/>
      <c r="BE30" s="23"/>
      <c r="BF30" s="23" t="e">
        <f>0.1*(3/4)*測定設定値!$B$2/(SIN(RADIANS(BB30/2))-(SIN(RADIANS(BA30/2))))</f>
        <v>#DIV/0!</v>
      </c>
      <c r="BG30" s="23" t="e">
        <f>0.1*(3/4)*測定設定値!$B$2/(SIN(RADIANS(BC30/2))-(SIN(RADIANS(BB30/2))))</f>
        <v>#DIV/0!</v>
      </c>
      <c r="BH30" s="23"/>
      <c r="BI30" s="23" t="e">
        <f t="shared" si="4"/>
        <v>#DIV/0!</v>
      </c>
      <c r="BJ30" s="23" t="e">
        <f t="shared" si="5"/>
        <v>#DIV/0!</v>
      </c>
      <c r="BK30" s="23" t="e">
        <f>AVERAGE(AX30,AW30)/L30</f>
        <v>#DIV/0!</v>
      </c>
    </row>
    <row r="31" spans="1:63" s="6" customFormat="1">
      <c r="A31" s="6" t="s">
        <v>78</v>
      </c>
      <c r="B31" s="6" t="s">
        <v>83</v>
      </c>
      <c r="D31" s="6">
        <v>0.04</v>
      </c>
      <c r="E31" s="6">
        <v>0.72</v>
      </c>
      <c r="F31" s="7">
        <f>2*Q31/(Q31+M31+N31)</f>
        <v>3.9215686274509796E-2</v>
      </c>
      <c r="G31" s="8">
        <f>N31/P31</f>
        <v>0.72000000000000008</v>
      </c>
      <c r="H31" s="6" t="s">
        <v>23</v>
      </c>
      <c r="I31" s="8">
        <v>200</v>
      </c>
      <c r="J31" s="8">
        <v>380</v>
      </c>
      <c r="K31" s="9">
        <v>380</v>
      </c>
      <c r="L31" s="9">
        <v>51</v>
      </c>
      <c r="M31" s="8">
        <v>1.3999999999999999E-6</v>
      </c>
      <c r="N31" s="8">
        <v>3.5999999999999998E-6</v>
      </c>
      <c r="O31" s="8">
        <v>1E-4</v>
      </c>
      <c r="P31" s="8">
        <f>M31+N31</f>
        <v>4.9999999999999996E-6</v>
      </c>
      <c r="Q31" s="8">
        <v>9.9999999999999995E-8</v>
      </c>
      <c r="R31" s="8">
        <f t="shared" si="9"/>
        <v>5.0999999999999995E-6</v>
      </c>
      <c r="S31" s="6" t="s">
        <v>88</v>
      </c>
      <c r="T31" s="6" t="s">
        <v>11</v>
      </c>
      <c r="U31" s="6" t="s">
        <v>11</v>
      </c>
      <c r="W31" s="10">
        <v>-91.866548202097903</v>
      </c>
      <c r="X31" s="8">
        <v>-7282085801696.0703</v>
      </c>
      <c r="Y31" s="61">
        <f t="shared" si="2"/>
        <v>-85.719908051335224</v>
      </c>
      <c r="Z31" s="11">
        <v>0.05</v>
      </c>
      <c r="AA31" s="11">
        <v>22029</v>
      </c>
      <c r="AB31" s="35">
        <v>3.9076999999999999E-5</v>
      </c>
      <c r="AC31" s="35">
        <v>1.7302000000000001E-5</v>
      </c>
      <c r="AD31" s="11">
        <v>9652.4</v>
      </c>
      <c r="AE31" s="45">
        <v>2.2564759990566698</v>
      </c>
      <c r="AF31" s="6">
        <v>20</v>
      </c>
      <c r="AG31" s="11">
        <v>16.936021826419001</v>
      </c>
      <c r="AH31" s="11">
        <v>3.8229943638402699</v>
      </c>
      <c r="AI31" s="45">
        <f t="shared" si="6"/>
        <v>0.33207885934154902</v>
      </c>
      <c r="AJ31" s="6">
        <v>8.6639999999999997</v>
      </c>
      <c r="AK31" s="6">
        <v>22.193000000000001</v>
      </c>
      <c r="AL31" s="6">
        <v>0.33100000000000002</v>
      </c>
      <c r="AM31" s="6">
        <v>0.192</v>
      </c>
      <c r="AN31" s="40">
        <f>(3/5)*(測定設定値!$B$2/(2*SIN(RADIANS(AJ31))))</f>
        <v>3.0681114984492326</v>
      </c>
      <c r="AO31" s="40">
        <f>(5 / 2)*(3/5)*(測定設定値!$B$2/(2*SIN(RADIANS(AK31))))</f>
        <v>3.0589458999388137</v>
      </c>
      <c r="AP31" s="61">
        <f t="shared" si="3"/>
        <v>3.0635286991940234</v>
      </c>
      <c r="AQ31" s="11">
        <v>15.528169014084501</v>
      </c>
      <c r="AR31" s="11">
        <v>16.302816901408399</v>
      </c>
      <c r="AS31" s="11">
        <v>17.3239436619718</v>
      </c>
      <c r="AT31" s="11">
        <v>18.450704225352101</v>
      </c>
      <c r="AU31" s="11">
        <v>19.260563380281599</v>
      </c>
      <c r="AV31" s="11">
        <f>0.1*(1/2)*測定設定値!$B$2/((SIN(RADIANS(AR31/2)-SIN(RADIANS(AQ31/2)))))</f>
        <v>10.736843156696247</v>
      </c>
      <c r="AW31" s="11">
        <f>0.1*(3/4)*測定設定値!$B$2/(SIN(RADIANS(AS31/2))-(SIN(RADIANS(AR31/2))))</f>
        <v>13.107402268765744</v>
      </c>
      <c r="AX31" s="11">
        <f>0.1*(3/4)*測定設定値!$B$2/(SIN(RADIANS(AT31/2))-(SIN(RADIANS(AS31/2))))</f>
        <v>11.895589939799223</v>
      </c>
      <c r="AY31" s="11">
        <f>0.1*(1/2)*測定設定値!$B$2/((SIN(RADIANS(AU31/2)-SIN(RADIANS(AT31/2)))))</f>
        <v>9.9238639168568703</v>
      </c>
      <c r="AZ31" s="56"/>
      <c r="BA31" s="56"/>
      <c r="BB31" s="56">
        <v>44.3661971830985</v>
      </c>
      <c r="BC31" s="56">
        <v>45.704225352112601</v>
      </c>
      <c r="BD31" s="56">
        <v>46.619718309859103</v>
      </c>
      <c r="BE31" s="11"/>
      <c r="BF31" s="11">
        <f>0.1*(3/4)*測定設定値!$B$2/(SIN(RADIANS(BB31/2))-(SIN(RADIANS(BA31/2))))</f>
        <v>0.30602422986860567</v>
      </c>
      <c r="BG31" s="11">
        <f>0.1*(3/4)*測定設定値!$B$2/(SIN(RADIANS(BC31/2))-(SIN(RADIANS(BB31/2))))</f>
        <v>10.712242265738888</v>
      </c>
      <c r="BH31" s="11"/>
      <c r="BI31" s="11">
        <f t="shared" si="4"/>
        <v>9.4469942962875972</v>
      </c>
      <c r="BJ31" s="11">
        <f t="shared" si="5"/>
        <v>4.6139680980148459</v>
      </c>
      <c r="BK31" s="11">
        <f>AVERAGE(AX31,AW31)/L31</f>
        <v>0.24512737459377421</v>
      </c>
    </row>
    <row r="32" spans="1:63">
      <c r="A32" t="s">
        <v>101</v>
      </c>
      <c r="B32" t="s">
        <v>111</v>
      </c>
      <c r="C32" t="s">
        <v>112</v>
      </c>
      <c r="D32">
        <v>0.04</v>
      </c>
      <c r="F32" s="2">
        <f>2*Q32/(Q32+N32)</f>
        <v>3.9215686274509796E-2</v>
      </c>
      <c r="H32" t="s">
        <v>23</v>
      </c>
      <c r="I32">
        <v>200</v>
      </c>
      <c r="J32">
        <v>380</v>
      </c>
      <c r="K32" s="3">
        <v>0</v>
      </c>
      <c r="L32" s="3">
        <v>115</v>
      </c>
      <c r="M32" s="1" t="s">
        <v>117</v>
      </c>
      <c r="N32" s="1">
        <v>5.0000000000000004E-6</v>
      </c>
      <c r="O32" s="1">
        <v>1E-4</v>
      </c>
      <c r="P32" s="1"/>
      <c r="Q32" s="1">
        <v>9.9999999999999995E-8</v>
      </c>
      <c r="R32" s="1"/>
      <c r="S32" t="s">
        <v>116</v>
      </c>
      <c r="T32" t="s">
        <v>11</v>
      </c>
      <c r="U32" t="s">
        <v>11</v>
      </c>
      <c r="Y32" s="59" t="e">
        <f t="shared" si="2"/>
        <v>#DIV/0!</v>
      </c>
      <c r="AI32" s="43">
        <f t="shared" si="6"/>
        <v>0</v>
      </c>
      <c r="AN32" s="38" t="e">
        <f>(3/5)*(測定設定値!$B$2/(2*SIN(RADIANS(AJ32))))</f>
        <v>#DIV/0!</v>
      </c>
      <c r="AO32" s="38" t="e">
        <f>(5 / 2)*(3/5)*(測定設定値!$B$2/(2*SIN(RADIANS(AK32))))</f>
        <v>#DIV/0!</v>
      </c>
      <c r="AP32" s="59" t="e">
        <f t="shared" si="3"/>
        <v>#DIV/0!</v>
      </c>
      <c r="AV32" s="5" t="e">
        <f>0.1*(1/2)*測定設定値!$B$2/((SIN(RADIANS(AR32/2)-SIN(RADIANS(AQ32/2)))))</f>
        <v>#DIV/0!</v>
      </c>
      <c r="AW32" s="5" t="e">
        <f>0.1*(3/4)*測定設定値!$B$2/(SIN(RADIANS(AS32/2))-(SIN(RADIANS(AR32/2))))</f>
        <v>#DIV/0!</v>
      </c>
      <c r="AX32" s="5" t="e">
        <f>0.1*(3/4)*測定設定値!$B$2/(SIN(RADIANS(AT32/2))-(SIN(RADIANS(AS32/2))))</f>
        <v>#DIV/0!</v>
      </c>
      <c r="AY32" s="5" t="e">
        <f>0.1*(1/2)*測定設定値!$B$2/((SIN(RADIANS(AU32/2)-SIN(RADIANS(AT32/2)))))</f>
        <v>#DIV/0!</v>
      </c>
      <c r="AZ32" s="55"/>
      <c r="BA32" s="55"/>
      <c r="BB32" s="55"/>
      <c r="BC32" s="55"/>
      <c r="BD32" s="55"/>
      <c r="BF32" s="5" t="e">
        <f>0.1*(3/4)*測定設定値!$B$2/(SIN(RADIANS(BB32/2))-(SIN(RADIANS(BA32/2))))</f>
        <v>#DIV/0!</v>
      </c>
      <c r="BG32" s="5" t="e">
        <f>0.1*(3/4)*測定設定値!$B$2/(SIN(RADIANS(BC32/2))-(SIN(RADIANS(BB32/2))))</f>
        <v>#DIV/0!</v>
      </c>
      <c r="BI32" s="5" t="e">
        <f t="shared" si="4"/>
        <v>#DIV/0!</v>
      </c>
      <c r="BJ32" s="5" t="e">
        <f t="shared" si="5"/>
        <v>#DIV/0!</v>
      </c>
      <c r="BK32" s="5" t="e">
        <f>AVERAGE(AX32,AW32)/L32</f>
        <v>#DIV/0!</v>
      </c>
    </row>
    <row r="33" spans="1:63">
      <c r="A33" t="s">
        <v>102</v>
      </c>
      <c r="B33" t="s">
        <v>110</v>
      </c>
      <c r="D33">
        <v>0.04</v>
      </c>
      <c r="F33" s="2"/>
      <c r="G33" s="1"/>
      <c r="H33" t="s">
        <v>23</v>
      </c>
      <c r="I33">
        <v>200</v>
      </c>
      <c r="J33">
        <v>380</v>
      </c>
      <c r="K33" s="3">
        <v>0</v>
      </c>
      <c r="L33" s="3">
        <v>115</v>
      </c>
      <c r="M33" t="s">
        <v>143</v>
      </c>
      <c r="N33" s="1" t="s">
        <v>144</v>
      </c>
      <c r="O33" s="1">
        <v>1E-4</v>
      </c>
      <c r="P33" s="1"/>
      <c r="Q33" s="1">
        <v>9.9999999999999995E-8</v>
      </c>
      <c r="R33" s="1"/>
      <c r="S33" t="s">
        <v>115</v>
      </c>
      <c r="T33" t="s">
        <v>11</v>
      </c>
      <c r="U33" t="s">
        <v>11</v>
      </c>
      <c r="Y33" s="59" t="e">
        <f t="shared" si="2"/>
        <v>#DIV/0!</v>
      </c>
      <c r="AI33" s="43">
        <f t="shared" si="6"/>
        <v>0</v>
      </c>
      <c r="AN33" s="38" t="e">
        <f>(3/5)*(測定設定値!$B$2/(2*SIN(RADIANS(AJ33))))</f>
        <v>#DIV/0!</v>
      </c>
      <c r="AO33" s="38" t="e">
        <f>(5 / 2)*(3/5)*(測定設定値!$B$2/(2*SIN(RADIANS(AK33))))</f>
        <v>#DIV/0!</v>
      </c>
      <c r="AP33" s="59" t="e">
        <f t="shared" si="3"/>
        <v>#DIV/0!</v>
      </c>
      <c r="AV33" s="5" t="e">
        <f>0.1*(1/2)*測定設定値!$B$2/((SIN(RADIANS(AR33/2)-SIN(RADIANS(AQ33/2)))))</f>
        <v>#DIV/0!</v>
      </c>
      <c r="AW33" s="5" t="e">
        <f>0.1*(3/4)*測定設定値!$B$2/(SIN(RADIANS(AS33/2))-(SIN(RADIANS(AR33/2))))</f>
        <v>#DIV/0!</v>
      </c>
      <c r="AX33" s="5" t="e">
        <f>0.1*(3/4)*測定設定値!$B$2/(SIN(RADIANS(AT33/2))-(SIN(RADIANS(AS33/2))))</f>
        <v>#DIV/0!</v>
      </c>
      <c r="AY33" s="5" t="e">
        <f>0.1*(1/2)*測定設定値!$B$2/((SIN(RADIANS(AU33/2)-SIN(RADIANS(AT33/2)))))</f>
        <v>#DIV/0!</v>
      </c>
      <c r="AZ33" s="55"/>
      <c r="BA33" s="55"/>
      <c r="BB33" s="55"/>
      <c r="BC33" s="55"/>
      <c r="BD33" s="55"/>
      <c r="BF33" s="5" t="e">
        <f>0.1*(3/4)*測定設定値!$B$2/(SIN(RADIANS(BB33/2))-(SIN(RADIANS(BA33/2))))</f>
        <v>#DIV/0!</v>
      </c>
      <c r="BG33" s="5" t="e">
        <f>0.1*(3/4)*測定設定値!$B$2/(SIN(RADIANS(BC33/2))-(SIN(RADIANS(BB33/2))))</f>
        <v>#DIV/0!</v>
      </c>
      <c r="BI33" s="5" t="e">
        <f t="shared" si="4"/>
        <v>#DIV/0!</v>
      </c>
      <c r="BJ33" s="5" t="e">
        <f t="shared" si="5"/>
        <v>#DIV/0!</v>
      </c>
      <c r="BK33" s="5" t="e">
        <f>AVERAGE(AX33,AW33)/L33</f>
        <v>#DIV/0!</v>
      </c>
    </row>
    <row r="34" spans="1:63" s="24" customFormat="1">
      <c r="A34" s="24" t="s">
        <v>103</v>
      </c>
      <c r="B34" s="24" t="s">
        <v>108</v>
      </c>
      <c r="C34" s="24" t="s">
        <v>169</v>
      </c>
      <c r="D34" s="24">
        <v>0.04</v>
      </c>
      <c r="E34" s="24">
        <v>1</v>
      </c>
      <c r="F34" s="25">
        <f>2*Q34/(Q34+N34)</f>
        <v>3.9215686274509796E-2</v>
      </c>
      <c r="G34" s="29"/>
      <c r="H34" s="24" t="s">
        <v>23</v>
      </c>
      <c r="I34" s="24">
        <v>200</v>
      </c>
      <c r="J34" s="24">
        <v>380</v>
      </c>
      <c r="K34" s="26">
        <v>0</v>
      </c>
      <c r="L34" s="26">
        <v>60</v>
      </c>
      <c r="M34" s="24">
        <v>0</v>
      </c>
      <c r="N34" s="24">
        <v>5.0000000000000004E-6</v>
      </c>
      <c r="O34" s="24">
        <v>1E-4</v>
      </c>
      <c r="P34" s="29">
        <f t="shared" si="10"/>
        <v>5.0000000000000004E-6</v>
      </c>
      <c r="Q34" s="29">
        <v>9.9999999999999995E-8</v>
      </c>
      <c r="R34" s="29">
        <f t="shared" si="9"/>
        <v>5.1000000000000003E-6</v>
      </c>
      <c r="S34" s="24" t="s">
        <v>114</v>
      </c>
      <c r="T34" s="24" t="s">
        <v>11</v>
      </c>
      <c r="U34" s="24" t="s">
        <v>11</v>
      </c>
      <c r="V34" s="24" t="s">
        <v>11</v>
      </c>
      <c r="W34" s="27">
        <v>16.763000000000002</v>
      </c>
      <c r="X34" s="29">
        <v>78930000000000</v>
      </c>
      <c r="Y34" s="63">
        <f t="shared" si="2"/>
        <v>7.9085230627558714</v>
      </c>
      <c r="Z34" s="28">
        <v>8.7031999999999998E-2</v>
      </c>
      <c r="AA34" s="28">
        <v>315.62</v>
      </c>
      <c r="AB34" s="37">
        <v>1.4132E-5</v>
      </c>
      <c r="AC34" s="37">
        <v>2.1102999999999999E-4</v>
      </c>
      <c r="AD34" s="28">
        <v>4718</v>
      </c>
      <c r="AE34" s="47">
        <v>6.6849442017609298E-2</v>
      </c>
      <c r="AF34" s="24" t="s">
        <v>178</v>
      </c>
      <c r="AG34" s="28">
        <v>9.11168426106223</v>
      </c>
      <c r="AH34" s="28">
        <v>1.2007733619723999</v>
      </c>
      <c r="AI34" s="47">
        <f t="shared" si="6"/>
        <v>0.15186140435103718</v>
      </c>
      <c r="AJ34" s="24">
        <v>8.8620000000000001</v>
      </c>
      <c r="AK34" s="24">
        <v>22.690999999999999</v>
      </c>
      <c r="AL34" s="24">
        <v>0.47099999999999997</v>
      </c>
      <c r="AM34" s="24">
        <v>0.28799999999999998</v>
      </c>
      <c r="AN34" s="42">
        <f>(3/5)*(測定設定値!$B$2/(2*SIN(RADIANS(AJ34))))</f>
        <v>3.000091281778241</v>
      </c>
      <c r="AO34" s="42">
        <f>(5 / 2)*(3/5)*(測定設定値!$B$2/(2*SIN(RADIANS(AK34))))</f>
        <v>2.9952434894616533</v>
      </c>
      <c r="AP34" s="63">
        <f t="shared" si="3"/>
        <v>2.9976673856199474</v>
      </c>
      <c r="AQ34" s="28"/>
      <c r="AR34" s="28">
        <v>16.6478873239436</v>
      </c>
      <c r="AS34" s="28">
        <v>17.7183098591549</v>
      </c>
      <c r="AT34" s="28">
        <v>18.845070422535201</v>
      </c>
      <c r="AU34" s="28"/>
      <c r="AV34" s="28">
        <f>0.1*(1/2)*測定設定値!$B$2/((SIN(RADIANS(AR34/2)-SIN(RADIANS(AQ34/2)))))</f>
        <v>0.53208576297046462</v>
      </c>
      <c r="AW34" s="28">
        <f>0.1*(3/4)*測定設定値!$B$2/(SIN(RADIANS(AS34/2))-(SIN(RADIANS(AR34/2))))</f>
        <v>12.509805998420566</v>
      </c>
      <c r="AX34" s="28">
        <f>0.1*(3/4)*測定設定値!$B$2/(SIN(RADIANS(AT34/2))-(SIN(RADIANS(AS34/2))))</f>
        <v>11.902106720508719</v>
      </c>
      <c r="AY34" s="28">
        <f>0.1*(1/2)*測定設定値!$B$2/((SIN(RADIANS(AU34/2)-SIN(RADIANS(AT34/2)))))</f>
        <v>-0.47262349939126924</v>
      </c>
      <c r="AZ34" s="58"/>
      <c r="BA34" s="58">
        <v>44.028169014084497</v>
      </c>
      <c r="BB34" s="58">
        <v>45.380281690140798</v>
      </c>
      <c r="BC34" s="58">
        <v>46.774647887323901</v>
      </c>
      <c r="BD34" s="58"/>
      <c r="BE34" s="28"/>
      <c r="BF34" s="28">
        <f>0.1*(3/4)*測定設定値!$B$2/(SIN(RADIANS(BB34/2))-(SIN(RADIANS(BA34/2))))</f>
        <v>10.588023206149394</v>
      </c>
      <c r="BG34" s="28">
        <f>0.1*(3/4)*測定設定値!$B$2/(SIN(RADIANS(BC34/2))-(SIN(RADIANS(BB34/2))))</f>
        <v>10.318764695391565</v>
      </c>
      <c r="BH34" s="28"/>
      <c r="BI34" s="28">
        <f t="shared" si="4"/>
        <v>7.5630271473415727</v>
      </c>
      <c r="BJ34" s="28">
        <f t="shared" si="5"/>
        <v>5.8999786643698044</v>
      </c>
      <c r="BK34" s="28">
        <f>AVERAGE(AX34,AW34)/L34</f>
        <v>0.2034326059910774</v>
      </c>
    </row>
    <row r="35" spans="1:63" s="24" customFormat="1">
      <c r="A35" s="24" t="s">
        <v>104</v>
      </c>
      <c r="B35" s="24" t="s">
        <v>109</v>
      </c>
      <c r="C35" s="24" t="s">
        <v>177</v>
      </c>
      <c r="D35" s="24">
        <v>0.04</v>
      </c>
      <c r="E35" s="24">
        <v>0</v>
      </c>
      <c r="F35" s="25">
        <f>2*Q35/(Q35+M35)</f>
        <v>3.9215686274509796E-2</v>
      </c>
      <c r="H35" s="24" t="s">
        <v>23</v>
      </c>
      <c r="I35" s="24">
        <v>200</v>
      </c>
      <c r="J35" s="24">
        <v>380</v>
      </c>
      <c r="K35" s="26">
        <v>0</v>
      </c>
      <c r="L35" s="26">
        <v>60</v>
      </c>
      <c r="M35" s="29">
        <v>5.0000000000000004E-6</v>
      </c>
      <c r="N35" s="24">
        <v>0</v>
      </c>
      <c r="O35" s="24">
        <v>1E-4</v>
      </c>
      <c r="P35" s="29">
        <f t="shared" si="10"/>
        <v>5.0000000000000004E-6</v>
      </c>
      <c r="Q35" s="29">
        <v>9.9999999999999995E-8</v>
      </c>
      <c r="R35" s="29">
        <f t="shared" si="9"/>
        <v>5.1000000000000003E-6</v>
      </c>
      <c r="S35" s="24" t="s">
        <v>113</v>
      </c>
      <c r="T35" s="24" t="s">
        <v>11</v>
      </c>
      <c r="U35" s="24" t="s">
        <v>11</v>
      </c>
      <c r="V35" s="24" t="s">
        <v>11</v>
      </c>
      <c r="W35" s="27">
        <v>-72.414599529716298</v>
      </c>
      <c r="X35" s="29">
        <v>-122370000000000</v>
      </c>
      <c r="Y35" s="63">
        <f t="shared" si="2"/>
        <v>-5.1010846232190969</v>
      </c>
      <c r="Z35" s="28">
        <v>6.3837000000000005E-2</v>
      </c>
      <c r="AA35" s="28">
        <v>117.49</v>
      </c>
      <c r="AB35" s="37">
        <v>2.3073000000000001E-4</v>
      </c>
      <c r="AC35" s="37">
        <v>1.3988E-3</v>
      </c>
      <c r="AD35" s="28">
        <v>712.02</v>
      </c>
      <c r="AE35" s="47">
        <v>0.137162521690885</v>
      </c>
      <c r="AF35" s="24" t="s">
        <v>179</v>
      </c>
      <c r="AG35" s="28">
        <v>31.576326949149699</v>
      </c>
      <c r="AH35" s="28">
        <v>5.0983990503696797</v>
      </c>
      <c r="AI35" s="47">
        <f t="shared" si="6"/>
        <v>0.52627211581916167</v>
      </c>
      <c r="AJ35" s="24">
        <v>8.7910000000000004</v>
      </c>
      <c r="AK35" s="24">
        <v>22.478000000000002</v>
      </c>
      <c r="AL35" s="24">
        <v>0.39</v>
      </c>
      <c r="AM35" s="24">
        <v>0.26900000000000002</v>
      </c>
      <c r="AN35" s="42">
        <f>(3/5)*(測定設定値!$B$2/(2*SIN(RADIANS(AJ35))))</f>
        <v>3.0241285996967457</v>
      </c>
      <c r="AO35" s="42">
        <f>(5 / 2)*(3/5)*(測定設定値!$B$2/(2*SIN(RADIANS(AK35))))</f>
        <v>3.0221341511117226</v>
      </c>
      <c r="AP35" s="63">
        <f t="shared" si="3"/>
        <v>3.0231313754042342</v>
      </c>
      <c r="AQ35" s="28"/>
      <c r="AR35" s="28">
        <v>17.162320211018699</v>
      </c>
      <c r="AS35" s="28">
        <v>17.6056338028169</v>
      </c>
      <c r="AT35" s="28">
        <v>18.063380281690101</v>
      </c>
      <c r="AU35" s="28">
        <v>18.310730105011601</v>
      </c>
      <c r="AV35" s="28">
        <f>0.1*(1/2)*測定設定値!$B$2/((SIN(RADIANS(AR35/2)-SIN(RADIANS(AQ35/2)))))</f>
        <v>0.51625085032181361</v>
      </c>
      <c r="AW35" s="28">
        <f>0.1*(3/4)*測定設定値!$B$2/(SIN(RADIANS(AS35/2))-(SIN(RADIANS(AR35/2))))</f>
        <v>30.214065707877385</v>
      </c>
      <c r="AX35" s="28">
        <f>0.1*(3/4)*測定設定値!$B$2/(SIN(RADIANS(AT35/2))-(SIN(RADIANS(AS35/2))))</f>
        <v>29.279232944135245</v>
      </c>
      <c r="AY35" s="28">
        <f>0.1*(1/2)*測定設定値!$B$2/((SIN(RADIANS(AU35/2)-SIN(RADIANS(AT35/2)))))</f>
        <v>27.407588343168698</v>
      </c>
      <c r="AZ35" s="58"/>
      <c r="BA35" s="58"/>
      <c r="BB35" s="58"/>
      <c r="BC35" s="58"/>
      <c r="BD35" s="58"/>
      <c r="BE35" s="28"/>
      <c r="BF35" s="28" t="e">
        <f>0.1*(3/4)*測定設定値!$B$2/(SIN(RADIANS(BB35/2))-(SIN(RADIANS(BA35/2))))</f>
        <v>#DIV/0!</v>
      </c>
      <c r="BG35" s="28" t="e">
        <f>0.1*(3/4)*測定設定値!$B$2/(SIN(RADIANS(BC35/2))-(SIN(RADIANS(BB35/2))))</f>
        <v>#DIV/0!</v>
      </c>
      <c r="BH35" s="28"/>
      <c r="BI35" s="28" t="e">
        <f t="shared" si="4"/>
        <v>#DIV/0!</v>
      </c>
      <c r="BJ35" s="28" t="e">
        <f t="shared" si="5"/>
        <v>#DIV/0!</v>
      </c>
      <c r="BK35" s="28">
        <f>AVERAGE(AX35,AW35)/L35</f>
        <v>0.49577748876677191</v>
      </c>
    </row>
    <row r="36" spans="1:63" s="18" customFormat="1">
      <c r="A36" s="18" t="s">
        <v>105</v>
      </c>
      <c r="B36" s="18" t="s">
        <v>80</v>
      </c>
      <c r="C36" s="18" t="s">
        <v>129</v>
      </c>
      <c r="D36" s="18">
        <v>1.2E-2</v>
      </c>
      <c r="F36" s="19">
        <f t="shared" ref="F36:F41" si="11">2*Q36/(Q36+N36)</f>
        <v>1.1928429423459242E-2</v>
      </c>
      <c r="H36" s="18" t="s">
        <v>23</v>
      </c>
      <c r="I36" s="18">
        <v>200</v>
      </c>
      <c r="J36" s="18">
        <v>380</v>
      </c>
      <c r="K36" s="21">
        <v>0</v>
      </c>
      <c r="L36" s="21">
        <v>115</v>
      </c>
      <c r="M36" s="20">
        <v>5.0000000000000004E-6</v>
      </c>
      <c r="N36" s="20">
        <v>5.0000000000000004E-6</v>
      </c>
      <c r="O36" s="20">
        <v>1E-4</v>
      </c>
      <c r="P36" s="20">
        <f t="shared" si="10"/>
        <v>1.0000000000000001E-5</v>
      </c>
      <c r="Q36" s="20">
        <v>2.9999999999999997E-8</v>
      </c>
      <c r="R36" s="20">
        <f t="shared" si="9"/>
        <v>1.0030000000000001E-5</v>
      </c>
      <c r="S36" s="18" t="s">
        <v>87</v>
      </c>
      <c r="T36" s="18" t="s">
        <v>11</v>
      </c>
      <c r="U36" s="18" t="s">
        <v>11</v>
      </c>
      <c r="V36" s="18" t="s">
        <v>11</v>
      </c>
      <c r="W36" s="22"/>
      <c r="X36" s="20"/>
      <c r="Y36" s="62" t="e">
        <f t="shared" si="2"/>
        <v>#DIV/0!</v>
      </c>
      <c r="Z36" s="23"/>
      <c r="AA36" s="23"/>
      <c r="AB36" s="36"/>
      <c r="AC36" s="36"/>
      <c r="AD36" s="23"/>
      <c r="AE36" s="46"/>
      <c r="AG36" s="23">
        <v>30.2913877785365</v>
      </c>
      <c r="AH36" s="23">
        <v>8.0535734818534106</v>
      </c>
      <c r="AI36" s="46">
        <f t="shared" si="6"/>
        <v>0.26340337198727393</v>
      </c>
      <c r="AJ36" s="18">
        <v>8.66</v>
      </c>
      <c r="AK36" s="18">
        <v>22.105</v>
      </c>
      <c r="AL36" s="18">
        <v>0.42899999999999999</v>
      </c>
      <c r="AM36" s="18">
        <v>0.40200000000000002</v>
      </c>
      <c r="AN36" s="41">
        <f>(3/5)*(測定設定値!$B$2/(2*SIN(RADIANS(AJ36))))</f>
        <v>3.0695178245526424</v>
      </c>
      <c r="AO36" s="41">
        <f>(5 / 2)*(3/5)*(測定設定値!$B$2/(2*SIN(RADIANS(AK36))))</f>
        <v>3.0705096717591349</v>
      </c>
      <c r="AP36" s="62">
        <f t="shared" si="3"/>
        <v>3.0700137481558887</v>
      </c>
      <c r="AQ36" s="23"/>
      <c r="AR36" s="23">
        <v>16.746478873239401</v>
      </c>
      <c r="AS36" s="23">
        <v>17.338028169013999</v>
      </c>
      <c r="AT36" s="23"/>
      <c r="AU36" s="23"/>
      <c r="AV36" s="23">
        <f>0.1*(1/2)*測定設定値!$B$2/((SIN(RADIANS(AR36/2)-SIN(RADIANS(AQ36/2)))))</f>
        <v>0.52897535027911469</v>
      </c>
      <c r="AW36" s="23">
        <f>0.1*(3/4)*測定設定値!$B$2/(SIN(RADIANS(AS36/2))-(SIN(RADIANS(AR36/2))))</f>
        <v>22.632548889367925</v>
      </c>
      <c r="AX36" s="23">
        <f>0.1*(3/4)*測定設定値!$B$2/(SIN(RADIANS(AT36/2))-(SIN(RADIANS(AS36/2))))</f>
        <v>-0.76658761977998724</v>
      </c>
      <c r="AY36" s="23" t="e">
        <f>0.1*(1/2)*測定設定値!$B$2/((SIN(RADIANS(AU36/2)-SIN(RADIANS(AT36/2)))))</f>
        <v>#DIV/0!</v>
      </c>
      <c r="AZ36" s="57"/>
      <c r="BA36" s="57"/>
      <c r="BB36" s="57"/>
      <c r="BC36" s="57"/>
      <c r="BD36" s="57"/>
      <c r="BE36" s="23"/>
      <c r="BF36" s="23" t="e">
        <f>0.1*(3/4)*測定設定値!$B$2/(SIN(RADIANS(BB36/2))-(SIN(RADIANS(BA36/2))))</f>
        <v>#DIV/0!</v>
      </c>
      <c r="BG36" s="23" t="e">
        <f>0.1*(3/4)*測定設定値!$B$2/(SIN(RADIANS(BC36/2))-(SIN(RADIANS(BB36/2))))</f>
        <v>#DIV/0!</v>
      </c>
      <c r="BH36" s="23"/>
      <c r="BI36" s="23" t="e">
        <f t="shared" si="4"/>
        <v>#DIV/0!</v>
      </c>
      <c r="BJ36" s="23" t="e">
        <f t="shared" si="5"/>
        <v>#DIV/0!</v>
      </c>
      <c r="BK36" s="23">
        <f>AVERAGE(AX36,AW36)/L36</f>
        <v>9.5069396824295382E-2</v>
      </c>
    </row>
    <row r="37" spans="1:63" s="18" customFormat="1">
      <c r="A37" s="18" t="s">
        <v>106</v>
      </c>
      <c r="B37" s="18" t="s">
        <v>80</v>
      </c>
      <c r="C37" s="18" t="s">
        <v>130</v>
      </c>
      <c r="D37" s="18">
        <v>0.08</v>
      </c>
      <c r="F37" s="19">
        <f>2*Q37/(Q37+N37)</f>
        <v>8.0614203454894437E-2</v>
      </c>
      <c r="H37" s="18" t="s">
        <v>23</v>
      </c>
      <c r="I37" s="18">
        <v>200</v>
      </c>
      <c r="J37" s="18">
        <v>380</v>
      </c>
      <c r="K37" s="21">
        <v>0</v>
      </c>
      <c r="L37" s="21">
        <v>115</v>
      </c>
      <c r="M37" s="20">
        <v>5.0000000000000004E-6</v>
      </c>
      <c r="N37" s="20">
        <v>5.0000000000000004E-6</v>
      </c>
      <c r="O37" s="20">
        <v>1E-4</v>
      </c>
      <c r="P37" s="20">
        <f t="shared" si="10"/>
        <v>1.0000000000000001E-5</v>
      </c>
      <c r="Q37" s="18">
        <v>2.1E-7</v>
      </c>
      <c r="R37" s="20">
        <f t="shared" si="9"/>
        <v>1.0210000000000001E-5</v>
      </c>
      <c r="S37" s="18" t="s">
        <v>87</v>
      </c>
      <c r="T37" s="18" t="s">
        <v>11</v>
      </c>
      <c r="U37" s="18" t="s">
        <v>11</v>
      </c>
      <c r="V37" s="18" t="s">
        <v>11</v>
      </c>
      <c r="W37" s="22"/>
      <c r="X37" s="20"/>
      <c r="Y37" s="62" t="e">
        <f t="shared" si="2"/>
        <v>#DIV/0!</v>
      </c>
      <c r="Z37" s="23"/>
      <c r="AA37" s="23"/>
      <c r="AB37" s="36"/>
      <c r="AC37" s="36"/>
      <c r="AD37" s="23"/>
      <c r="AE37" s="46"/>
      <c r="AG37" s="23">
        <v>45.141873115680298</v>
      </c>
      <c r="AH37" s="23">
        <v>13.914830153679</v>
      </c>
      <c r="AI37" s="46">
        <f t="shared" si="6"/>
        <v>0.39253802709287217</v>
      </c>
      <c r="AJ37" s="18">
        <v>8.782</v>
      </c>
      <c r="AK37" s="18">
        <v>22.442</v>
      </c>
      <c r="AL37" s="18">
        <v>0.93700000000000006</v>
      </c>
      <c r="AM37" s="18">
        <v>0.90300000000000002</v>
      </c>
      <c r="AN37" s="41">
        <f>(3/5)*(測定設定値!$B$2/(2*SIN(RADIANS(AJ37))))</f>
        <v>3.0272034523476239</v>
      </c>
      <c r="AO37" s="41">
        <f>(5 / 2)*(3/5)*(測定設定値!$B$2/(2*SIN(RADIANS(AK37))))</f>
        <v>3.0267309725798599</v>
      </c>
      <c r="AP37" s="62">
        <f t="shared" si="3"/>
        <v>3.0269672124637417</v>
      </c>
      <c r="AQ37" s="23"/>
      <c r="AR37" s="23"/>
      <c r="AS37" s="23"/>
      <c r="AT37" s="23"/>
      <c r="AU37" s="23"/>
      <c r="AV37" s="23" t="e">
        <f>0.1*(1/2)*測定設定値!$B$2/((SIN(RADIANS(AR37/2)-SIN(RADIANS(AQ37/2)))))</f>
        <v>#DIV/0!</v>
      </c>
      <c r="AW37" s="23" t="e">
        <f>0.1*(3/4)*測定設定値!$B$2/(SIN(RADIANS(AS37/2))-(SIN(RADIANS(AR37/2))))</f>
        <v>#DIV/0!</v>
      </c>
      <c r="AX37" s="23" t="e">
        <f>0.1*(3/4)*測定設定値!$B$2/(SIN(RADIANS(AT37/2))-(SIN(RADIANS(AS37/2))))</f>
        <v>#DIV/0!</v>
      </c>
      <c r="AY37" s="23" t="e">
        <f>0.1*(1/2)*測定設定値!$B$2/((SIN(RADIANS(AU37/2)-SIN(RADIANS(AT37/2)))))</f>
        <v>#DIV/0!</v>
      </c>
      <c r="AZ37" s="57"/>
      <c r="BA37" s="57"/>
      <c r="BB37" s="57"/>
      <c r="BC37" s="57"/>
      <c r="BD37" s="57"/>
      <c r="BE37" s="23"/>
      <c r="BF37" s="23" t="e">
        <f>0.1*(3/4)*測定設定値!$B$2/(SIN(RADIANS(BB37/2))-(SIN(RADIANS(BA37/2))))</f>
        <v>#DIV/0!</v>
      </c>
      <c r="BG37" s="23" t="e">
        <f>0.1*(3/4)*測定設定値!$B$2/(SIN(RADIANS(BC37/2))-(SIN(RADIANS(BB37/2))))</f>
        <v>#DIV/0!</v>
      </c>
      <c r="BH37" s="23"/>
      <c r="BI37" s="23" t="e">
        <f t="shared" si="4"/>
        <v>#DIV/0!</v>
      </c>
      <c r="BJ37" s="23" t="e">
        <f t="shared" si="5"/>
        <v>#DIV/0!</v>
      </c>
      <c r="BK37" s="23" t="e">
        <f>AVERAGE(AX37,AW37)/L37</f>
        <v>#DIV/0!</v>
      </c>
    </row>
    <row r="38" spans="1:63" s="6" customFormat="1">
      <c r="A38" s="6" t="s">
        <v>107</v>
      </c>
      <c r="B38" s="6" t="s">
        <v>83</v>
      </c>
      <c r="D38" s="6">
        <v>0.05</v>
      </c>
      <c r="E38" s="6">
        <v>0.72</v>
      </c>
      <c r="F38" s="7">
        <f>2*Q38/(Q38+M38+N38)</f>
        <v>4.9921996879875197E-2</v>
      </c>
      <c r="G38" s="8">
        <f>N38/P38</f>
        <v>0.72000000000000008</v>
      </c>
      <c r="H38" s="6" t="s">
        <v>23</v>
      </c>
      <c r="I38" s="6">
        <v>200</v>
      </c>
      <c r="J38" s="6">
        <v>380</v>
      </c>
      <c r="K38" s="9">
        <v>0</v>
      </c>
      <c r="L38" s="9">
        <v>60</v>
      </c>
      <c r="M38" s="8">
        <v>1.3999999999999999E-6</v>
      </c>
      <c r="N38" s="8">
        <v>3.5999999999999998E-6</v>
      </c>
      <c r="O38" s="8">
        <v>1E-4</v>
      </c>
      <c r="P38" s="8">
        <f t="shared" si="10"/>
        <v>4.9999999999999996E-6</v>
      </c>
      <c r="Q38" s="8">
        <v>1.2800000000000001E-7</v>
      </c>
      <c r="R38" s="6">
        <f t="shared" si="9"/>
        <v>5.1279999999999999E-6</v>
      </c>
      <c r="S38" s="6" t="s">
        <v>88</v>
      </c>
      <c r="T38" s="6" t="s">
        <v>11</v>
      </c>
      <c r="U38" s="6" t="s">
        <v>11</v>
      </c>
      <c r="W38" s="10"/>
      <c r="X38" s="8"/>
      <c r="Y38" s="61" t="e">
        <f t="shared" si="2"/>
        <v>#DIV/0!</v>
      </c>
      <c r="Z38" s="11"/>
      <c r="AA38" s="11"/>
      <c r="AB38" s="35"/>
      <c r="AC38" s="35"/>
      <c r="AD38" s="11"/>
      <c r="AE38" s="45"/>
      <c r="AG38" s="11">
        <v>14.5405913962447</v>
      </c>
      <c r="AH38" s="11">
        <v>3.8511244282104302</v>
      </c>
      <c r="AI38" s="45">
        <f t="shared" si="6"/>
        <v>0.24234318993741166</v>
      </c>
      <c r="AJ38" s="6">
        <v>8.6660000000000004</v>
      </c>
      <c r="AK38" s="6">
        <v>22.199000000000002</v>
      </c>
      <c r="AL38" s="6">
        <v>0.28699999999999998</v>
      </c>
      <c r="AM38" s="6">
        <v>0.20300000000000001</v>
      </c>
      <c r="AN38" s="40">
        <f>(3/5)*(測定設定値!$B$2/(2*SIN(RADIANS(AJ38))))</f>
        <v>3.0674088241317952</v>
      </c>
      <c r="AO38" s="40">
        <f>(5 / 2)*(3/5)*(測定設定値!$B$2/(2*SIN(RADIANS(AK38))))</f>
        <v>3.0581608942393004</v>
      </c>
      <c r="AP38" s="61">
        <f t="shared" si="3"/>
        <v>3.0627848591855478</v>
      </c>
      <c r="AQ38" s="6">
        <v>15.8591549295774</v>
      </c>
      <c r="AR38" s="6">
        <v>16.492957746478801</v>
      </c>
      <c r="AS38" s="6">
        <v>17.422535211267601</v>
      </c>
      <c r="AT38" s="6">
        <v>18.3943661971831</v>
      </c>
      <c r="AU38" s="6">
        <v>19.0704225352112</v>
      </c>
      <c r="AV38" s="11">
        <f>0.1*(1/2)*測定設定値!$B$2/((SIN(RADIANS(AR38/2)-SIN(RADIANS(AQ38/2)))))</f>
        <v>12.897818758633314</v>
      </c>
      <c r="AW38" s="11">
        <f>0.1*(3/4)*測定設定値!$B$2/(SIN(RADIANS(AS38/2))-(SIN(RADIANS(AR38/2))))</f>
        <v>14.400967325675834</v>
      </c>
      <c r="AX38" s="11">
        <f>0.1*(3/4)*測定設定値!$B$2/(SIN(RADIANS(AT38/2))-(SIN(RADIANS(AS38/2))))</f>
        <v>13.79237452534656</v>
      </c>
      <c r="AY38" s="11">
        <f>0.1*(1/2)*測定設定値!$B$2/((SIN(RADIANS(AU38/2)-SIN(RADIANS(AT38/2)))))</f>
        <v>11.692228623667161</v>
      </c>
      <c r="AZ38" s="11">
        <v>42.197183098591502</v>
      </c>
      <c r="BA38" s="11">
        <v>43.098591549295698</v>
      </c>
      <c r="BB38" s="11">
        <v>44.450704225352098</v>
      </c>
      <c r="BC38" s="11">
        <v>45.521126760563298</v>
      </c>
      <c r="BD38" s="11">
        <v>46.3661971830985</v>
      </c>
      <c r="BE38" s="11"/>
      <c r="BF38" s="11">
        <f>0.1*(3/4)*測定設定値!$B$2/(SIN(RADIANS(BB38/2))-(SIN(RADIANS(BA38/2))))</f>
        <v>10.553169304492876</v>
      </c>
      <c r="BG38" s="11">
        <f>0.1*(3/4)*測定設定値!$B$2/(SIN(RADIANS(BC38/2))-(SIN(RADIANS(BB38/2))))</f>
        <v>13.387889035529209</v>
      </c>
      <c r="BH38" s="11"/>
      <c r="BI38" s="11">
        <f t="shared" si="4"/>
        <v>12.787407928890827</v>
      </c>
      <c r="BJ38" s="11">
        <f t="shared" si="5"/>
        <v>1.4267122932841669</v>
      </c>
      <c r="BK38" s="11">
        <f>AVERAGE(AX38,AW38)/L38</f>
        <v>0.23494451542518663</v>
      </c>
    </row>
    <row r="39" spans="1:63">
      <c r="A39" t="s">
        <v>118</v>
      </c>
      <c r="B39" t="s">
        <v>127</v>
      </c>
      <c r="C39" t="s">
        <v>128</v>
      </c>
      <c r="D39">
        <v>0.04</v>
      </c>
      <c r="E39" t="s">
        <v>131</v>
      </c>
      <c r="F39" s="2">
        <v>0.04</v>
      </c>
      <c r="H39" t="s">
        <v>23</v>
      </c>
      <c r="I39">
        <v>200</v>
      </c>
      <c r="J39">
        <v>380</v>
      </c>
      <c r="K39" s="3">
        <v>0</v>
      </c>
      <c r="L39" s="3">
        <v>170</v>
      </c>
      <c r="M39" t="s">
        <v>145</v>
      </c>
      <c r="N39" t="s">
        <v>146</v>
      </c>
      <c r="O39" s="1">
        <v>1E-4</v>
      </c>
      <c r="P39" s="1"/>
      <c r="Q39" s="1">
        <v>9.9999999999999995E-8</v>
      </c>
      <c r="S39" t="s">
        <v>148</v>
      </c>
      <c r="T39" t="s">
        <v>11</v>
      </c>
      <c r="U39" t="s">
        <v>11</v>
      </c>
      <c r="Y39" s="59" t="e">
        <f t="shared" si="2"/>
        <v>#DIV/0!</v>
      </c>
      <c r="AG39" s="5">
        <v>13.127571922379399</v>
      </c>
      <c r="AH39" s="5">
        <v>3.1842969640997101</v>
      </c>
      <c r="AI39" s="43">
        <f t="shared" si="6"/>
        <v>7.722101130811411E-2</v>
      </c>
      <c r="AJ39">
        <v>8.7219999999999995</v>
      </c>
      <c r="AK39">
        <v>22.236000000000001</v>
      </c>
      <c r="AL39">
        <v>0.53100000000000003</v>
      </c>
      <c r="AM39">
        <v>0.56000000000000005</v>
      </c>
      <c r="AN39" s="38">
        <f>(3/5)*(測定設定値!$B$2/(2*SIN(RADIANS(AJ39))))</f>
        <v>3.0478652870213518</v>
      </c>
      <c r="AO39" s="38">
        <f>(5 / 2)*(3/5)*(測定設定値!$B$2/(2*SIN(RADIANS(AK39))))</f>
        <v>3.0533296538468564</v>
      </c>
      <c r="AP39" s="59">
        <f t="shared" si="3"/>
        <v>3.0505974704341039</v>
      </c>
      <c r="AR39" s="5">
        <v>16.957746478873201</v>
      </c>
      <c r="AS39" s="5">
        <v>17.422535211267601</v>
      </c>
      <c r="AV39" s="5">
        <f>0.1*(1/2)*測定設定値!$B$2/((SIN(RADIANS(AR39/2)-SIN(RADIANS(AQ39/2)))))</f>
        <v>0.52243240807808922</v>
      </c>
      <c r="AW39" s="5">
        <f>0.1*(3/4)*測定設定値!$B$2/(SIN(RADIANS(AS39/2))-(SIN(RADIANS(AR39/2))))</f>
        <v>28.810644860956248</v>
      </c>
      <c r="AX39" s="5">
        <f>0.1*(3/4)*測定設定値!$B$2/(SIN(RADIANS(AT39/2))-(SIN(RADIANS(AS39/2))))</f>
        <v>-0.76289781609519614</v>
      </c>
      <c r="AY39" s="5" t="e">
        <f>0.1*(1/2)*測定設定値!$B$2/((SIN(RADIANS(AU39/2)-SIN(RADIANS(AT39/2)))))</f>
        <v>#DIV/0!</v>
      </c>
      <c r="AZ39" s="55"/>
      <c r="BA39" s="55"/>
      <c r="BB39" s="55"/>
      <c r="BC39" s="55"/>
      <c r="BD39" s="55"/>
      <c r="BF39" s="5" t="e">
        <f>0.1*(3/4)*測定設定値!$B$2/(SIN(RADIANS(BB39/2))-(SIN(RADIANS(BA39/2))))</f>
        <v>#DIV/0!</v>
      </c>
      <c r="BG39" s="5" t="e">
        <f>0.1*(3/4)*測定設定値!$B$2/(SIN(RADIANS(BC39/2))-(SIN(RADIANS(BB39/2))))</f>
        <v>#DIV/0!</v>
      </c>
      <c r="BI39" s="5" t="e">
        <f t="shared" si="4"/>
        <v>#DIV/0!</v>
      </c>
      <c r="BJ39" s="5" t="e">
        <f t="shared" si="5"/>
        <v>#DIV/0!</v>
      </c>
      <c r="BK39" s="5">
        <f>AVERAGE(AX39,AW39)/L39</f>
        <v>8.2493373661356034E-2</v>
      </c>
    </row>
    <row r="40" spans="1:63">
      <c r="A40" t="s">
        <v>119</v>
      </c>
      <c r="B40" t="s">
        <v>79</v>
      </c>
      <c r="C40" t="s">
        <v>147</v>
      </c>
      <c r="D40">
        <v>1.2E-2</v>
      </c>
      <c r="E40">
        <v>0</v>
      </c>
      <c r="F40" s="2">
        <f t="shared" si="11"/>
        <v>1.1928429423459242E-2</v>
      </c>
      <c r="H40" t="s">
        <v>23</v>
      </c>
      <c r="I40">
        <v>200</v>
      </c>
      <c r="J40">
        <v>380</v>
      </c>
      <c r="K40" s="3">
        <v>0</v>
      </c>
      <c r="L40" s="3">
        <v>115</v>
      </c>
      <c r="M40" s="1">
        <v>5.0000000000000004E-6</v>
      </c>
      <c r="N40" s="1">
        <v>5.0000000000000004E-6</v>
      </c>
      <c r="O40" s="1">
        <v>1E-4</v>
      </c>
      <c r="P40" s="1">
        <f t="shared" si="10"/>
        <v>1.0000000000000001E-5</v>
      </c>
      <c r="Q40" s="1">
        <v>2.9999999999999997E-8</v>
      </c>
      <c r="R40">
        <f t="shared" si="9"/>
        <v>1.0030000000000001E-5</v>
      </c>
      <c r="S40" t="s">
        <v>86</v>
      </c>
      <c r="T40" t="s">
        <v>11</v>
      </c>
      <c r="U40" t="s">
        <v>11</v>
      </c>
      <c r="V40" t="s">
        <v>11</v>
      </c>
      <c r="Y40" s="59" t="e">
        <f t="shared" si="2"/>
        <v>#DIV/0!</v>
      </c>
      <c r="AG40" s="5">
        <v>43.950500377820497</v>
      </c>
      <c r="AH40" s="5">
        <v>8.8698128801821596</v>
      </c>
      <c r="AI40" s="43">
        <f t="shared" si="6"/>
        <v>0.38217826415496087</v>
      </c>
      <c r="AJ40">
        <v>8.74</v>
      </c>
      <c r="AK40">
        <v>22.338000000000001</v>
      </c>
      <c r="AL40">
        <v>0.33300000000000002</v>
      </c>
      <c r="AM40">
        <v>0.24099999999999999</v>
      </c>
      <c r="AN40" s="38">
        <f>(3/5)*(測定設定値!$B$2/(2*SIN(RADIANS(AJ40))))</f>
        <v>3.0416368313342912</v>
      </c>
      <c r="AO40" s="38">
        <f>(5 / 2)*(3/5)*(測定設定値!$B$2/(2*SIN(RADIANS(AK40))))</f>
        <v>3.0400963428865406</v>
      </c>
      <c r="AP40" s="59">
        <f t="shared" si="3"/>
        <v>3.0408665871104157</v>
      </c>
      <c r="AV40" s="5" t="e">
        <f>0.1*(1/2)*測定設定値!$B$2/((SIN(RADIANS(AR40/2)-SIN(RADIANS(AQ40/2)))))</f>
        <v>#DIV/0!</v>
      </c>
      <c r="AW40" s="5" t="e">
        <f>0.1*(3/4)*測定設定値!$B$2/(SIN(RADIANS(AS40/2))-(SIN(RADIANS(AR40/2))))</f>
        <v>#DIV/0!</v>
      </c>
      <c r="AX40" s="5" t="e">
        <f>0.1*(3/4)*測定設定値!$B$2/(SIN(RADIANS(AT40/2))-(SIN(RADIANS(AS40/2))))</f>
        <v>#DIV/0!</v>
      </c>
      <c r="AY40" s="5" t="e">
        <f>0.1*(1/2)*測定設定値!$B$2/((SIN(RADIANS(AU40/2)-SIN(RADIANS(AT40/2)))))</f>
        <v>#DIV/0!</v>
      </c>
      <c r="AZ40" s="55"/>
      <c r="BA40" s="55"/>
      <c r="BB40" s="55"/>
      <c r="BC40" s="55"/>
      <c r="BD40" s="55"/>
      <c r="BF40" s="5" t="e">
        <f>0.1*(3/4)*測定設定値!$B$2/(SIN(RADIANS(BB40/2))-(SIN(RADIANS(BA40/2))))</f>
        <v>#DIV/0!</v>
      </c>
      <c r="BG40" s="5" t="e">
        <f>0.1*(3/4)*測定設定値!$B$2/(SIN(RADIANS(BC40/2))-(SIN(RADIANS(BB40/2))))</f>
        <v>#DIV/0!</v>
      </c>
      <c r="BI40" s="5" t="e">
        <f t="shared" si="4"/>
        <v>#DIV/0!</v>
      </c>
      <c r="BJ40" s="5" t="e">
        <f t="shared" si="5"/>
        <v>#DIV/0!</v>
      </c>
      <c r="BK40" s="5" t="e">
        <f>AVERAGE(AX40,AW40)/L40</f>
        <v>#DIV/0!</v>
      </c>
    </row>
    <row r="41" spans="1:63">
      <c r="A41" t="s">
        <v>120</v>
      </c>
      <c r="B41" t="s">
        <v>141</v>
      </c>
      <c r="C41" t="s">
        <v>142</v>
      </c>
      <c r="D41">
        <v>0.04</v>
      </c>
      <c r="F41" s="2">
        <f t="shared" si="11"/>
        <v>3.9215686274509796E-2</v>
      </c>
      <c r="H41" t="s">
        <v>23</v>
      </c>
      <c r="I41">
        <v>200</v>
      </c>
      <c r="J41">
        <v>380</v>
      </c>
      <c r="K41" s="3">
        <v>0</v>
      </c>
      <c r="L41" s="3">
        <v>170</v>
      </c>
      <c r="M41" s="1">
        <v>5.0000000000000004E-6</v>
      </c>
      <c r="N41" s="1">
        <v>5.0000000000000004E-6</v>
      </c>
      <c r="O41" s="1">
        <v>1E-4</v>
      </c>
      <c r="P41" s="1">
        <f t="shared" si="10"/>
        <v>1.0000000000000001E-5</v>
      </c>
      <c r="Q41" s="1">
        <v>9.9999999999999995E-8</v>
      </c>
      <c r="R41">
        <f t="shared" si="9"/>
        <v>1.0100000000000002E-5</v>
      </c>
      <c r="S41" t="s">
        <v>149</v>
      </c>
      <c r="T41" t="s">
        <v>11</v>
      </c>
      <c r="U41" t="s">
        <v>11</v>
      </c>
      <c r="Y41" s="59" t="e">
        <f t="shared" si="2"/>
        <v>#DIV/0!</v>
      </c>
      <c r="AG41" s="5">
        <v>49.843515369613897</v>
      </c>
      <c r="AH41" s="5">
        <v>12.725614187785199</v>
      </c>
      <c r="AI41" s="43">
        <f t="shared" si="6"/>
        <v>0.29319714923302292</v>
      </c>
      <c r="AJ41">
        <v>8.7360000000000007</v>
      </c>
      <c r="AK41">
        <v>22.268999999999998</v>
      </c>
      <c r="AL41">
        <v>0.48799999999999999</v>
      </c>
      <c r="AM41">
        <v>0.432</v>
      </c>
      <c r="AN41" s="38">
        <f>(3/5)*(測定設定値!$B$2/(2*SIN(RADIANS(AJ41))))</f>
        <v>3.0430187057279698</v>
      </c>
      <c r="AO41" s="38">
        <f>(5 / 2)*(3/5)*(測定設定値!$B$2/(2*SIN(RADIANS(AK41))))</f>
        <v>3.0490346412801221</v>
      </c>
      <c r="AP41" s="59">
        <f t="shared" si="3"/>
        <v>3.0460266735040458</v>
      </c>
      <c r="AQ41" s="5">
        <v>16.3239436619718</v>
      </c>
      <c r="AR41" s="5">
        <v>17</v>
      </c>
      <c r="AS41" s="5">
        <v>17.507042253521099</v>
      </c>
      <c r="AV41" s="5">
        <f>0.1*(1/2)*測定設定値!$B$2/((SIN(RADIANS(AR41/2)-SIN(RADIANS(AQ41/2)))))</f>
        <v>12.071813168926324</v>
      </c>
      <c r="AW41" s="5">
        <f>0.1*(3/4)*測定設定値!$B$2/(SIN(RADIANS(AS41/2))-(SIN(RADIANS(AR41/2))))</f>
        <v>26.411973296000234</v>
      </c>
      <c r="AX41" s="5">
        <f>0.1*(3/4)*測定設定値!$B$2/(SIN(RADIANS(AT41/2))-(SIN(RADIANS(AS41/2))))</f>
        <v>-0.75924377334271631</v>
      </c>
      <c r="AY41" s="5" t="e">
        <f>0.1*(1/2)*測定設定値!$B$2/((SIN(RADIANS(AU41/2)-SIN(RADIANS(AT41/2)))))</f>
        <v>#DIV/0!</v>
      </c>
      <c r="AZ41" s="55"/>
      <c r="BA41" s="55"/>
      <c r="BB41" s="55"/>
      <c r="BC41" s="55"/>
      <c r="BD41" s="55"/>
      <c r="BF41" s="5" t="e">
        <f>0.1*(3/4)*測定設定値!$B$2/(SIN(RADIANS(BB41/2))-(SIN(RADIANS(BA41/2))))</f>
        <v>#DIV/0!</v>
      </c>
      <c r="BG41" s="5" t="e">
        <f>0.1*(3/4)*測定設定値!$B$2/(SIN(RADIANS(BC41/2))-(SIN(RADIANS(BB41/2))))</f>
        <v>#DIV/0!</v>
      </c>
      <c r="BI41" s="5" t="e">
        <f t="shared" si="4"/>
        <v>#DIV/0!</v>
      </c>
      <c r="BJ41" s="5" t="e">
        <f t="shared" si="5"/>
        <v>#DIV/0!</v>
      </c>
      <c r="BK41" s="5">
        <f>AVERAGE(AX41,AW41)/L41</f>
        <v>7.5449204478404461E-2</v>
      </c>
    </row>
    <row r="42" spans="1:63">
      <c r="A42" t="s">
        <v>121</v>
      </c>
      <c r="B42" t="s">
        <v>29</v>
      </c>
      <c r="C42" t="s">
        <v>132</v>
      </c>
      <c r="D42">
        <v>0.04</v>
      </c>
      <c r="E42">
        <v>0.3</v>
      </c>
      <c r="F42" s="2">
        <f>2*Q42/(Q42+M42+N42)</f>
        <v>3.9215686274509796E-2</v>
      </c>
      <c r="G42">
        <f>N42/P42</f>
        <v>0.30000000000000004</v>
      </c>
      <c r="H42" t="s">
        <v>23</v>
      </c>
      <c r="I42">
        <v>200</v>
      </c>
      <c r="J42">
        <v>380</v>
      </c>
      <c r="K42" s="3">
        <v>380</v>
      </c>
      <c r="L42" s="3">
        <v>60</v>
      </c>
      <c r="M42" s="1">
        <v>3.4999999999999999E-6</v>
      </c>
      <c r="N42" s="1">
        <v>1.5E-6</v>
      </c>
      <c r="O42" s="1">
        <v>1E-4</v>
      </c>
      <c r="P42" s="1">
        <f>M42+N42</f>
        <v>4.9999999999999996E-6</v>
      </c>
      <c r="Q42" s="1">
        <v>9.9999999999999995E-8</v>
      </c>
      <c r="R42">
        <f t="shared" si="9"/>
        <v>5.0999999999999995E-6</v>
      </c>
      <c r="S42" t="s">
        <v>150</v>
      </c>
      <c r="V42" t="s">
        <v>11</v>
      </c>
      <c r="Y42" s="59" t="e">
        <f t="shared" si="2"/>
        <v>#DIV/0!</v>
      </c>
      <c r="AI42" s="43">
        <f t="shared" si="6"/>
        <v>0</v>
      </c>
      <c r="AN42" s="38" t="e">
        <f>(3/5)*(測定設定値!$B$2/(2*SIN(RADIANS(AJ42))))</f>
        <v>#DIV/0!</v>
      </c>
      <c r="AO42" s="38" t="e">
        <f>(5 / 2)*(3/5)*(測定設定値!$B$2/(2*SIN(RADIANS(AK42))))</f>
        <v>#DIV/0!</v>
      </c>
      <c r="AP42" s="59" t="e">
        <f t="shared" si="3"/>
        <v>#DIV/0!</v>
      </c>
      <c r="AV42" s="5" t="e">
        <f>0.1*(1/2)*測定設定値!$B$2/((SIN(RADIANS(AR42/2)-SIN(RADIANS(AQ42/2)))))</f>
        <v>#DIV/0!</v>
      </c>
      <c r="AW42" s="5" t="e">
        <f>0.1*(3/4)*測定設定値!$B$2/(SIN(RADIANS(AS42/2))-(SIN(RADIANS(AR42/2))))</f>
        <v>#DIV/0!</v>
      </c>
      <c r="AX42" s="5" t="e">
        <f>0.1*(3/4)*測定設定値!$B$2/(SIN(RADIANS(AT42/2))-(SIN(RADIANS(AS42/2))))</f>
        <v>#DIV/0!</v>
      </c>
      <c r="AY42" s="5" t="e">
        <f>0.1*(1/2)*測定設定値!$B$2/((SIN(RADIANS(AU42/2)-SIN(RADIANS(AT42/2)))))</f>
        <v>#DIV/0!</v>
      </c>
      <c r="AZ42" s="55"/>
      <c r="BA42" s="55"/>
      <c r="BB42" s="55"/>
      <c r="BC42" s="55"/>
      <c r="BD42" s="55"/>
      <c r="BF42" s="5" t="e">
        <f>0.1*(3/4)*測定設定値!$B$2/(SIN(RADIANS(BB42/2))-(SIN(RADIANS(BA42/2))))</f>
        <v>#DIV/0!</v>
      </c>
      <c r="BG42" s="5" t="e">
        <f>0.1*(3/4)*測定設定値!$B$2/(SIN(RADIANS(BC42/2))-(SIN(RADIANS(BB42/2))))</f>
        <v>#DIV/0!</v>
      </c>
      <c r="BI42" s="5" t="e">
        <f t="shared" si="4"/>
        <v>#DIV/0!</v>
      </c>
      <c r="BJ42" s="5" t="e">
        <f t="shared" si="5"/>
        <v>#DIV/0!</v>
      </c>
      <c r="BK42" s="5" t="e">
        <f>AVERAGE(AX42,AW42)/L42</f>
        <v>#DIV/0!</v>
      </c>
    </row>
    <row r="43" spans="1:63" s="24" customFormat="1">
      <c r="A43" s="24" t="s">
        <v>122</v>
      </c>
      <c r="B43" s="24" t="s">
        <v>29</v>
      </c>
      <c r="C43" s="24" t="s">
        <v>182</v>
      </c>
      <c r="D43" s="24">
        <v>0.04</v>
      </c>
      <c r="E43" s="24">
        <v>0.6</v>
      </c>
      <c r="F43" s="25">
        <f>2*Q43/(Q43+M43+N43)</f>
        <v>3.9215686274509796E-2</v>
      </c>
      <c r="G43" s="24">
        <f>N43/P43</f>
        <v>0.60000000000000009</v>
      </c>
      <c r="H43" s="24" t="s">
        <v>23</v>
      </c>
      <c r="I43" s="24">
        <v>200</v>
      </c>
      <c r="J43" s="24">
        <v>380</v>
      </c>
      <c r="K43" s="26">
        <v>0</v>
      </c>
      <c r="L43" s="26">
        <v>60</v>
      </c>
      <c r="M43" s="24">
        <v>1.9999999999999999E-6</v>
      </c>
      <c r="N43" s="24">
        <v>3.0000000000000001E-6</v>
      </c>
      <c r="O43" s="29">
        <v>1E-4</v>
      </c>
      <c r="P43" s="24">
        <f>M43+N43</f>
        <v>4.9999999999999996E-6</v>
      </c>
      <c r="Q43" s="29">
        <v>9.9999999999999995E-8</v>
      </c>
      <c r="R43" s="24">
        <f t="shared" si="9"/>
        <v>5.0999999999999995E-6</v>
      </c>
      <c r="S43" s="24" t="s">
        <v>150</v>
      </c>
      <c r="V43" s="24" t="s">
        <v>11</v>
      </c>
      <c r="W43" s="27">
        <v>37.826000000000001</v>
      </c>
      <c r="X43" s="29">
        <v>26635000000000</v>
      </c>
      <c r="Y43" s="63">
        <f t="shared" si="2"/>
        <v>23.436070033539359</v>
      </c>
      <c r="Z43" s="28">
        <v>7.0011000000000004E-2</v>
      </c>
      <c r="AA43" s="28">
        <v>791.4</v>
      </c>
      <c r="AB43" s="37">
        <v>2.1469000000000001E-5</v>
      </c>
      <c r="AC43" s="37">
        <v>1.5477000000000001E-4</v>
      </c>
      <c r="AD43" s="28">
        <v>6166.2</v>
      </c>
      <c r="AE43" s="47">
        <v>0.10244081083244599</v>
      </c>
      <c r="AF43" s="24" t="s">
        <v>180</v>
      </c>
      <c r="AG43" s="28"/>
      <c r="AH43" s="28"/>
      <c r="AI43" s="47">
        <f t="shared" si="6"/>
        <v>0</v>
      </c>
      <c r="AN43" s="42" t="e">
        <f>(3/5)*(測定設定値!$B$2/(2*SIN(RADIANS(AJ43))))</f>
        <v>#DIV/0!</v>
      </c>
      <c r="AO43" s="42" t="e">
        <f>(5 / 2)*(3/5)*(測定設定値!$B$2/(2*SIN(RADIANS(AK43))))</f>
        <v>#DIV/0!</v>
      </c>
      <c r="AP43" s="63" t="e">
        <f t="shared" si="3"/>
        <v>#DIV/0!</v>
      </c>
      <c r="AQ43" s="28"/>
      <c r="AR43" s="28"/>
      <c r="AS43" s="28"/>
      <c r="AT43" s="28"/>
      <c r="AU43" s="28"/>
      <c r="AV43" s="28" t="e">
        <f>0.1*(1/2)*測定設定値!$B$2/((SIN(RADIANS(AR43/2)-SIN(RADIANS(AQ43/2)))))</f>
        <v>#DIV/0!</v>
      </c>
      <c r="AW43" s="28" t="e">
        <f>0.1*(3/4)*測定設定値!$B$2/(SIN(RADIANS(AS43/2))-(SIN(RADIANS(AR43/2))))</f>
        <v>#DIV/0!</v>
      </c>
      <c r="AX43" s="28" t="e">
        <f>0.1*(3/4)*測定設定値!$B$2/(SIN(RADIANS(AT43/2))-(SIN(RADIANS(AS43/2))))</f>
        <v>#DIV/0!</v>
      </c>
      <c r="AY43" s="28" t="e">
        <f>0.1*(1/2)*測定設定値!$B$2/((SIN(RADIANS(AU43/2)-SIN(RADIANS(AT43/2)))))</f>
        <v>#DIV/0!</v>
      </c>
      <c r="AZ43" s="58"/>
      <c r="BA43" s="58"/>
      <c r="BB43" s="58"/>
      <c r="BC43" s="58"/>
      <c r="BD43" s="58"/>
      <c r="BE43" s="28"/>
      <c r="BF43" s="28" t="e">
        <f>0.1*(3/4)*測定設定値!$B$2/(SIN(RADIANS(BB43/2))-(SIN(RADIANS(BA43/2))))</f>
        <v>#DIV/0!</v>
      </c>
      <c r="BG43" s="28" t="e">
        <f>0.1*(3/4)*測定設定値!$B$2/(SIN(RADIANS(BC43/2))-(SIN(RADIANS(BB43/2))))</f>
        <v>#DIV/0!</v>
      </c>
      <c r="BH43" s="28"/>
      <c r="BI43" s="28" t="e">
        <f t="shared" si="4"/>
        <v>#DIV/0!</v>
      </c>
      <c r="BJ43" s="28" t="e">
        <f t="shared" si="5"/>
        <v>#DIV/0!</v>
      </c>
      <c r="BK43" s="28" t="e">
        <f>AVERAGE(AX43,AW43)/L43</f>
        <v>#DIV/0!</v>
      </c>
    </row>
    <row r="44" spans="1:63" s="18" customFormat="1">
      <c r="A44" s="18" t="s">
        <v>123</v>
      </c>
      <c r="B44" s="18" t="s">
        <v>108</v>
      </c>
      <c r="C44" s="18" t="s">
        <v>184</v>
      </c>
      <c r="F44" s="20">
        <f>2*Q44/(Q44+N44)</f>
        <v>3.9215686274509796E-2</v>
      </c>
      <c r="G44" s="18">
        <f>N46/P46</f>
        <v>0.5</v>
      </c>
      <c r="H44" s="18" t="s">
        <v>9</v>
      </c>
      <c r="I44" s="18">
        <v>200</v>
      </c>
      <c r="J44" s="18">
        <v>380</v>
      </c>
      <c r="K44" s="21">
        <v>0</v>
      </c>
      <c r="L44" s="21">
        <v>120</v>
      </c>
      <c r="M44" s="20">
        <v>0</v>
      </c>
      <c r="N44" s="20">
        <v>5.0000000000000004E-6</v>
      </c>
      <c r="O44" s="20">
        <v>1E-4</v>
      </c>
      <c r="P44" s="18">
        <f t="shared" si="10"/>
        <v>5.0000000000000004E-6</v>
      </c>
      <c r="Q44" s="20">
        <v>9.9999999999999995E-8</v>
      </c>
      <c r="R44" s="18">
        <f t="shared" si="9"/>
        <v>5.1000000000000003E-6</v>
      </c>
      <c r="S44" s="18" t="s">
        <v>151</v>
      </c>
      <c r="U44" s="18" t="s">
        <v>11</v>
      </c>
      <c r="W44" s="22"/>
      <c r="X44" s="20"/>
      <c r="Y44" s="62" t="e">
        <f t="shared" si="2"/>
        <v>#DIV/0!</v>
      </c>
      <c r="Z44" s="23"/>
      <c r="AA44" s="23"/>
      <c r="AB44" s="36"/>
      <c r="AC44" s="36"/>
      <c r="AD44" s="23"/>
      <c r="AE44" s="46"/>
      <c r="AG44" s="23">
        <v>30.553097771526701</v>
      </c>
      <c r="AH44" s="23">
        <v>6.9569583196116298</v>
      </c>
      <c r="AI44" s="46">
        <f t="shared" si="6"/>
        <v>0.25460914809605584</v>
      </c>
      <c r="AJ44" s="18">
        <v>8.8529999999999998</v>
      </c>
      <c r="AK44" s="18">
        <v>22.634</v>
      </c>
      <c r="AL44" s="18">
        <v>0.41599999999999998</v>
      </c>
      <c r="AM44" s="18">
        <v>0.28499999999999998</v>
      </c>
      <c r="AN44" s="41">
        <f>(3/5)*(測定設定値!$B$2/(2*SIN(RADIANS(AJ44))))</f>
        <v>3.003116840713087</v>
      </c>
      <c r="AO44" s="41">
        <f>(5 / 2)*(3/5)*(測定設定値!$B$2/(2*SIN(RADIANS(AK44))))</f>
        <v>3.0023885141588584</v>
      </c>
      <c r="AP44" s="62">
        <f t="shared" si="3"/>
        <v>3.0027526774359727</v>
      </c>
      <c r="AQ44" s="23">
        <v>16.8661971830985</v>
      </c>
      <c r="AR44" s="23">
        <v>17.2183098591549</v>
      </c>
      <c r="AS44" s="23">
        <v>17.746478873239401</v>
      </c>
      <c r="AT44" s="23">
        <v>18.274647887323901</v>
      </c>
      <c r="AU44" s="23">
        <v>18.626760563380198</v>
      </c>
      <c r="AV44" s="23">
        <f>0.1*(1/2)*測定設定値!$B$2/((SIN(RADIANS(AR44/2)-SIN(RADIANS(AQ44/2)))))</f>
        <v>21.375788182333864</v>
      </c>
      <c r="AW44" s="23">
        <f>0.1*(3/4)*測定設定値!$B$2/(SIN(RADIANS(AS44/2))-(SIN(RADIANS(AR44/2))))</f>
        <v>25.363232194775438</v>
      </c>
      <c r="AX44" s="23">
        <f>0.1*(3/4)*測定設定値!$B$2/(SIN(RADIANS(AT44/2))-(SIN(RADIANS(AS44/2))))</f>
        <v>25.381489349167978</v>
      </c>
      <c r="AY44" s="23">
        <f>0.1*(1/2)*測定設定値!$B$2/((SIN(RADIANS(AU44/2)-SIN(RADIANS(AT44/2)))))</f>
        <v>20.552919102627008</v>
      </c>
      <c r="AZ44" s="57"/>
      <c r="BA44" s="57"/>
      <c r="BB44" s="57"/>
      <c r="BC44" s="57"/>
      <c r="BD44" s="57"/>
      <c r="BE44" s="23"/>
      <c r="BF44" s="23" t="e">
        <f>0.1*(3/4)*測定設定値!$B$2/(SIN(RADIANS(BB44/2))-(SIN(RADIANS(BA44/2))))</f>
        <v>#DIV/0!</v>
      </c>
      <c r="BG44" s="23" t="e">
        <f>0.1*(3/4)*測定設定値!$B$2/(SIN(RADIANS(BC44/2))-(SIN(RADIANS(BB44/2))))</f>
        <v>#DIV/0!</v>
      </c>
      <c r="BH44" s="23"/>
      <c r="BI44" s="23" t="e">
        <f t="shared" si="4"/>
        <v>#DIV/0!</v>
      </c>
      <c r="BJ44" s="23" t="e">
        <f t="shared" si="5"/>
        <v>#DIV/0!</v>
      </c>
      <c r="BK44" s="23">
        <f>AVERAGE(AX44,AW44)/L44</f>
        <v>0.21143633976643089</v>
      </c>
    </row>
    <row r="45" spans="1:63" s="18" customFormat="1">
      <c r="A45" s="18" t="s">
        <v>124</v>
      </c>
      <c r="B45" s="18" t="s">
        <v>109</v>
      </c>
      <c r="C45" s="18" t="s">
        <v>184</v>
      </c>
      <c r="F45" s="20">
        <f>2*Q45/(Q45+M45)</f>
        <v>3.9215686274509796E-2</v>
      </c>
      <c r="G45" s="18">
        <f t="shared" ref="G45:G52" si="12">N45/P45</f>
        <v>0</v>
      </c>
      <c r="H45" s="18" t="s">
        <v>9</v>
      </c>
      <c r="I45" s="18">
        <v>200</v>
      </c>
      <c r="J45" s="18">
        <v>380</v>
      </c>
      <c r="K45" s="21">
        <v>0</v>
      </c>
      <c r="L45" s="21">
        <v>120</v>
      </c>
      <c r="M45" s="20">
        <v>5.0000000000000004E-6</v>
      </c>
      <c r="N45" s="20">
        <v>0</v>
      </c>
      <c r="O45" s="20">
        <v>1E-4</v>
      </c>
      <c r="P45" s="18">
        <f t="shared" si="10"/>
        <v>5.0000000000000004E-6</v>
      </c>
      <c r="Q45" s="20">
        <v>9.9999999999999995E-8</v>
      </c>
      <c r="R45" s="18">
        <f t="shared" si="9"/>
        <v>5.1000000000000003E-6</v>
      </c>
      <c r="S45" s="18" t="s">
        <v>152</v>
      </c>
      <c r="U45" s="18" t="s">
        <v>11</v>
      </c>
      <c r="W45" s="22"/>
      <c r="X45" s="20"/>
      <c r="Y45" s="62" t="e">
        <f t="shared" si="2"/>
        <v>#DIV/0!</v>
      </c>
      <c r="Z45" s="23"/>
      <c r="AA45" s="23"/>
      <c r="AB45" s="36"/>
      <c r="AC45" s="36"/>
      <c r="AD45" s="23"/>
      <c r="AE45" s="46"/>
      <c r="AG45" s="23">
        <v>72.055038356544699</v>
      </c>
      <c r="AH45" s="23">
        <v>4.5925668903250596</v>
      </c>
      <c r="AI45" s="46">
        <f t="shared" si="6"/>
        <v>0.60045865297120582</v>
      </c>
      <c r="AJ45" s="18">
        <v>8.7639999999999993</v>
      </c>
      <c r="AK45" s="18">
        <v>22.411999999999999</v>
      </c>
      <c r="AL45" s="18">
        <v>0.42</v>
      </c>
      <c r="AM45" s="18">
        <v>0.32300000000000001</v>
      </c>
      <c r="AN45" s="41">
        <f>(3/5)*(測定設定値!$B$2/(2*SIN(RADIANS(AJ45))))</f>
        <v>3.0333721793561872</v>
      </c>
      <c r="AO45" s="41">
        <f>(5 / 2)*(3/5)*(測定設定値!$B$2/(2*SIN(RADIANS(AK45))))</f>
        <v>3.0305732680900577</v>
      </c>
      <c r="AP45" s="62">
        <f t="shared" si="3"/>
        <v>3.0319727237231224</v>
      </c>
      <c r="AQ45" s="23"/>
      <c r="AR45" s="23"/>
      <c r="AS45" s="23"/>
      <c r="AT45" s="23"/>
      <c r="AU45" s="23"/>
      <c r="AV45" s="23" t="e">
        <f>0.1*(1/2)*測定設定値!$B$2/((SIN(RADIANS(AR45/2)-SIN(RADIANS(AQ45/2)))))</f>
        <v>#DIV/0!</v>
      </c>
      <c r="AW45" s="23" t="e">
        <f>0.1*(3/4)*測定設定値!$B$2/(SIN(RADIANS(AS45/2))-(SIN(RADIANS(AR45/2))))</f>
        <v>#DIV/0!</v>
      </c>
      <c r="AX45" s="23" t="e">
        <f>0.1*(3/4)*測定設定値!$B$2/(SIN(RADIANS(AT45/2))-(SIN(RADIANS(AS45/2))))</f>
        <v>#DIV/0!</v>
      </c>
      <c r="AY45" s="23" t="e">
        <f>0.1*(1/2)*測定設定値!$B$2/((SIN(RADIANS(AU45/2)-SIN(RADIANS(AT45/2)))))</f>
        <v>#DIV/0!</v>
      </c>
      <c r="AZ45" s="57"/>
      <c r="BA45" s="57"/>
      <c r="BB45" s="57"/>
      <c r="BC45" s="57"/>
      <c r="BD45" s="57"/>
      <c r="BE45" s="23"/>
      <c r="BF45" s="23" t="e">
        <f>0.1*(3/4)*測定設定値!$B$2/(SIN(RADIANS(BB45/2))-(SIN(RADIANS(BA45/2))))</f>
        <v>#DIV/0!</v>
      </c>
      <c r="BG45" s="23" t="e">
        <f>0.1*(3/4)*測定設定値!$B$2/(SIN(RADIANS(BC45/2))-(SIN(RADIANS(BB45/2))))</f>
        <v>#DIV/0!</v>
      </c>
      <c r="BH45" s="23"/>
      <c r="BI45" s="23" t="e">
        <f t="shared" si="4"/>
        <v>#DIV/0!</v>
      </c>
      <c r="BJ45" s="23" t="e">
        <f t="shared" si="5"/>
        <v>#DIV/0!</v>
      </c>
      <c r="BK45" s="23" t="e">
        <f>AVERAGE(AX45,AW45)/L45</f>
        <v>#DIV/0!</v>
      </c>
    </row>
    <row r="46" spans="1:63" s="18" customFormat="1">
      <c r="A46" s="18" t="s">
        <v>125</v>
      </c>
      <c r="B46" s="18" t="s">
        <v>79</v>
      </c>
      <c r="C46" s="18" t="s">
        <v>129</v>
      </c>
      <c r="D46" s="18">
        <v>1.2E-2</v>
      </c>
      <c r="F46" s="20">
        <f>2*Q46/(Q46+N46)</f>
        <v>1.1928429423459242E-2</v>
      </c>
      <c r="G46" s="18">
        <f t="shared" si="12"/>
        <v>0.5</v>
      </c>
      <c r="H46" s="18" t="s">
        <v>9</v>
      </c>
      <c r="I46" s="18">
        <v>200</v>
      </c>
      <c r="J46" s="18">
        <v>380</v>
      </c>
      <c r="K46" s="21">
        <v>0</v>
      </c>
      <c r="L46" s="21">
        <v>120</v>
      </c>
      <c r="M46" s="20">
        <v>5.0000000000000004E-6</v>
      </c>
      <c r="N46" s="20">
        <v>5.0000000000000004E-6</v>
      </c>
      <c r="O46" s="20">
        <v>1E-4</v>
      </c>
      <c r="P46" s="18">
        <f>M46+N46</f>
        <v>1.0000000000000001E-5</v>
      </c>
      <c r="Q46" s="20">
        <v>2.9999999999999997E-8</v>
      </c>
      <c r="R46" s="18">
        <f>P46+Q46</f>
        <v>1.0030000000000001E-5</v>
      </c>
      <c r="S46" s="18" t="s">
        <v>86</v>
      </c>
      <c r="U46" s="18" t="s">
        <v>11</v>
      </c>
      <c r="W46" s="22"/>
      <c r="X46" s="20"/>
      <c r="Y46" s="62" t="e">
        <f t="shared" si="2"/>
        <v>#DIV/0!</v>
      </c>
      <c r="Z46" s="23"/>
      <c r="AA46" s="23"/>
      <c r="AB46" s="36"/>
      <c r="AC46" s="36"/>
      <c r="AD46" s="23"/>
      <c r="AE46" s="46"/>
      <c r="AG46" s="23">
        <v>44.752991094031898</v>
      </c>
      <c r="AH46" s="23">
        <v>5.4983192481999703</v>
      </c>
      <c r="AI46" s="46">
        <f t="shared" si="6"/>
        <v>0.37294159245026581</v>
      </c>
      <c r="AJ46" s="18">
        <v>8.7479999999999993</v>
      </c>
      <c r="AK46" s="18">
        <v>22.34</v>
      </c>
      <c r="AL46" s="18">
        <v>0.34</v>
      </c>
      <c r="AM46" s="18">
        <v>0.219</v>
      </c>
      <c r="AN46" s="41">
        <f>(3/5)*(測定設定値!$B$2/(2*SIN(RADIANS(AJ46))))</f>
        <v>3.0388768886930384</v>
      </c>
      <c r="AO46" s="41">
        <f>(5 / 2)*(3/5)*(測定設定値!$B$2/(2*SIN(RADIANS(AK46))))</f>
        <v>3.0398381088997812</v>
      </c>
      <c r="AP46" s="62">
        <f t="shared" si="3"/>
        <v>3.0393574987964098</v>
      </c>
      <c r="AQ46" s="23">
        <v>16.746478873239401</v>
      </c>
      <c r="AR46" s="23">
        <v>17.0422535211267</v>
      </c>
      <c r="AS46" s="23">
        <v>17.507042253521099</v>
      </c>
      <c r="AT46" s="23"/>
      <c r="AU46" s="23"/>
      <c r="AV46" s="23">
        <f>0.1*(1/2)*測定設定値!$B$2/((SIN(RADIANS(AR46/2)-SIN(RADIANS(AQ46/2)))))</f>
        <v>24.842346080933844</v>
      </c>
      <c r="AW46" s="23">
        <f>0.1*(3/4)*測定設定値!$B$2/(SIN(RADIANS(AS46/2))-(SIN(RADIANS(AR46/2))))</f>
        <v>28.813864459311851</v>
      </c>
      <c r="AX46" s="23">
        <f>0.1*(3/4)*測定設定値!$B$2/(SIN(RADIANS(AT46/2))-(SIN(RADIANS(AS46/2))))</f>
        <v>-0.75924377334271631</v>
      </c>
      <c r="AY46" s="23" t="e">
        <f>0.1*(1/2)*測定設定値!$B$2/((SIN(RADIANS(AU46/2)-SIN(RADIANS(AT46/2)))))</f>
        <v>#DIV/0!</v>
      </c>
      <c r="AZ46" s="57"/>
      <c r="BA46" s="57"/>
      <c r="BB46" s="57"/>
      <c r="BC46" s="57"/>
      <c r="BD46" s="57"/>
      <c r="BE46" s="23"/>
      <c r="BF46" s="23" t="e">
        <f>0.1*(3/4)*測定設定値!$B$2/(SIN(RADIANS(BB46/2))-(SIN(RADIANS(BA46/2))))</f>
        <v>#DIV/0!</v>
      </c>
      <c r="BG46" s="23" t="e">
        <f>0.1*(3/4)*測定設定値!$B$2/(SIN(RADIANS(BC46/2))-(SIN(RADIANS(BB46/2))))</f>
        <v>#DIV/0!</v>
      </c>
      <c r="BH46" s="23"/>
      <c r="BI46" s="23" t="e">
        <f t="shared" si="4"/>
        <v>#DIV/0!</v>
      </c>
      <c r="BJ46" s="23" t="e">
        <f t="shared" si="5"/>
        <v>#DIV/0!</v>
      </c>
      <c r="BK46" s="23">
        <f>AVERAGE(AX46,AW46)/L46</f>
        <v>0.11689425285820472</v>
      </c>
    </row>
    <row r="47" spans="1:63" s="24" customFormat="1">
      <c r="A47" s="24" t="s">
        <v>126</v>
      </c>
      <c r="B47" s="24" t="s">
        <v>29</v>
      </c>
      <c r="C47" s="24" t="s">
        <v>183</v>
      </c>
      <c r="D47" s="24">
        <v>0.04</v>
      </c>
      <c r="E47" s="24">
        <v>0.3</v>
      </c>
      <c r="F47" s="25">
        <f t="shared" ref="F47:F53" si="13">2*Q47/(Q47+M47+N47)</f>
        <v>3.9215686274509796E-2</v>
      </c>
      <c r="G47" s="24">
        <f t="shared" si="12"/>
        <v>0.30000000000000004</v>
      </c>
      <c r="H47" s="24" t="s">
        <v>23</v>
      </c>
      <c r="I47" s="24">
        <v>200</v>
      </c>
      <c r="J47" s="24">
        <v>380</v>
      </c>
      <c r="K47" s="26">
        <v>380</v>
      </c>
      <c r="L47" s="26">
        <v>60</v>
      </c>
      <c r="M47" s="29">
        <v>3.4999999999999999E-6</v>
      </c>
      <c r="N47" s="29">
        <v>1.5E-6</v>
      </c>
      <c r="O47" s="29">
        <v>1E-4</v>
      </c>
      <c r="P47" s="29">
        <f>M47+N47</f>
        <v>4.9999999999999996E-6</v>
      </c>
      <c r="Q47" s="29">
        <v>9.9999999999999995E-8</v>
      </c>
      <c r="R47" s="24">
        <f>P47+Q47</f>
        <v>5.0999999999999995E-6</v>
      </c>
      <c r="S47" s="24" t="s">
        <v>150</v>
      </c>
      <c r="U47" s="24" t="s">
        <v>11</v>
      </c>
      <c r="V47" s="24" t="s">
        <v>11</v>
      </c>
      <c r="W47" s="27">
        <v>50.962000000000003</v>
      </c>
      <c r="X47" s="29">
        <v>81673000000000</v>
      </c>
      <c r="Y47" s="63">
        <f t="shared" si="2"/>
        <v>7.6429141251493258</v>
      </c>
      <c r="Z47" s="28">
        <v>7.0011000000000004E-2</v>
      </c>
      <c r="AA47" s="28">
        <v>536.54</v>
      </c>
      <c r="AB47" s="37">
        <v>2.3821000000000001E-4</v>
      </c>
      <c r="AC47" s="37">
        <v>6.5757999999999995E-4</v>
      </c>
      <c r="AD47" s="28">
        <v>1496.1</v>
      </c>
      <c r="AE47" s="47">
        <v>0.10143149375503201</v>
      </c>
      <c r="AF47" s="24" t="s">
        <v>181</v>
      </c>
      <c r="AG47" s="28">
        <v>27.228587382091899</v>
      </c>
      <c r="AH47" s="28">
        <v>1.35349769600419</v>
      </c>
      <c r="AI47" s="47">
        <f t="shared" si="6"/>
        <v>0.45380978970153163</v>
      </c>
      <c r="AN47" s="42" t="e">
        <f>(3/5)*(測定設定値!$B$2/(2*SIN(RADIANS(AJ47))))</f>
        <v>#DIV/0!</v>
      </c>
      <c r="AO47" s="42" t="e">
        <f>(5 / 2)*(3/5)*(測定設定値!$B$2/(2*SIN(RADIANS(AK47))))</f>
        <v>#DIV/0!</v>
      </c>
      <c r="AP47" s="63" t="e">
        <f t="shared" si="3"/>
        <v>#DIV/0!</v>
      </c>
      <c r="AR47" s="28">
        <v>16.957746478873201</v>
      </c>
      <c r="AS47" s="28">
        <v>17.549295774647799</v>
      </c>
      <c r="AT47" s="28">
        <v>18.1408450704225</v>
      </c>
      <c r="AU47" s="28"/>
      <c r="AV47" s="28">
        <f>0.1*(1/2)*測定設定値!$B$2/((SIN(RADIANS(AR47/2)-SIN(RADIANS(AQ47/2)))))</f>
        <v>0.52243240807808922</v>
      </c>
      <c r="AW47" s="28">
        <f>0.1*(3/4)*測定設定値!$B$2/(SIN(RADIANS(AS47/2))-(SIN(RADIANS(AR47/2))))</f>
        <v>22.638840922810775</v>
      </c>
      <c r="AX47" s="28">
        <f>0.1*(3/4)*測定設定値!$B$2/(SIN(RADIANS(AT47/2))-(SIN(RADIANS(AS47/2))))</f>
        <v>22.65688719859196</v>
      </c>
      <c r="AY47" s="28">
        <f>0.1*(1/2)*測定設定値!$B$2/((SIN(RADIANS(AU47/2)-SIN(RADIANS(AT47/2)))))</f>
        <v>-0.49064841595591346</v>
      </c>
      <c r="AZ47" s="58"/>
      <c r="BA47" s="58"/>
      <c r="BB47" s="58"/>
      <c r="BC47" s="58"/>
      <c r="BD47" s="58"/>
      <c r="BE47" s="28"/>
      <c r="BF47" s="28" t="e">
        <f>0.1*(3/4)*測定設定値!$B$2/(SIN(RADIANS(BB47/2))-(SIN(RADIANS(BA47/2))))</f>
        <v>#DIV/0!</v>
      </c>
      <c r="BG47" s="28" t="e">
        <f>0.1*(3/4)*測定設定値!$B$2/(SIN(RADIANS(BC47/2))-(SIN(RADIANS(BB47/2))))</f>
        <v>#DIV/0!</v>
      </c>
      <c r="BH47" s="28"/>
      <c r="BI47" s="28" t="e">
        <f t="shared" si="4"/>
        <v>#DIV/0!</v>
      </c>
      <c r="BJ47" s="28" t="e">
        <f t="shared" si="5"/>
        <v>#DIV/0!</v>
      </c>
      <c r="BK47" s="28">
        <f>AVERAGE(AX47,AW47)/L47</f>
        <v>0.37746440101168943</v>
      </c>
    </row>
    <row r="48" spans="1:63">
      <c r="F48" t="e">
        <f t="shared" si="13"/>
        <v>#DIV/0!</v>
      </c>
      <c r="G48" t="e">
        <f t="shared" si="12"/>
        <v>#DIV/0!</v>
      </c>
      <c r="AI48" s="43" t="e">
        <f t="shared" si="6"/>
        <v>#DIV/0!</v>
      </c>
      <c r="AN48" s="38" t="e">
        <f>(3/5)*(測定設定値!$B$2/(2*SIN(RADIANS(AJ48))))</f>
        <v>#DIV/0!</v>
      </c>
      <c r="AO48" s="38" t="e">
        <f>(5 / 2)*(3/5)*(測定設定値!$B$2/(2*SIN(RADIANS(AK48))))</f>
        <v>#DIV/0!</v>
      </c>
      <c r="AP48" s="59" t="e">
        <f t="shared" si="3"/>
        <v>#DIV/0!</v>
      </c>
      <c r="AV48" s="5" t="e">
        <f>0.1*(1/2)*測定設定値!$B$2/((SIN(RADIANS(AR48/2)-SIN(RADIANS(AQ48/2)))))</f>
        <v>#DIV/0!</v>
      </c>
      <c r="AW48" s="5" t="e">
        <f>0.1*(3/4)*測定設定値!$B$2/(SIN(RADIANS(AS48/2))-(SIN(RADIANS(AR48/2))))</f>
        <v>#DIV/0!</v>
      </c>
      <c r="AX48" s="5" t="e">
        <f>0.1*(3/4)*測定設定値!$B$2/(SIN(RADIANS(AT48/2))-(SIN(RADIANS(AS48/2))))</f>
        <v>#DIV/0!</v>
      </c>
      <c r="AY48" s="5" t="e">
        <f>0.1*(1/2)*測定設定値!$B$2/((SIN(RADIANS(AU48/2)-SIN(RADIANS(AT48/2)))))</f>
        <v>#DIV/0!</v>
      </c>
      <c r="AZ48" s="55"/>
      <c r="BA48" s="55"/>
      <c r="BB48" s="55"/>
      <c r="BC48" s="55"/>
      <c r="BD48" s="55"/>
      <c r="BF48" s="5" t="e">
        <f>0.1*(3/4)*測定設定値!$B$2/(SIN(RADIANS(BB48/2))-(SIN(RADIANS(BA48/2))))</f>
        <v>#DIV/0!</v>
      </c>
      <c r="BG48" s="5" t="e">
        <f>0.1*(3/4)*測定設定値!$B$2/(SIN(RADIANS(BC48/2))-(SIN(RADIANS(BB48/2))))</f>
        <v>#DIV/0!</v>
      </c>
      <c r="BI48" s="5" t="e">
        <f t="shared" si="4"/>
        <v>#DIV/0!</v>
      </c>
      <c r="BJ48" s="5" t="e">
        <f t="shared" si="5"/>
        <v>#DIV/0!</v>
      </c>
      <c r="BK48" s="5" t="e">
        <f>AVERAGE(AX48,AW48)/L48</f>
        <v>#DIV/0!</v>
      </c>
    </row>
    <row r="49" spans="6:63">
      <c r="F49" t="e">
        <f t="shared" si="13"/>
        <v>#DIV/0!</v>
      </c>
      <c r="G49" t="e">
        <f t="shared" si="12"/>
        <v>#DIV/0!</v>
      </c>
      <c r="AI49" s="43" t="e">
        <f t="shared" si="6"/>
        <v>#DIV/0!</v>
      </c>
      <c r="AN49" s="38" t="e">
        <f>(3/5)*(測定設定値!$B$2/(2*SIN(RADIANS(AJ49))))</f>
        <v>#DIV/0!</v>
      </c>
      <c r="AO49" s="38" t="e">
        <f>(5 / 2)*(3/5)*(測定設定値!$B$2/(2*SIN(RADIANS(AK49))))</f>
        <v>#DIV/0!</v>
      </c>
      <c r="AP49" s="59" t="e">
        <f t="shared" si="3"/>
        <v>#DIV/0!</v>
      </c>
      <c r="AV49" s="5" t="e">
        <f>0.1*(1/2)*測定設定値!$B$2/((SIN(RADIANS(AR49/2)-SIN(RADIANS(AQ49/2)))))</f>
        <v>#DIV/0!</v>
      </c>
      <c r="AW49" s="5" t="e">
        <f>0.1*(3/4)*測定設定値!$B$2/(SIN(RADIANS(AS49/2))-(SIN(RADIANS(AR49/2))))</f>
        <v>#DIV/0!</v>
      </c>
      <c r="AX49" s="5" t="e">
        <f>0.1*(3/4)*測定設定値!$B$2/(SIN(RADIANS(AT49/2))-(SIN(RADIANS(AS49/2))))</f>
        <v>#DIV/0!</v>
      </c>
      <c r="AY49" s="5" t="e">
        <f>0.1*(1/2)*測定設定値!$B$2/((SIN(RADIANS(AU49/2)-SIN(RADIANS(AT49/2)))))</f>
        <v>#DIV/0!</v>
      </c>
      <c r="AZ49" s="55"/>
      <c r="BA49" s="55"/>
      <c r="BB49" s="55"/>
      <c r="BC49" s="55"/>
      <c r="BD49" s="55"/>
      <c r="BF49" s="5" t="e">
        <f>0.1*(3/4)*測定設定値!$B$2/(SIN(RADIANS(BB49/2))-(SIN(RADIANS(BA49/2))))</f>
        <v>#DIV/0!</v>
      </c>
      <c r="BG49" s="5" t="e">
        <f>0.1*(3/4)*測定設定値!$B$2/(SIN(RADIANS(BC49/2))-(SIN(RADIANS(BB49/2))))</f>
        <v>#DIV/0!</v>
      </c>
      <c r="BI49" s="5" t="e">
        <f t="shared" si="4"/>
        <v>#DIV/0!</v>
      </c>
      <c r="BJ49" s="5" t="e">
        <f t="shared" si="5"/>
        <v>#DIV/0!</v>
      </c>
      <c r="BK49" s="5" t="e">
        <f>AVERAGE(AX49,AW49)/L49</f>
        <v>#DIV/0!</v>
      </c>
    </row>
    <row r="50" spans="6:63">
      <c r="F50" t="e">
        <f t="shared" si="13"/>
        <v>#DIV/0!</v>
      </c>
      <c r="G50" t="e">
        <f t="shared" si="12"/>
        <v>#DIV/0!</v>
      </c>
      <c r="AI50" s="43" t="e">
        <f t="shared" si="6"/>
        <v>#DIV/0!</v>
      </c>
      <c r="AN50" s="38" t="e">
        <f>(3/5)*(測定設定値!$B$2/(2*SIN(RADIANS(AJ50))))</f>
        <v>#DIV/0!</v>
      </c>
      <c r="AO50" s="38" t="e">
        <f>(5 / 2)*(3/5)*(測定設定値!$B$2/(2*SIN(RADIANS(AK50))))</f>
        <v>#DIV/0!</v>
      </c>
      <c r="AP50" s="59" t="e">
        <f t="shared" si="3"/>
        <v>#DIV/0!</v>
      </c>
      <c r="AV50" s="5" t="e">
        <f>0.1*(1/2)*測定設定値!$B$2/((SIN(RADIANS(AR50/2)-SIN(RADIANS(AQ50/2)))))</f>
        <v>#DIV/0!</v>
      </c>
      <c r="AW50" s="5" t="e">
        <f>0.1*(3/4)*測定設定値!$B$2/(SIN(RADIANS(AS50/2))-(SIN(RADIANS(AR50/2))))</f>
        <v>#DIV/0!</v>
      </c>
      <c r="AX50" s="5" t="e">
        <f>0.1*(3/4)*測定設定値!$B$2/(SIN(RADIANS(AT50/2))-(SIN(RADIANS(AS50/2))))</f>
        <v>#DIV/0!</v>
      </c>
      <c r="AY50" s="5" t="e">
        <f>0.1*(1/2)*測定設定値!$B$2/((SIN(RADIANS(AU50/2)-SIN(RADIANS(AT50/2)))))</f>
        <v>#DIV/0!</v>
      </c>
      <c r="AZ50" s="55"/>
      <c r="BA50" s="55"/>
      <c r="BB50" s="55"/>
      <c r="BC50" s="55"/>
      <c r="BD50" s="55"/>
      <c r="BF50" s="5" t="e">
        <f>0.1*(3/4)*測定設定値!$B$2/(SIN(RADIANS(BB50/2))-(SIN(RADIANS(BA50/2))))</f>
        <v>#DIV/0!</v>
      </c>
      <c r="BG50" s="5" t="e">
        <f>0.1*(3/4)*測定設定値!$B$2/(SIN(RADIANS(BC50/2))-(SIN(RADIANS(BB50/2))))</f>
        <v>#DIV/0!</v>
      </c>
      <c r="BI50" s="5" t="e">
        <f t="shared" si="4"/>
        <v>#DIV/0!</v>
      </c>
      <c r="BJ50" s="5" t="e">
        <f t="shared" si="5"/>
        <v>#DIV/0!</v>
      </c>
      <c r="BK50" s="5" t="e">
        <f>AVERAGE(AX50,AW50)/L50</f>
        <v>#DIV/0!</v>
      </c>
    </row>
    <row r="51" spans="6:63">
      <c r="F51" t="e">
        <f t="shared" si="13"/>
        <v>#DIV/0!</v>
      </c>
      <c r="G51" t="e">
        <f t="shared" si="12"/>
        <v>#DIV/0!</v>
      </c>
      <c r="AI51" s="43" t="e">
        <f t="shared" si="6"/>
        <v>#DIV/0!</v>
      </c>
      <c r="AN51" s="38" t="e">
        <f>(3/5)*(測定設定値!$B$2/(2*SIN(RADIANS(AJ51))))</f>
        <v>#DIV/0!</v>
      </c>
      <c r="AO51" s="38" t="e">
        <f>(5 / 2)*(3/5)*(測定設定値!$B$2/(2*SIN(RADIANS(AK51))))</f>
        <v>#DIV/0!</v>
      </c>
      <c r="AP51" s="59" t="e">
        <f t="shared" si="3"/>
        <v>#DIV/0!</v>
      </c>
      <c r="AV51" s="5" t="e">
        <f>0.1*(1/2)*測定設定値!$B$2/((SIN(RADIANS(AR51/2)-SIN(RADIANS(AQ51/2)))))</f>
        <v>#DIV/0!</v>
      </c>
      <c r="AW51" s="5" t="e">
        <f>0.1*(3/4)*測定設定値!$B$2/(SIN(RADIANS(AS51/2))-(SIN(RADIANS(AR51/2))))</f>
        <v>#DIV/0!</v>
      </c>
      <c r="AX51" s="5" t="e">
        <f>0.1*(3/4)*測定設定値!$B$2/(SIN(RADIANS(AT51/2))-(SIN(RADIANS(AS51/2))))</f>
        <v>#DIV/0!</v>
      </c>
      <c r="AY51" s="5" t="e">
        <f>0.1*(1/2)*測定設定値!$B$2/((SIN(RADIANS(AU51/2)-SIN(RADIANS(AT51/2)))))</f>
        <v>#DIV/0!</v>
      </c>
      <c r="AZ51" s="55"/>
      <c r="BA51" s="55"/>
      <c r="BB51" s="55"/>
      <c r="BC51" s="55"/>
      <c r="BD51" s="55"/>
      <c r="BF51" s="5" t="e">
        <f>0.1*(3/4)*測定設定値!$B$2/(SIN(RADIANS(BB51/2))-(SIN(RADIANS(BA51/2))))</f>
        <v>#DIV/0!</v>
      </c>
      <c r="BG51" s="5" t="e">
        <f>0.1*(3/4)*測定設定値!$B$2/(SIN(RADIANS(BC51/2))-(SIN(RADIANS(BB51/2))))</f>
        <v>#DIV/0!</v>
      </c>
      <c r="BI51" s="5" t="e">
        <f t="shared" si="4"/>
        <v>#DIV/0!</v>
      </c>
      <c r="BJ51" s="5" t="e">
        <f t="shared" si="5"/>
        <v>#DIV/0!</v>
      </c>
      <c r="BK51" s="5" t="e">
        <f>AVERAGE(AX51,AW51)/L51</f>
        <v>#DIV/0!</v>
      </c>
    </row>
    <row r="52" spans="6:63">
      <c r="F52" t="e">
        <f t="shared" si="13"/>
        <v>#DIV/0!</v>
      </c>
      <c r="G52" t="e">
        <f t="shared" si="12"/>
        <v>#DIV/0!</v>
      </c>
      <c r="AI52" s="43" t="e">
        <f t="shared" si="6"/>
        <v>#DIV/0!</v>
      </c>
      <c r="AN52" s="38" t="e">
        <f>(3/5)*(測定設定値!$B$2/(2*SIN(RADIANS(AJ52))))</f>
        <v>#DIV/0!</v>
      </c>
      <c r="AO52" s="38" t="e">
        <f>(5 / 2)*(3/5)*(測定設定値!$B$2/(2*SIN(RADIANS(AK52))))</f>
        <v>#DIV/0!</v>
      </c>
      <c r="AP52" s="59" t="e">
        <f t="shared" si="3"/>
        <v>#DIV/0!</v>
      </c>
      <c r="AV52" s="5" t="e">
        <f>0.1*(1/2)*測定設定値!$B$2/((SIN(RADIANS(AR52/2)-SIN(RADIANS(AQ52/2)))))</f>
        <v>#DIV/0!</v>
      </c>
      <c r="AW52" s="5" t="e">
        <f>0.1*(3/4)*測定設定値!$B$2/(SIN(RADIANS(AS52/2))-(SIN(RADIANS(AR52/2))))</f>
        <v>#DIV/0!</v>
      </c>
      <c r="AX52" s="5" t="e">
        <f>0.1*(3/4)*測定設定値!$B$2/(SIN(RADIANS(AT52/2))-(SIN(RADIANS(AS52/2))))</f>
        <v>#DIV/0!</v>
      </c>
      <c r="AY52" s="5" t="e">
        <f>0.1*(1/2)*測定設定値!$B$2/((SIN(RADIANS(AU52/2)-SIN(RADIANS(AT52/2)))))</f>
        <v>#DIV/0!</v>
      </c>
      <c r="AZ52" s="55"/>
      <c r="BA52" s="55"/>
      <c r="BB52" s="55"/>
      <c r="BC52" s="55"/>
      <c r="BD52" s="55"/>
      <c r="BI52" s="5" t="e">
        <f t="shared" si="4"/>
        <v>#DIV/0!</v>
      </c>
      <c r="BJ52" s="5" t="e">
        <f t="shared" si="5"/>
        <v>#DIV/0!</v>
      </c>
      <c r="BK52" s="5" t="e">
        <f>AVERAGE(AX52,AW52)/L52</f>
        <v>#DIV/0!</v>
      </c>
    </row>
    <row r="53" spans="6:63">
      <c r="F53" t="e">
        <f t="shared" si="13"/>
        <v>#DIV/0!</v>
      </c>
      <c r="AI53" s="43" t="e">
        <f t="shared" si="6"/>
        <v>#DIV/0!</v>
      </c>
      <c r="AN53" s="38" t="e">
        <f>(3/5)*(測定設定値!$B$2/(2*SIN(RADIANS(AJ53))))</f>
        <v>#DIV/0!</v>
      </c>
      <c r="AO53" s="38" t="e">
        <f>(5 / 2)*(3/5)*(測定設定値!$B$2/(2*SIN(RADIANS(AK53))))</f>
        <v>#DIV/0!</v>
      </c>
      <c r="AP53" s="59" t="e">
        <f t="shared" si="3"/>
        <v>#DIV/0!</v>
      </c>
      <c r="AV53" s="5" t="e">
        <f>0.1*(1/2)*測定設定値!$B$2/((SIN(RADIANS(AR53/2)-SIN(RADIANS(AQ53/2)))))</f>
        <v>#DIV/0!</v>
      </c>
      <c r="AW53" s="5" t="e">
        <f>0.1*(3/4)*測定設定値!$B$2/(SIN(RADIANS(AS53/2))-(SIN(RADIANS(AR53/2))))</f>
        <v>#DIV/0!</v>
      </c>
      <c r="AX53" s="5" t="e">
        <f>0.1*(3/4)*測定設定値!$B$2/(SIN(RADIANS(AT53/2))-(SIN(RADIANS(AS53/2))))</f>
        <v>#DIV/0!</v>
      </c>
      <c r="AY53" s="5" t="e">
        <f>0.1*(1/2)*測定設定値!$B$2/((SIN(RADIANS(AU53/2)-SIN(RADIANS(AT53/2)))))</f>
        <v>#DIV/0!</v>
      </c>
      <c r="AZ53" s="55"/>
      <c r="BA53" s="55"/>
      <c r="BB53" s="55"/>
      <c r="BC53" s="55"/>
      <c r="BD53" s="55"/>
    </row>
    <row r="54" spans="6:63">
      <c r="AI54" s="43" t="e">
        <f t="shared" si="6"/>
        <v>#DIV/0!</v>
      </c>
      <c r="AN54" s="38" t="e">
        <f>(3/5)*(測定設定値!$B$2/(2*SIN(RADIANS(AJ54))))</f>
        <v>#DIV/0!</v>
      </c>
      <c r="AO54" s="38" t="e">
        <f>(5 / 2)*(3/5)*(測定設定値!$B$2/(2*SIN(RADIANS(AK54))))</f>
        <v>#DIV/0!</v>
      </c>
      <c r="AP54" s="59" t="e">
        <f t="shared" si="3"/>
        <v>#DIV/0!</v>
      </c>
      <c r="AV54" s="5" t="e">
        <f>0.1*(1/2)*測定設定値!$B$2/((SIN(RADIANS(AR54/2)-SIN(RADIANS(AQ54/2)))))</f>
        <v>#DIV/0!</v>
      </c>
      <c r="AW54" s="5" t="e">
        <f>0.1*(3/4)*測定設定値!$B$2/(SIN(RADIANS(AS54/2))-(SIN(RADIANS(AR54/2))))</f>
        <v>#DIV/0!</v>
      </c>
      <c r="AX54" s="5" t="e">
        <f>0.1*(3/4)*測定設定値!$B$2/(SIN(RADIANS(AT54/2))-(SIN(RADIANS(AS54/2))))</f>
        <v>#DIV/0!</v>
      </c>
      <c r="AY54" s="5" t="e">
        <f>0.1*(1/2)*測定設定値!$B$2/((SIN(RADIANS(AU54/2)-SIN(RADIANS(AT54/2)))))</f>
        <v>#DIV/0!</v>
      </c>
      <c r="AZ54" s="55"/>
      <c r="BA54" s="55"/>
      <c r="BB54" s="55"/>
      <c r="BC54" s="55"/>
      <c r="BD54" s="55"/>
    </row>
    <row r="55" spans="6:63">
      <c r="AI55" s="43" t="e">
        <f t="shared" si="6"/>
        <v>#DIV/0!</v>
      </c>
      <c r="AN55" s="38" t="e">
        <f>(3/5)*(測定設定値!$B$2/(2*SIN(RADIANS(AJ55))))</f>
        <v>#DIV/0!</v>
      </c>
      <c r="AO55" s="38" t="e">
        <f>(5 / 2)*(3/5)*(測定設定値!$B$2/(2*SIN(RADIANS(AK55))))</f>
        <v>#DIV/0!</v>
      </c>
      <c r="AP55" s="59" t="e">
        <f t="shared" si="3"/>
        <v>#DIV/0!</v>
      </c>
      <c r="AV55" s="5" t="e">
        <f>0.1*(1/2)*測定設定値!$B$2/((SIN(RADIANS(AR55/2)-SIN(RADIANS(AQ55/2)))))</f>
        <v>#DIV/0!</v>
      </c>
      <c r="AW55" s="5" t="e">
        <f>0.1*(3/4)*測定設定値!$B$2/(SIN(RADIANS(AS55/2))-(SIN(RADIANS(AR55/2))))</f>
        <v>#DIV/0!</v>
      </c>
      <c r="AX55" s="5" t="e">
        <f>0.1*(3/4)*測定設定値!$B$2/(SIN(RADIANS(AT55/2))-(SIN(RADIANS(AS55/2))))</f>
        <v>#DIV/0!</v>
      </c>
      <c r="AY55" s="5" t="e">
        <f>0.1*(1/2)*測定設定値!$B$2/((SIN(RADIANS(AU55/2)-SIN(RADIANS(AT55/2)))))</f>
        <v>#DIV/0!</v>
      </c>
    </row>
    <row r="56" spans="6:63">
      <c r="AN56" s="38" t="e">
        <f>(3/5)*(測定設定値!$B$2/(2*SIN(RADIANS(AJ56))))</f>
        <v>#DIV/0!</v>
      </c>
      <c r="AO56" s="38" t="e">
        <f>(5 / 2)*(3/5)*(測定設定値!$B$2/(2*SIN(RADIANS(AK56))))</f>
        <v>#DIV/0!</v>
      </c>
      <c r="AP56" s="59" t="e">
        <f t="shared" si="3"/>
        <v>#DIV/0!</v>
      </c>
      <c r="AV56" s="5" t="e">
        <f>0.1*(1/2)*測定設定値!$B$2/((SIN(RADIANS(AR56/2)-SIN(RADIANS(AQ56/2)))))</f>
        <v>#DIV/0!</v>
      </c>
      <c r="AW56" s="5" t="e">
        <f>0.1*(3/4)*測定設定値!$B$2/(SIN(RADIANS(AS56/2))-(SIN(RADIANS(AR56/2))))</f>
        <v>#DIV/0!</v>
      </c>
      <c r="AX56" s="5" t="e">
        <f>0.1*(3/4)*測定設定値!$B$2/(SIN(RADIANS(AT56/2))-(SIN(RADIANS(AS56/2))))</f>
        <v>#DIV/0!</v>
      </c>
      <c r="AY56" s="5" t="e">
        <f>0.1*(1/2)*測定設定値!$B$2/((SIN(RADIANS(AU56/2)-SIN(RADIANS(AT56/2)))))</f>
        <v>#DIV/0!</v>
      </c>
    </row>
    <row r="57" spans="6:63">
      <c r="AN57" s="38" t="e">
        <f>(3/5)*(測定設定値!$B$2/(2*SIN(RADIANS(AJ57))))</f>
        <v>#DIV/0!</v>
      </c>
      <c r="AO57" s="38" t="e">
        <f>(5 / 2)*(3/5)*(測定設定値!$B$2/(2*SIN(RADIANS(AK57))))</f>
        <v>#DIV/0!</v>
      </c>
      <c r="AP57" s="59" t="e">
        <f t="shared" si="3"/>
        <v>#DIV/0!</v>
      </c>
    </row>
    <row r="58" spans="6:63">
      <c r="AN58" s="38" t="e">
        <f>(3/5)*(測定設定値!$B$2/(2*SIN(RADIANS(AJ58))))</f>
        <v>#DIV/0!</v>
      </c>
      <c r="AO58" s="38" t="e">
        <f>(5 / 2)*(3/5)*(測定設定値!$B$2/(2*SIN(RADIANS(AK58))))</f>
        <v>#DIV/0!</v>
      </c>
      <c r="AP58" s="59" t="e">
        <f t="shared" si="3"/>
        <v>#DIV/0!</v>
      </c>
    </row>
    <row r="59" spans="6:63">
      <c r="AN59" s="38" t="e">
        <f>(3/5)*(測定設定値!$B$2/(2*SIN(RADIANS(AJ59))))</f>
        <v>#DIV/0!</v>
      </c>
      <c r="AO59" s="38" t="e">
        <f>(5 / 2)*(3/5)*(測定設定値!$B$2/(2*SIN(RADIANS(AK59))))</f>
        <v>#DIV/0!</v>
      </c>
    </row>
    <row r="60" spans="6:63">
      <c r="AN60" s="38" t="e">
        <f>(3/5)*(測定設定値!$B$2/(2*SIN(RADIANS(AJ60))))</f>
        <v>#DIV/0!</v>
      </c>
      <c r="AO60" s="38" t="e">
        <f>(5 / 2)*(3/5)*(測定設定値!$B$2/(2*SIN(RADIANS(AK60))))</f>
        <v>#DIV/0!</v>
      </c>
    </row>
    <row r="61" spans="6:63">
      <c r="AN61" s="38" t="e">
        <f>(3/5)*(測定設定値!$B$2/(2*SIN(RADIANS(AJ61))))</f>
        <v>#DIV/0!</v>
      </c>
      <c r="AO61" s="38" t="e">
        <f>(5 / 2)*(3/5)*(測定設定値!$B$2/(2*SIN(RADIANS(AK61))))</f>
        <v>#DIV/0!</v>
      </c>
    </row>
    <row r="62" spans="6:63">
      <c r="AN62" s="38" t="e">
        <f>(3/5)*(測定設定値!$B$2/(2*SIN(RADIANS(AJ62))))</f>
        <v>#DIV/0!</v>
      </c>
      <c r="AO62" s="38" t="e">
        <f>(5 / 2)*(3/5)*(測定設定値!$B$2/(2*SIN(RADIANS(AK62))))</f>
        <v>#DIV/0!</v>
      </c>
    </row>
    <row r="63" spans="6:63">
      <c r="AN63" s="38" t="e">
        <f>(3/5)*(測定設定値!$B$2/(2*SIN(RADIANS(AJ63))))</f>
        <v>#DIV/0!</v>
      </c>
      <c r="AO63" s="38" t="e">
        <f>(5 / 2)*(3/5)*(測定設定値!$B$2/(2*SIN(RADIANS(AK63))))</f>
        <v>#DIV/0!</v>
      </c>
    </row>
  </sheetData>
  <autoFilter ref="A1:BH1" xr:uid="{FF59CE4E-E89E-FA42-9F7F-129A12C3C5AA}">
    <sortState xmlns:xlrd2="http://schemas.microsoft.com/office/spreadsheetml/2017/richdata2" ref="A2:BH39">
      <sortCondition ref="A1:A39"/>
    </sortState>
  </autoFilter>
  <phoneticPr fontId="1"/>
  <pageMargins left="0.7" right="0.7" top="0.75" bottom="0.75" header="0.3" footer="0.3"/>
  <pageSetup paperSize="9" orientation="portrait" horizontalDpi="0" verticalDpi="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93F4D-CD92-1640-AEBC-1C368F4FEF2F}">
  <dimension ref="A1:B2"/>
  <sheetViews>
    <sheetView workbookViewId="0">
      <selection activeCell="D9" sqref="D9"/>
    </sheetView>
  </sheetViews>
  <sheetFormatPr baseColWidth="10" defaultRowHeight="20"/>
  <sheetData>
    <row r="1" spans="1:2">
      <c r="A1" t="s">
        <v>14</v>
      </c>
    </row>
    <row r="2" spans="1:2">
      <c r="A2" t="s">
        <v>153</v>
      </c>
      <c r="B2">
        <f>1.540598</f>
        <v>1.5405979999999999</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log</vt:lpstr>
      <vt:lpstr>測定設定値</vt:lpstr>
      <vt:lpstr>log!_FilterDatabase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植田　大雅</dc:creator>
  <cp:lastModifiedBy>植田　大雅</cp:lastModifiedBy>
  <dcterms:created xsi:type="dcterms:W3CDTF">2023-07-07T09:46:18Z</dcterms:created>
  <dcterms:modified xsi:type="dcterms:W3CDTF">2024-01-21T09:17:02Z</dcterms:modified>
</cp:coreProperties>
</file>