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Колпаков_32 кВт" sheetId="1" r:id="rId1"/>
    <sheet name="Колпаков_15 кВт" sheetId="4" r:id="rId2"/>
    <sheet name="Колпаков_10 кВт" sheetId="5" r:id="rId3"/>
    <sheet name="Горный №1" sheetId="2" r:id="rId4"/>
    <sheet name="Лист3" sheetId="3" r:id="rId5"/>
  </sheets>
  <calcPr calcId="125725"/>
</workbook>
</file>

<file path=xl/calcChain.xml><?xml version="1.0" encoding="utf-8"?>
<calcChain xmlns="http://schemas.openxmlformats.org/spreadsheetml/2006/main">
  <c r="B11" i="4"/>
  <c r="B14" i="2"/>
  <c r="B16" s="1"/>
  <c r="B27" s="1"/>
  <c r="B11" i="5"/>
  <c r="B51"/>
  <c r="B48"/>
  <c r="K43"/>
  <c r="B30"/>
  <c r="B15"/>
  <c r="B52" s="1"/>
  <c r="B51" i="4"/>
  <c r="B48"/>
  <c r="K43"/>
  <c r="B30"/>
  <c r="B15"/>
  <c r="B52" s="1"/>
  <c r="B54" s="1"/>
  <c r="B26" i="2"/>
  <c r="B19"/>
  <c r="B17"/>
  <c r="B51" i="1"/>
  <c r="B48"/>
  <c r="K43"/>
  <c r="B30"/>
  <c r="B13"/>
  <c r="B40" s="1"/>
  <c r="B16"/>
  <c r="B52" s="1"/>
  <c r="B14"/>
  <c r="B12"/>
  <c r="B11" s="1"/>
  <c r="B13" i="5" l="1"/>
  <c r="B24" s="1"/>
  <c r="B49" s="1"/>
  <c r="B53"/>
  <c r="B54"/>
  <c r="B13" i="4"/>
  <c r="B53"/>
  <c r="B54" i="1"/>
  <c r="B53"/>
  <c r="B24"/>
  <c r="B49" s="1"/>
  <c r="B24" i="4" l="1"/>
  <c r="B49" s="1"/>
  <c r="B40"/>
  <c r="B40" i="5"/>
</calcChain>
</file>

<file path=xl/comments1.xml><?xml version="1.0" encoding="utf-8"?>
<comments xmlns="http://schemas.openxmlformats.org/spreadsheetml/2006/main">
  <authors>
    <author>Автор</author>
  </authors>
  <commentList>
    <comment ref="B24" authorId="0">
      <text>
        <r>
          <rPr>
            <b/>
            <sz val="8"/>
            <color indexed="81"/>
            <rFont val="Tahoma"/>
            <charset val="1"/>
          </rPr>
          <t>Автор:</t>
        </r>
        <r>
          <rPr>
            <sz val="8"/>
            <color indexed="81"/>
            <rFont val="Tahoma"/>
            <charset val="1"/>
          </rPr>
          <t xml:space="preserve">
Iout*0.55</t>
        </r>
      </text>
    </comment>
  </commentList>
</comments>
</file>

<file path=xl/sharedStrings.xml><?xml version="1.0" encoding="utf-8"?>
<sst xmlns="http://schemas.openxmlformats.org/spreadsheetml/2006/main" count="266" uniqueCount="81">
  <si>
    <t>Расчет емкости ЗПТ</t>
  </si>
  <si>
    <t>(методика Колпакова, Semikron)</t>
  </si>
  <si>
    <t>автор: Тихонов, 03.12.2018</t>
  </si>
  <si>
    <t>Исходные данные:</t>
  </si>
  <si>
    <t>P=</t>
  </si>
  <si>
    <t>W</t>
  </si>
  <si>
    <t>Мощность нагрузки</t>
  </si>
  <si>
    <t>Pfactor=</t>
  </si>
  <si>
    <t>коэфф. перегрузки</t>
  </si>
  <si>
    <t>пиковое значение синусоидального выходного тока (rms)</t>
  </si>
  <si>
    <t>Uce=</t>
  </si>
  <si>
    <t>V</t>
  </si>
  <si>
    <t>напряжение насыщения IGBT (из графика в pdf)</t>
  </si>
  <si>
    <t>Uline=</t>
  </si>
  <si>
    <t>линейное напряжение сети RMS</t>
  </si>
  <si>
    <t>Us=</t>
  </si>
  <si>
    <t>DC напряжение питания после моста</t>
  </si>
  <si>
    <t>cosfi=</t>
  </si>
  <si>
    <t>косинус угла между током и напряжением</t>
  </si>
  <si>
    <t>Iout=</t>
  </si>
  <si>
    <t>Arms</t>
  </si>
  <si>
    <t>Ic=</t>
  </si>
  <si>
    <t>ток DC-шины</t>
  </si>
  <si>
    <t>Life=</t>
  </si>
  <si>
    <t>лет</t>
  </si>
  <si>
    <t>час</t>
  </si>
  <si>
    <t>t_env=</t>
  </si>
  <si>
    <t>°C</t>
  </si>
  <si>
    <t>LT=</t>
  </si>
  <si>
    <t xml:space="preserve">Расчеты </t>
  </si>
  <si>
    <t>Xi=</t>
  </si>
  <si>
    <t>токовый коэфф. (из графика)</t>
  </si>
  <si>
    <t>Примечание: срок службы в 30000 часов при +85°C недостижим у данных конденсаторов.</t>
  </si>
  <si>
    <t>Конденсаторы</t>
  </si>
  <si>
    <t xml:space="preserve">Прочее </t>
  </si>
  <si>
    <t>Электропитание</t>
  </si>
  <si>
    <t>Тип</t>
  </si>
  <si>
    <t>MAL-450V-1200~mkF-±20%; MAL229957122E3 "Vishay"</t>
  </si>
  <si>
    <t>n=</t>
  </si>
  <si>
    <t>срок службы, не менее (ТЗ)</t>
  </si>
  <si>
    <t>наработка на отказ, не менее (ТЗ)</t>
  </si>
  <si>
    <t>температура воздуха (ТЗ)</t>
  </si>
  <si>
    <t>расчет ведется для LT=20 000 часов</t>
  </si>
  <si>
    <t>Xf=</t>
  </si>
  <si>
    <t>f(Hz)</t>
  </si>
  <si>
    <t>K*Ir</t>
  </si>
  <si>
    <t>частотный коэфф. (из графика при 8 kHz)</t>
  </si>
  <si>
    <t>Ir=</t>
  </si>
  <si>
    <t>max ripple current (datasheet)</t>
  </si>
  <si>
    <t>Icop=</t>
  </si>
  <si>
    <t>рабочий ток на 1 конденсатор Ta=80°C, 8kHz</t>
  </si>
  <si>
    <t>Creq=</t>
  </si>
  <si>
    <t>mF</t>
  </si>
  <si>
    <t>C1=</t>
  </si>
  <si>
    <t>емкость одного конденсатора</t>
  </si>
  <si>
    <t>необходимое кол-во конденсаторов</t>
  </si>
  <si>
    <t>необходимая емкость конденсаторов ЗПТ (0,06 mF на 1 Arms)</t>
  </si>
  <si>
    <t>С1=</t>
  </si>
  <si>
    <t>Umax=</t>
  </si>
  <si>
    <t>рабочее напряжение (datasheet)</t>
  </si>
  <si>
    <t>n_ser=</t>
  </si>
  <si>
    <t>кол-во конденсаторов последовательно (по макс напряжению)</t>
  </si>
  <si>
    <t>выбираем n вручную</t>
  </si>
  <si>
    <t>суммарное кол-во конденсаторов с учетом послед. включения</t>
  </si>
  <si>
    <t>Ctot=</t>
  </si>
  <si>
    <t>Общая емкость</t>
  </si>
  <si>
    <t>получившаяся емкость C*n</t>
  </si>
  <si>
    <t>n_tot=</t>
  </si>
  <si>
    <t>методика здесь</t>
  </si>
  <si>
    <t>(методика Горного университета)</t>
  </si>
  <si>
    <t>Метод №1. Классический</t>
  </si>
  <si>
    <t>m=</t>
  </si>
  <si>
    <t>схема выпрямителя (m-импульсная схема)</t>
  </si>
  <si>
    <t>Расчет</t>
  </si>
  <si>
    <t>C=</t>
  </si>
  <si>
    <t>q=</t>
  </si>
  <si>
    <t>коэфф. пульсаций</t>
  </si>
  <si>
    <t>требуемая емкость конденсатора</t>
  </si>
  <si>
    <t>заключается в рассмотрении конден
сатора как фильтрующего элемента, при-
меняемого для уменьшения низкочастот-
ной составляющей пульсаций напряжения</t>
  </si>
  <si>
    <t>рабочий ток на 1 конденсатор Ta=85°C, 8kHz</t>
  </si>
  <si>
    <t>автор: Тихонов, 19.09.2019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</si>
</sst>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0" fillId="0" borderId="1" xfId="0" applyFont="1" applyBorder="1"/>
    <xf numFmtId="0" fontId="0" fillId="0" borderId="0" xfId="0" applyBorder="1"/>
    <xf numFmtId="0" fontId="0" fillId="0" borderId="1" xfId="0" applyBorder="1"/>
    <xf numFmtId="0" fontId="2" fillId="0" borderId="0" xfId="0" applyFont="1"/>
    <xf numFmtId="0" fontId="0" fillId="0" borderId="0" xfId="0" applyFill="1" applyBorder="1"/>
    <xf numFmtId="0" fontId="3" fillId="0" borderId="0" xfId="0" applyFont="1" applyFill="1" applyBorder="1"/>
    <xf numFmtId="0" fontId="3" fillId="0" borderId="0" xfId="0" applyFont="1"/>
    <xf numFmtId="0" fontId="0" fillId="0" borderId="2" xfId="0" applyBorder="1"/>
    <xf numFmtId="0" fontId="0" fillId="0" borderId="0" xfId="0" applyFont="1" applyFill="1" applyBorder="1"/>
    <xf numFmtId="0" fontId="1" fillId="0" borderId="0" xfId="0" applyFont="1"/>
    <xf numFmtId="0" fontId="4" fillId="0" borderId="0" xfId="1" applyAlignment="1" applyProtection="1"/>
    <xf numFmtId="0" fontId="0" fillId="0" borderId="1" xfId="0" applyFill="1" applyBorder="1"/>
    <xf numFmtId="0" fontId="0" fillId="0" borderId="0" xfId="0" applyAlignment="1"/>
    <xf numFmtId="0" fontId="0" fillId="0" borderId="3" xfId="0" applyBorder="1"/>
  </cellXfs>
  <cellStyles count="2">
    <cellStyle name="Гиперссылка" xfId="1" builtinId="8"/>
    <cellStyle name="Обычный" xfId="0" builtinId="0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'Колпаков_32 кВт'!$K$43:$K$48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1000</c:v>
                </c:pt>
                <c:pt idx="5">
                  <c:v>10000</c:v>
                </c:pt>
              </c:numCache>
            </c:numRef>
          </c:xVal>
          <c:yVal>
            <c:numRef>
              <c:f>'Колпаков_32 кВт'!$L$43:$L$48</c:f>
              <c:numCache>
                <c:formatCode>General</c:formatCode>
                <c:ptCount val="6"/>
                <c:pt idx="0">
                  <c:v>0.9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</c:numCache>
            </c:numRef>
          </c:yVal>
          <c:smooth val="1"/>
        </c:ser>
        <c:axId val="80770560"/>
        <c:axId val="80949248"/>
      </c:scatterChart>
      <c:valAx>
        <c:axId val="8077056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f, Hz</a:t>
                </a:r>
                <a:endParaRPr lang="ru-RU"/>
              </a:p>
            </c:rich>
          </c:tx>
          <c:layout/>
        </c:title>
        <c:numFmt formatCode="General" sourceLinked="1"/>
        <c:minorTickMark val="cross"/>
        <c:tickLblPos val="nextTo"/>
        <c:crossAx val="80949248"/>
        <c:crosses val="autoZero"/>
        <c:crossBetween val="midCat"/>
      </c:valAx>
      <c:valAx>
        <c:axId val="80949248"/>
        <c:scaling>
          <c:orientation val="minMax"/>
          <c:min val="0.9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Ir*K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80770560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'Колпаков_15 кВт'!$K$43:$K$48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1000</c:v>
                </c:pt>
                <c:pt idx="5">
                  <c:v>10000</c:v>
                </c:pt>
              </c:numCache>
            </c:numRef>
          </c:xVal>
          <c:yVal>
            <c:numRef>
              <c:f>'Колпаков_15 кВт'!$L$43:$L$48</c:f>
              <c:numCache>
                <c:formatCode>General</c:formatCode>
                <c:ptCount val="6"/>
                <c:pt idx="0">
                  <c:v>0.9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</c:numCache>
            </c:numRef>
          </c:yVal>
          <c:smooth val="1"/>
        </c:ser>
        <c:axId val="81031936"/>
        <c:axId val="81033856"/>
      </c:scatterChart>
      <c:valAx>
        <c:axId val="8103193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f, Hz</a:t>
                </a:r>
                <a:endParaRPr lang="ru-RU"/>
              </a:p>
            </c:rich>
          </c:tx>
          <c:layout/>
        </c:title>
        <c:numFmt formatCode="General" sourceLinked="1"/>
        <c:minorTickMark val="cross"/>
        <c:tickLblPos val="nextTo"/>
        <c:crossAx val="81033856"/>
        <c:crosses val="autoZero"/>
        <c:crossBetween val="midCat"/>
      </c:valAx>
      <c:valAx>
        <c:axId val="81033856"/>
        <c:scaling>
          <c:orientation val="minMax"/>
          <c:min val="0.9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Ir*K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81031936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'Колпаков_10 кВт'!$K$43:$K$48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1000</c:v>
                </c:pt>
                <c:pt idx="5">
                  <c:v>10000</c:v>
                </c:pt>
              </c:numCache>
            </c:numRef>
          </c:xVal>
          <c:yVal>
            <c:numRef>
              <c:f>'Колпаков_10 кВт'!$L$43:$L$48</c:f>
              <c:numCache>
                <c:formatCode>General</c:formatCode>
                <c:ptCount val="6"/>
                <c:pt idx="0">
                  <c:v>0.9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</c:numCache>
            </c:numRef>
          </c:yVal>
          <c:smooth val="1"/>
        </c:ser>
        <c:axId val="81055104"/>
        <c:axId val="81516032"/>
      </c:scatterChart>
      <c:valAx>
        <c:axId val="8105510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f, Hz</a:t>
                </a:r>
                <a:endParaRPr lang="ru-RU"/>
              </a:p>
            </c:rich>
          </c:tx>
          <c:layout/>
        </c:title>
        <c:numFmt formatCode="General" sourceLinked="1"/>
        <c:minorTickMark val="cross"/>
        <c:tickLblPos val="nextTo"/>
        <c:crossAx val="81516032"/>
        <c:crosses val="autoZero"/>
        <c:crossBetween val="midCat"/>
      </c:valAx>
      <c:valAx>
        <c:axId val="81516032"/>
        <c:scaling>
          <c:orientation val="minMax"/>
          <c:min val="0.9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Ir*K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81055104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180975</xdr:rowOff>
    </xdr:from>
    <xdr:to>
      <xdr:col>18</xdr:col>
      <xdr:colOff>134047</xdr:colOff>
      <xdr:row>30</xdr:row>
      <xdr:rowOff>76983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24650" y="180975"/>
          <a:ext cx="4991797" cy="5611008"/>
        </a:xfrm>
        <a:prstGeom prst="rect">
          <a:avLst/>
        </a:prstGeom>
      </xdr:spPr>
    </xdr:pic>
    <xdr:clientData/>
  </xdr:twoCellAnchor>
  <xdr:twoCellAnchor editAs="oneCell">
    <xdr:from>
      <xdr:col>9</xdr:col>
      <xdr:colOff>571499</xdr:colOff>
      <xdr:row>35</xdr:row>
      <xdr:rowOff>180975</xdr:rowOff>
    </xdr:from>
    <xdr:to>
      <xdr:col>17</xdr:col>
      <xdr:colOff>504824</xdr:colOff>
      <xdr:row>40</xdr:row>
      <xdr:rowOff>94782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67499" y="6086475"/>
          <a:ext cx="4810125" cy="8663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447675</xdr:colOff>
      <xdr:row>41</xdr:row>
      <xdr:rowOff>19050</xdr:rowOff>
    </xdr:from>
    <xdr:to>
      <xdr:col>20</xdr:col>
      <xdr:colOff>142875</xdr:colOff>
      <xdr:row>55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0</xdr:colOff>
      <xdr:row>57</xdr:row>
      <xdr:rowOff>0</xdr:rowOff>
    </xdr:from>
    <xdr:to>
      <xdr:col>23</xdr:col>
      <xdr:colOff>257175</xdr:colOff>
      <xdr:row>83</xdr:row>
      <xdr:rowOff>146356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705600" y="10858500"/>
          <a:ext cx="8181975" cy="509935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180975</xdr:rowOff>
    </xdr:from>
    <xdr:to>
      <xdr:col>18</xdr:col>
      <xdr:colOff>134047</xdr:colOff>
      <xdr:row>30</xdr:row>
      <xdr:rowOff>76983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24650" y="180975"/>
          <a:ext cx="4991797" cy="5611008"/>
        </a:xfrm>
        <a:prstGeom prst="rect">
          <a:avLst/>
        </a:prstGeom>
      </xdr:spPr>
    </xdr:pic>
    <xdr:clientData/>
  </xdr:twoCellAnchor>
  <xdr:twoCellAnchor editAs="oneCell">
    <xdr:from>
      <xdr:col>9</xdr:col>
      <xdr:colOff>571499</xdr:colOff>
      <xdr:row>35</xdr:row>
      <xdr:rowOff>180975</xdr:rowOff>
    </xdr:from>
    <xdr:to>
      <xdr:col>17</xdr:col>
      <xdr:colOff>504824</xdr:colOff>
      <xdr:row>40</xdr:row>
      <xdr:rowOff>94782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67499" y="6848475"/>
          <a:ext cx="4810125" cy="8663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447675</xdr:colOff>
      <xdr:row>41</xdr:row>
      <xdr:rowOff>19050</xdr:rowOff>
    </xdr:from>
    <xdr:to>
      <xdr:col>20</xdr:col>
      <xdr:colOff>142875</xdr:colOff>
      <xdr:row>55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0</xdr:colOff>
      <xdr:row>57</xdr:row>
      <xdr:rowOff>0</xdr:rowOff>
    </xdr:from>
    <xdr:to>
      <xdr:col>23</xdr:col>
      <xdr:colOff>257175</xdr:colOff>
      <xdr:row>83</xdr:row>
      <xdr:rowOff>146356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705600" y="10858500"/>
          <a:ext cx="8181975" cy="509935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180975</xdr:rowOff>
    </xdr:from>
    <xdr:to>
      <xdr:col>18</xdr:col>
      <xdr:colOff>134047</xdr:colOff>
      <xdr:row>30</xdr:row>
      <xdr:rowOff>76983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24650" y="180975"/>
          <a:ext cx="4991797" cy="5611008"/>
        </a:xfrm>
        <a:prstGeom prst="rect">
          <a:avLst/>
        </a:prstGeom>
      </xdr:spPr>
    </xdr:pic>
    <xdr:clientData/>
  </xdr:twoCellAnchor>
  <xdr:twoCellAnchor editAs="oneCell">
    <xdr:from>
      <xdr:col>9</xdr:col>
      <xdr:colOff>571499</xdr:colOff>
      <xdr:row>35</xdr:row>
      <xdr:rowOff>180975</xdr:rowOff>
    </xdr:from>
    <xdr:to>
      <xdr:col>17</xdr:col>
      <xdr:colOff>504824</xdr:colOff>
      <xdr:row>40</xdr:row>
      <xdr:rowOff>94782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67499" y="6848475"/>
          <a:ext cx="4810125" cy="8663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447675</xdr:colOff>
      <xdr:row>41</xdr:row>
      <xdr:rowOff>19050</xdr:rowOff>
    </xdr:from>
    <xdr:to>
      <xdr:col>20</xdr:col>
      <xdr:colOff>142875</xdr:colOff>
      <xdr:row>55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0</xdr:colOff>
      <xdr:row>57</xdr:row>
      <xdr:rowOff>0</xdr:rowOff>
    </xdr:from>
    <xdr:to>
      <xdr:col>23</xdr:col>
      <xdr:colOff>257175</xdr:colOff>
      <xdr:row>83</xdr:row>
      <xdr:rowOff>146356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705600" y="10858500"/>
          <a:ext cx="8181975" cy="509935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19</xdr:col>
      <xdr:colOff>504825</xdr:colOff>
      <xdr:row>18</xdr:row>
      <xdr:rowOff>47625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05600" y="1143000"/>
          <a:ext cx="5381625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590550</xdr:colOff>
      <xdr:row>23</xdr:row>
      <xdr:rowOff>142875</xdr:rowOff>
    </xdr:from>
    <xdr:to>
      <xdr:col>14</xdr:col>
      <xdr:colOff>28575</xdr:colOff>
      <xdr:row>27</xdr:row>
      <xdr:rowOff>9525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86550" y="4524375"/>
          <a:ext cx="1876425" cy="647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581025</xdr:colOff>
      <xdr:row>20</xdr:row>
      <xdr:rowOff>114300</xdr:rowOff>
    </xdr:from>
    <xdr:to>
      <xdr:col>13</xdr:col>
      <xdr:colOff>247650</xdr:colOff>
      <xdr:row>23</xdr:row>
      <xdr:rowOff>104775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677025" y="3924300"/>
          <a:ext cx="1495425" cy="561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../../Users/&#1051;&#1080;&#1095;&#1085;&#1099;&#1077;%20&#1087;&#1072;&#1087;&#1082;&#1080;%20&#1088;&#1072;&#1073;&#1086;&#1090;&#1085;&#1080;&#1082;&#1086;&#1074;%20&#1069;&#1055;/&#1058;&#1080;&#1093;&#1086;&#1085;&#1086;&#1074;/&#1051;&#1080;&#1090;&#1077;&#1088;&#1072;&#1090;&#1091;&#1088;&#1072;/Power%20Electronics/Semikron/&#1086;&#1090;%20&#1050;&#1086;&#1083;&#1087;&#1072;&#1082;&#1086;&#1074;&#1072;/17_DC-cap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../../../../Users/&#1051;&#1080;&#1095;&#1085;&#1099;&#1077;%20&#1087;&#1072;&#1087;&#1082;&#1080;%20&#1088;&#1072;&#1073;&#1086;&#1090;&#1085;&#1080;&#1082;&#1086;&#1074;%20&#1069;&#1055;/&#1058;&#1080;&#1093;&#1086;&#1085;&#1086;&#1074;/&#1051;&#1080;&#1090;&#1077;&#1088;&#1072;&#1090;&#1091;&#1088;&#1072;/Power%20Electronics/Semikron/&#1086;&#1090;%20&#1050;&#1086;&#1083;&#1087;&#1072;&#1082;&#1086;&#1074;&#1072;/17_DC-cap.pdf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../../../../../Users/&#1051;&#1080;&#1095;&#1085;&#1099;&#1077;%20&#1087;&#1072;&#1087;&#1082;&#1080;%20&#1088;&#1072;&#1073;&#1086;&#1090;&#1085;&#1080;&#1082;&#1086;&#1074;%20&#1069;&#1055;/&#1058;&#1080;&#1093;&#1086;&#1085;&#1086;&#1074;/&#1051;&#1080;&#1090;&#1077;&#1088;&#1072;&#1090;&#1091;&#1088;&#1072;/Power%20Electronics/Semikron/&#1086;&#1090;%20&#1050;&#1086;&#1083;&#1087;&#1072;&#1082;&#1086;&#1074;&#1072;/17_DC-cap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\..\..\..\..\..\Users\&#1051;&#1080;&#1095;&#1085;&#1099;&#1077;%20&#1087;&#1072;&#1087;&#1082;&#1080;%20&#1088;&#1072;&#1073;&#1086;&#1090;&#1085;&#1080;&#1082;&#1086;&#1074;%20&#1069;&#1055;\&#1058;&#1080;&#1093;&#1086;&#1085;&#1086;&#1074;\&#1051;&#1080;&#1090;&#1077;&#1088;&#1072;&#1090;&#1091;&#1088;&#1072;\Power%20Electronics\(3)%20&#1057;&#1056;&#1040;&#1042;&#1053;&#1048;&#1058;&#1045;&#1051;&#1068;&#1053;&#1067;&#1049;%20&#1056;&#1040;&#1057;&#1063;&#1045;&#1058;%20&#1045;&#1052;&#1050;&#1054;&#1057;&#1058;&#1048;%20&#1050;&#1054;&#1053;&#1044;&#1045;&#1053;&#1057;&#1040;&#1058;&#1054;&#1056;&#1040;...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4"/>
  <sheetViews>
    <sheetView topLeftCell="A28" workbookViewId="0">
      <selection activeCell="B51" sqref="B51"/>
    </sheetView>
  </sheetViews>
  <sheetFormatPr defaultRowHeight="15"/>
  <cols>
    <col min="2" max="2" width="15.7109375" customWidth="1"/>
    <col min="6" max="6" width="11.7109375" customWidth="1"/>
  </cols>
  <sheetData>
    <row r="1" spans="1:9">
      <c r="A1" t="s">
        <v>0</v>
      </c>
    </row>
    <row r="2" spans="1:9">
      <c r="A2" t="s">
        <v>1</v>
      </c>
    </row>
    <row r="3" spans="1:9">
      <c r="A3" t="s">
        <v>2</v>
      </c>
    </row>
    <row r="5" spans="1:9">
      <c r="A5" s="11" t="s">
        <v>68</v>
      </c>
    </row>
    <row r="8" spans="1:9">
      <c r="A8" s="10" t="s">
        <v>3</v>
      </c>
    </row>
    <row r="10" spans="1:9">
      <c r="A10" s="7" t="s">
        <v>35</v>
      </c>
    </row>
    <row r="11" spans="1:9">
      <c r="A11" s="1" t="s">
        <v>4</v>
      </c>
      <c r="B11" s="2">
        <f>32000*B12</f>
        <v>35200</v>
      </c>
      <c r="C11" s="2" t="s">
        <v>5</v>
      </c>
      <c r="D11" s="2" t="s">
        <v>6</v>
      </c>
      <c r="E11" s="2"/>
      <c r="F11" s="2"/>
      <c r="G11" s="2"/>
      <c r="H11" s="2"/>
      <c r="I11" s="2"/>
    </row>
    <row r="12" spans="1:9">
      <c r="A12" s="3" t="s">
        <v>7</v>
      </c>
      <c r="B12" s="2">
        <f>1.1</f>
        <v>1.1000000000000001</v>
      </c>
      <c r="C12" s="2"/>
      <c r="D12" s="2" t="s">
        <v>8</v>
      </c>
      <c r="E12" s="2"/>
      <c r="F12" s="2"/>
      <c r="G12" s="2"/>
      <c r="H12" s="2"/>
      <c r="I12" s="2"/>
    </row>
    <row r="13" spans="1:9">
      <c r="A13" s="3" t="s">
        <v>19</v>
      </c>
      <c r="B13" s="2">
        <f>B11/(B15*SQRT(3)*B17)</f>
        <v>70.320863236937114</v>
      </c>
      <c r="C13" s="2" t="s">
        <v>20</v>
      </c>
      <c r="D13" s="2" t="s">
        <v>9</v>
      </c>
      <c r="E13" s="2"/>
      <c r="F13" s="2"/>
      <c r="G13" s="2"/>
      <c r="H13" s="2"/>
      <c r="I13" s="2"/>
    </row>
    <row r="14" spans="1:9">
      <c r="A14" s="3" t="s">
        <v>10</v>
      </c>
      <c r="B14" s="2">
        <f>2.05</f>
        <v>2.0499999999999998</v>
      </c>
      <c r="C14" s="2" t="s">
        <v>11</v>
      </c>
      <c r="D14" s="2" t="s">
        <v>12</v>
      </c>
      <c r="E14" s="2"/>
      <c r="F14" s="2"/>
      <c r="G14" s="2"/>
      <c r="H14" s="2"/>
      <c r="I14" s="2"/>
    </row>
    <row r="15" spans="1:9">
      <c r="A15" s="3" t="s">
        <v>13</v>
      </c>
      <c r="B15" s="2">
        <v>340</v>
      </c>
      <c r="C15" s="2" t="s">
        <v>11</v>
      </c>
      <c r="D15" s="2" t="s">
        <v>14</v>
      </c>
      <c r="E15" s="2"/>
      <c r="F15" s="2"/>
      <c r="G15" s="2"/>
      <c r="H15" s="2"/>
      <c r="I15" s="2"/>
    </row>
    <row r="16" spans="1:9">
      <c r="A16" s="3" t="s">
        <v>15</v>
      </c>
      <c r="B16" s="2">
        <f>B15*SQRT(2)</f>
        <v>480.83261120685233</v>
      </c>
      <c r="C16" s="2" t="s">
        <v>11</v>
      </c>
      <c r="D16" s="2" t="s">
        <v>16</v>
      </c>
      <c r="E16" s="2"/>
      <c r="F16" s="2"/>
      <c r="G16" s="2"/>
      <c r="H16" s="2"/>
      <c r="I16" s="2"/>
    </row>
    <row r="17" spans="1:8">
      <c r="A17" s="3" t="s">
        <v>17</v>
      </c>
      <c r="B17" s="2">
        <v>0.85</v>
      </c>
      <c r="C17" s="2"/>
      <c r="D17" s="2" t="s">
        <v>18</v>
      </c>
      <c r="E17" s="2"/>
      <c r="F17" s="2"/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6" t="s">
        <v>33</v>
      </c>
    </row>
    <row r="21" spans="1:8">
      <c r="A21" s="9" t="s">
        <v>53</v>
      </c>
      <c r="B21">
        <v>1.2</v>
      </c>
      <c r="C21" t="s">
        <v>52</v>
      </c>
      <c r="D21" t="s">
        <v>54</v>
      </c>
    </row>
    <row r="22" spans="1:8">
      <c r="A22" t="s">
        <v>58</v>
      </c>
      <c r="B22">
        <v>450</v>
      </c>
      <c r="C22" t="s">
        <v>11</v>
      </c>
      <c r="D22" t="s">
        <v>59</v>
      </c>
    </row>
    <row r="23" spans="1:8">
      <c r="A23" t="s">
        <v>47</v>
      </c>
      <c r="B23">
        <v>4.84</v>
      </c>
      <c r="C23" t="s">
        <v>20</v>
      </c>
      <c r="D23" t="s">
        <v>48</v>
      </c>
    </row>
    <row r="24" spans="1:8">
      <c r="A24" t="s">
        <v>21</v>
      </c>
      <c r="B24">
        <f>0.55*B13</f>
        <v>38.676474780315417</v>
      </c>
      <c r="C24" t="s">
        <v>20</v>
      </c>
      <c r="D24" t="s">
        <v>22</v>
      </c>
    </row>
    <row r="25" spans="1:8">
      <c r="A25" t="s">
        <v>36</v>
      </c>
      <c r="B25" t="s">
        <v>37</v>
      </c>
    </row>
    <row r="28" spans="1:8">
      <c r="A28" s="7" t="s">
        <v>34</v>
      </c>
    </row>
    <row r="29" spans="1:8">
      <c r="A29" t="s">
        <v>23</v>
      </c>
      <c r="B29">
        <v>5</v>
      </c>
      <c r="C29" t="s">
        <v>24</v>
      </c>
      <c r="D29" t="s">
        <v>39</v>
      </c>
    </row>
    <row r="30" spans="1:8">
      <c r="A30" t="s">
        <v>28</v>
      </c>
      <c r="B30">
        <f>30000</f>
        <v>30000</v>
      </c>
      <c r="C30" t="s">
        <v>25</v>
      </c>
      <c r="D30" t="s">
        <v>40</v>
      </c>
    </row>
    <row r="31" spans="1:8">
      <c r="A31" t="s">
        <v>26</v>
      </c>
      <c r="B31">
        <v>85</v>
      </c>
      <c r="C31" s="4" t="s">
        <v>27</v>
      </c>
      <c r="D31" t="s">
        <v>41</v>
      </c>
    </row>
    <row r="38" spans="1:12">
      <c r="A38" s="10" t="s">
        <v>29</v>
      </c>
    </row>
    <row r="40" spans="1:12">
      <c r="A40" t="s">
        <v>51</v>
      </c>
      <c r="B40">
        <f>0.06*B13</f>
        <v>4.2192517942162269</v>
      </c>
      <c r="C40" t="s">
        <v>52</v>
      </c>
      <c r="D40" t="s">
        <v>56</v>
      </c>
    </row>
    <row r="42" spans="1:12">
      <c r="A42" t="s">
        <v>30</v>
      </c>
      <c r="B42">
        <v>1.3</v>
      </c>
      <c r="C42" t="s">
        <v>31</v>
      </c>
      <c r="K42" s="8" t="s">
        <v>44</v>
      </c>
      <c r="L42" s="8" t="s">
        <v>45</v>
      </c>
    </row>
    <row r="43" spans="1:12">
      <c r="A43" t="s">
        <v>32</v>
      </c>
      <c r="K43" s="8">
        <f>50</f>
        <v>50</v>
      </c>
      <c r="L43" s="8">
        <v>0.9</v>
      </c>
    </row>
    <row r="44" spans="1:12">
      <c r="A44" t="s">
        <v>42</v>
      </c>
      <c r="K44" s="8">
        <v>100</v>
      </c>
      <c r="L44" s="8">
        <v>1</v>
      </c>
    </row>
    <row r="45" spans="1:12">
      <c r="K45" s="8">
        <v>200</v>
      </c>
      <c r="L45" s="8">
        <v>1.2</v>
      </c>
    </row>
    <row r="46" spans="1:12">
      <c r="A46" t="s">
        <v>43</v>
      </c>
      <c r="B46">
        <v>1.5</v>
      </c>
      <c r="D46" t="s">
        <v>46</v>
      </c>
      <c r="K46" s="8">
        <v>400</v>
      </c>
      <c r="L46" s="8">
        <v>1.3</v>
      </c>
    </row>
    <row r="47" spans="1:12">
      <c r="K47" s="8">
        <v>1000</v>
      </c>
      <c r="L47" s="8">
        <v>1.4</v>
      </c>
    </row>
    <row r="48" spans="1:12">
      <c r="A48" t="s">
        <v>49</v>
      </c>
      <c r="B48">
        <f>B23*B42*B46</f>
        <v>9.4379999999999988</v>
      </c>
      <c r="C48" t="s">
        <v>20</v>
      </c>
      <c r="D48" t="s">
        <v>50</v>
      </c>
      <c r="K48" s="8">
        <v>10000</v>
      </c>
      <c r="L48" s="8">
        <v>1.5</v>
      </c>
    </row>
    <row r="49" spans="1:4">
      <c r="A49" t="s">
        <v>38</v>
      </c>
      <c r="B49">
        <f>B24/B48</f>
        <v>4.0979524030849142</v>
      </c>
      <c r="D49" t="s">
        <v>55</v>
      </c>
    </row>
    <row r="50" spans="1:4">
      <c r="A50" t="s">
        <v>38</v>
      </c>
      <c r="B50">
        <v>4</v>
      </c>
      <c r="D50" t="s">
        <v>62</v>
      </c>
    </row>
    <row r="51" spans="1:4">
      <c r="A51" t="s">
        <v>57</v>
      </c>
      <c r="B51">
        <f>B50*B21</f>
        <v>4.8</v>
      </c>
      <c r="C51" t="s">
        <v>52</v>
      </c>
      <c r="D51" t="s">
        <v>66</v>
      </c>
    </row>
    <row r="52" spans="1:4">
      <c r="A52" t="s">
        <v>60</v>
      </c>
      <c r="B52">
        <f>CEILING(B16/B22,1)</f>
        <v>2</v>
      </c>
      <c r="D52" t="s">
        <v>61</v>
      </c>
    </row>
    <row r="53" spans="1:4">
      <c r="A53" t="s">
        <v>67</v>
      </c>
      <c r="B53">
        <f>B52*B50</f>
        <v>8</v>
      </c>
      <c r="D53" t="s">
        <v>63</v>
      </c>
    </row>
    <row r="54" spans="1:4">
      <c r="A54" t="s">
        <v>64</v>
      </c>
      <c r="B54">
        <f>B21*B50/B52</f>
        <v>2.4</v>
      </c>
      <c r="C54" t="s">
        <v>52</v>
      </c>
      <c r="D54" t="s">
        <v>65</v>
      </c>
    </row>
  </sheetData>
  <conditionalFormatting sqref="B22">
    <cfRule type="cellIs" dxfId="15" priority="5" operator="lessThan">
      <formula>$B$40</formula>
    </cfRule>
  </conditionalFormatting>
  <conditionalFormatting sqref="B51">
    <cfRule type="cellIs" dxfId="14" priority="1" operator="greaterThan">
      <formula>$B$40</formula>
    </cfRule>
    <cfRule type="cellIs" dxfId="13" priority="2" operator="lessThan">
      <formula>$B$40</formula>
    </cfRule>
  </conditionalFormatting>
  <conditionalFormatting sqref="B48">
    <cfRule type="cellIs" dxfId="12" priority="7" operator="lessThan">
      <formula>$B$23</formula>
    </cfRule>
    <cfRule type="cellIs" dxfId="11" priority="8" operator="greaterThan">
      <formula>$B$23</formula>
    </cfRule>
  </conditionalFormatting>
  <hyperlinks>
    <hyperlink ref="A5" r:id="rId1"/>
  </hyperlinks>
  <pageMargins left="0.7" right="0.7" top="0.75" bottom="0.75" header="0.3" footer="0.3"/>
  <pageSetup paperSize="9" orientation="portrait" horizontalDpi="180" verticalDpi="18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4"/>
  <sheetViews>
    <sheetView tabSelected="1" topLeftCell="A7" workbookViewId="0">
      <selection activeCell="B12" sqref="B12"/>
    </sheetView>
  </sheetViews>
  <sheetFormatPr defaultRowHeight="15"/>
  <cols>
    <col min="2" max="2" width="15.7109375" customWidth="1"/>
    <col min="6" max="6" width="11.7109375" customWidth="1"/>
  </cols>
  <sheetData>
    <row r="1" spans="1:9">
      <c r="A1" t="s">
        <v>0</v>
      </c>
    </row>
    <row r="2" spans="1:9">
      <c r="A2" t="s">
        <v>1</v>
      </c>
    </row>
    <row r="3" spans="1:9">
      <c r="A3" t="s">
        <v>2</v>
      </c>
    </row>
    <row r="5" spans="1:9">
      <c r="A5" s="11" t="s">
        <v>68</v>
      </c>
    </row>
    <row r="8" spans="1:9">
      <c r="A8" s="10" t="s">
        <v>3</v>
      </c>
    </row>
    <row r="10" spans="1:9">
      <c r="A10" s="7" t="s">
        <v>35</v>
      </c>
    </row>
    <row r="11" spans="1:9">
      <c r="A11" s="1" t="s">
        <v>4</v>
      </c>
      <c r="B11" s="2">
        <f>15000*B12</f>
        <v>15000</v>
      </c>
      <c r="C11" s="2" t="s">
        <v>5</v>
      </c>
      <c r="D11" s="2" t="s">
        <v>6</v>
      </c>
      <c r="E11" s="2"/>
      <c r="F11" s="2"/>
      <c r="G11" s="2"/>
      <c r="H11" s="2"/>
      <c r="I11" s="2"/>
    </row>
    <row r="12" spans="1:9">
      <c r="A12" s="3" t="s">
        <v>7</v>
      </c>
      <c r="B12" s="2">
        <v>1</v>
      </c>
      <c r="C12" s="2"/>
      <c r="D12" s="2" t="s">
        <v>8</v>
      </c>
      <c r="E12" s="2"/>
      <c r="F12" s="2"/>
      <c r="G12" s="2"/>
      <c r="H12" s="2"/>
      <c r="I12" s="2"/>
    </row>
    <row r="13" spans="1:9">
      <c r="A13" s="3" t="s">
        <v>19</v>
      </c>
      <c r="B13" s="2">
        <f>B11/(B14*SQRT(3)*B16)</f>
        <v>29.966276947558431</v>
      </c>
      <c r="C13" s="2" t="s">
        <v>20</v>
      </c>
      <c r="D13" s="2" t="s">
        <v>9</v>
      </c>
      <c r="E13" s="2"/>
      <c r="F13" s="2"/>
      <c r="G13" s="2"/>
      <c r="H13" s="2"/>
      <c r="I13" s="2"/>
    </row>
    <row r="14" spans="1:9">
      <c r="A14" s="3" t="s">
        <v>13</v>
      </c>
      <c r="B14" s="2">
        <v>340</v>
      </c>
      <c r="C14" s="2" t="s">
        <v>11</v>
      </c>
      <c r="D14" s="2" t="s">
        <v>14</v>
      </c>
      <c r="E14" s="2"/>
      <c r="F14" s="2"/>
      <c r="G14" s="2"/>
      <c r="H14" s="2"/>
      <c r="I14" s="2"/>
    </row>
    <row r="15" spans="1:9">
      <c r="A15" s="3" t="s">
        <v>15</v>
      </c>
      <c r="B15" s="2">
        <f>B14*SQRT(2)</f>
        <v>480.83261120685233</v>
      </c>
      <c r="C15" s="2" t="s">
        <v>11</v>
      </c>
      <c r="D15" s="2" t="s">
        <v>16</v>
      </c>
      <c r="E15" s="2"/>
      <c r="F15" s="2"/>
      <c r="G15" s="2"/>
      <c r="H15" s="2"/>
      <c r="I15" s="2"/>
    </row>
    <row r="16" spans="1:9">
      <c r="A16" s="3" t="s">
        <v>17</v>
      </c>
      <c r="B16" s="2">
        <v>0.85</v>
      </c>
      <c r="C16" s="2"/>
      <c r="D16" s="2" t="s">
        <v>18</v>
      </c>
      <c r="E16" s="2"/>
      <c r="F16" s="2"/>
      <c r="G16" s="2"/>
      <c r="H16" s="2"/>
      <c r="I16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6" t="s">
        <v>33</v>
      </c>
    </row>
    <row r="21" spans="1:8">
      <c r="A21" s="9" t="s">
        <v>53</v>
      </c>
      <c r="B21">
        <v>1.2</v>
      </c>
      <c r="C21" t="s">
        <v>52</v>
      </c>
      <c r="D21" t="s">
        <v>54</v>
      </c>
    </row>
    <row r="22" spans="1:8">
      <c r="A22" t="s">
        <v>58</v>
      </c>
      <c r="B22">
        <v>450</v>
      </c>
      <c r="C22" t="s">
        <v>11</v>
      </c>
      <c r="D22" t="s">
        <v>59</v>
      </c>
    </row>
    <row r="23" spans="1:8">
      <c r="A23" t="s">
        <v>47</v>
      </c>
      <c r="B23">
        <v>4.84</v>
      </c>
      <c r="C23" t="s">
        <v>20</v>
      </c>
      <c r="D23" t="s">
        <v>48</v>
      </c>
    </row>
    <row r="24" spans="1:8">
      <c r="A24" t="s">
        <v>21</v>
      </c>
      <c r="B24">
        <f>0.55*B13</f>
        <v>16.481452321157139</v>
      </c>
      <c r="C24" t="s">
        <v>20</v>
      </c>
      <c r="D24" t="s">
        <v>22</v>
      </c>
    </row>
    <row r="25" spans="1:8">
      <c r="A25" t="s">
        <v>36</v>
      </c>
      <c r="B25" t="s">
        <v>37</v>
      </c>
    </row>
    <row r="28" spans="1:8">
      <c r="A28" s="7" t="s">
        <v>34</v>
      </c>
    </row>
    <row r="29" spans="1:8">
      <c r="A29" t="s">
        <v>23</v>
      </c>
      <c r="B29">
        <v>5</v>
      </c>
      <c r="C29" t="s">
        <v>24</v>
      </c>
      <c r="D29" t="s">
        <v>39</v>
      </c>
    </row>
    <row r="30" spans="1:8">
      <c r="A30" t="s">
        <v>28</v>
      </c>
      <c r="B30">
        <f>30000</f>
        <v>30000</v>
      </c>
      <c r="C30" t="s">
        <v>25</v>
      </c>
      <c r="D30" t="s">
        <v>40</v>
      </c>
    </row>
    <row r="31" spans="1:8">
      <c r="A31" t="s">
        <v>26</v>
      </c>
      <c r="B31">
        <v>85</v>
      </c>
      <c r="C31" s="4" t="s">
        <v>27</v>
      </c>
      <c r="D31" t="s">
        <v>41</v>
      </c>
    </row>
    <row r="38" spans="1:12">
      <c r="A38" s="10" t="s">
        <v>29</v>
      </c>
    </row>
    <row r="40" spans="1:12">
      <c r="A40" t="s">
        <v>51</v>
      </c>
      <c r="B40">
        <f>0.06*B13</f>
        <v>1.7979766168535058</v>
      </c>
      <c r="C40" t="s">
        <v>52</v>
      </c>
      <c r="D40" t="s">
        <v>56</v>
      </c>
    </row>
    <row r="42" spans="1:12">
      <c r="A42" t="s">
        <v>30</v>
      </c>
      <c r="B42">
        <v>1.3</v>
      </c>
      <c r="C42" t="s">
        <v>31</v>
      </c>
      <c r="K42" s="8" t="s">
        <v>44</v>
      </c>
      <c r="L42" s="8" t="s">
        <v>45</v>
      </c>
    </row>
    <row r="43" spans="1:12">
      <c r="A43" t="s">
        <v>32</v>
      </c>
      <c r="K43" s="8">
        <f>50</f>
        <v>50</v>
      </c>
      <c r="L43" s="8">
        <v>0.9</v>
      </c>
    </row>
    <row r="44" spans="1:12">
      <c r="A44" t="s">
        <v>42</v>
      </c>
      <c r="K44" s="8">
        <v>100</v>
      </c>
      <c r="L44" s="8">
        <v>1</v>
      </c>
    </row>
    <row r="45" spans="1:12">
      <c r="K45" s="8">
        <v>200</v>
      </c>
      <c r="L45" s="8">
        <v>1.2</v>
      </c>
    </row>
    <row r="46" spans="1:12">
      <c r="A46" t="s">
        <v>43</v>
      </c>
      <c r="B46">
        <v>1.5</v>
      </c>
      <c r="D46" t="s">
        <v>46</v>
      </c>
      <c r="K46" s="8">
        <v>400</v>
      </c>
      <c r="L46" s="8">
        <v>1.3</v>
      </c>
    </row>
    <row r="47" spans="1:12">
      <c r="K47" s="8">
        <v>1000</v>
      </c>
      <c r="L47" s="8">
        <v>1.4</v>
      </c>
    </row>
    <row r="48" spans="1:12">
      <c r="A48" t="s">
        <v>49</v>
      </c>
      <c r="B48">
        <f>B23*B42*B46</f>
        <v>9.4379999999999988</v>
      </c>
      <c r="C48" t="s">
        <v>20</v>
      </c>
      <c r="D48" t="s">
        <v>50</v>
      </c>
      <c r="K48" s="8">
        <v>10000</v>
      </c>
      <c r="L48" s="8">
        <v>1.5</v>
      </c>
    </row>
    <row r="49" spans="1:4">
      <c r="A49" t="s">
        <v>38</v>
      </c>
      <c r="B49">
        <f>B24/B48</f>
        <v>1.7462865354055035</v>
      </c>
      <c r="D49" t="s">
        <v>55</v>
      </c>
    </row>
    <row r="50" spans="1:4">
      <c r="A50" t="s">
        <v>38</v>
      </c>
      <c r="B50">
        <v>2</v>
      </c>
      <c r="D50" t="s">
        <v>62</v>
      </c>
    </row>
    <row r="51" spans="1:4">
      <c r="A51" t="s">
        <v>57</v>
      </c>
      <c r="B51">
        <f>B50*B21</f>
        <v>2.4</v>
      </c>
      <c r="C51" t="s">
        <v>52</v>
      </c>
      <c r="D51" t="s">
        <v>66</v>
      </c>
    </row>
    <row r="52" spans="1:4">
      <c r="A52" t="s">
        <v>60</v>
      </c>
      <c r="B52">
        <f>CEILING(B15/B22,1)</f>
        <v>2</v>
      </c>
      <c r="D52" t="s">
        <v>61</v>
      </c>
    </row>
    <row r="53" spans="1:4">
      <c r="A53" t="s">
        <v>67</v>
      </c>
      <c r="B53">
        <f>B52*B50</f>
        <v>4</v>
      </c>
      <c r="D53" t="s">
        <v>63</v>
      </c>
    </row>
    <row r="54" spans="1:4">
      <c r="A54" t="s">
        <v>64</v>
      </c>
      <c r="B54">
        <f>B21*B50/B52</f>
        <v>1.2</v>
      </c>
      <c r="C54" t="s">
        <v>52</v>
      </c>
      <c r="D54" t="s">
        <v>65</v>
      </c>
    </row>
  </sheetData>
  <conditionalFormatting sqref="B22">
    <cfRule type="cellIs" dxfId="10" priority="5" operator="lessThan">
      <formula>$B$40</formula>
    </cfRule>
  </conditionalFormatting>
  <conditionalFormatting sqref="B51">
    <cfRule type="cellIs" dxfId="9" priority="3" operator="greaterThan">
      <formula>$B$40</formula>
    </cfRule>
    <cfRule type="cellIs" dxfId="8" priority="4" operator="lessThan">
      <formula>$B$40</formula>
    </cfRule>
  </conditionalFormatting>
  <conditionalFormatting sqref="B48">
    <cfRule type="cellIs" dxfId="7" priority="1" operator="lessThan">
      <formula>$B$23</formula>
    </cfRule>
    <cfRule type="cellIs" dxfId="6" priority="2" operator="greaterThan">
      <formula>$B$23</formula>
    </cfRule>
  </conditionalFormatting>
  <hyperlinks>
    <hyperlink ref="A5" r:id="rId1"/>
  </hyperlinks>
  <pageMargins left="0.7" right="0.7" top="0.75" bottom="0.75" header="0.3" footer="0.3"/>
  <pageSetup paperSize="9" orientation="portrait" horizontalDpi="180" verticalDpi="180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4"/>
  <sheetViews>
    <sheetView workbookViewId="0">
      <selection activeCell="B13" sqref="B13"/>
    </sheetView>
  </sheetViews>
  <sheetFormatPr defaultRowHeight="15"/>
  <cols>
    <col min="2" max="2" width="15.7109375" customWidth="1"/>
    <col min="6" max="6" width="11.7109375" customWidth="1"/>
  </cols>
  <sheetData>
    <row r="1" spans="1:9">
      <c r="A1" t="s">
        <v>0</v>
      </c>
    </row>
    <row r="2" spans="1:9">
      <c r="A2" t="s">
        <v>1</v>
      </c>
    </row>
    <row r="3" spans="1:9">
      <c r="A3" t="s">
        <v>80</v>
      </c>
    </row>
    <row r="5" spans="1:9">
      <c r="A5" s="11" t="s">
        <v>68</v>
      </c>
    </row>
    <row r="8" spans="1:9">
      <c r="A8" s="10" t="s">
        <v>3</v>
      </c>
    </row>
    <row r="10" spans="1:9">
      <c r="A10" s="7" t="s">
        <v>35</v>
      </c>
    </row>
    <row r="11" spans="1:9">
      <c r="A11" s="1" t="s">
        <v>4</v>
      </c>
      <c r="B11" s="2">
        <f>10000*B12</f>
        <v>10000</v>
      </c>
      <c r="C11" s="2" t="s">
        <v>5</v>
      </c>
      <c r="D11" s="2" t="s">
        <v>6</v>
      </c>
      <c r="E11" s="2"/>
      <c r="F11" s="2"/>
      <c r="G11" s="2"/>
      <c r="H11" s="2"/>
      <c r="I11" s="2"/>
    </row>
    <row r="12" spans="1:9">
      <c r="A12" s="3" t="s">
        <v>7</v>
      </c>
      <c r="B12" s="2">
        <v>1</v>
      </c>
      <c r="C12" s="2"/>
      <c r="D12" s="2" t="s">
        <v>8</v>
      </c>
      <c r="E12" s="2"/>
      <c r="F12" s="2"/>
      <c r="G12" s="2"/>
      <c r="H12" s="2"/>
      <c r="I12" s="2"/>
    </row>
    <row r="13" spans="1:9">
      <c r="A13" s="3" t="s">
        <v>19</v>
      </c>
      <c r="B13" s="2">
        <f>B11/(B14*SQRT(3)*B16)</f>
        <v>16.980890270283112</v>
      </c>
      <c r="C13" s="2" t="s">
        <v>20</v>
      </c>
      <c r="D13" s="2" t="s">
        <v>9</v>
      </c>
      <c r="E13" s="2"/>
      <c r="F13" s="2"/>
      <c r="G13" s="2"/>
      <c r="H13" s="2"/>
      <c r="I13" s="2"/>
    </row>
    <row r="14" spans="1:9">
      <c r="A14" s="3" t="s">
        <v>13</v>
      </c>
      <c r="B14" s="2">
        <v>400</v>
      </c>
      <c r="C14" s="2" t="s">
        <v>11</v>
      </c>
      <c r="D14" s="2" t="s">
        <v>14</v>
      </c>
      <c r="E14" s="2"/>
      <c r="F14" s="2"/>
      <c r="G14" s="2"/>
      <c r="H14" s="2"/>
      <c r="I14" s="2"/>
    </row>
    <row r="15" spans="1:9">
      <c r="A15" s="3" t="s">
        <v>15</v>
      </c>
      <c r="B15" s="2">
        <f>B14*SQRT(2)</f>
        <v>565.68542494923804</v>
      </c>
      <c r="C15" s="2" t="s">
        <v>11</v>
      </c>
      <c r="D15" s="2" t="s">
        <v>16</v>
      </c>
      <c r="E15" s="2"/>
      <c r="F15" s="2"/>
      <c r="G15" s="2"/>
      <c r="H15" s="2"/>
      <c r="I15" s="2"/>
    </row>
    <row r="16" spans="1:9">
      <c r="A16" s="3" t="s">
        <v>17</v>
      </c>
      <c r="B16" s="2">
        <v>0.85</v>
      </c>
      <c r="C16" s="2"/>
      <c r="D16" s="2" t="s">
        <v>18</v>
      </c>
      <c r="E16" s="2"/>
      <c r="F16" s="2"/>
      <c r="G16" s="2"/>
      <c r="H16" s="2"/>
      <c r="I16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6" t="s">
        <v>33</v>
      </c>
    </row>
    <row r="21" spans="1:8">
      <c r="A21" s="9" t="s">
        <v>53</v>
      </c>
      <c r="B21">
        <v>1.2</v>
      </c>
      <c r="C21" t="s">
        <v>52</v>
      </c>
      <c r="D21" t="s">
        <v>54</v>
      </c>
    </row>
    <row r="22" spans="1:8">
      <c r="A22" t="s">
        <v>58</v>
      </c>
      <c r="B22">
        <v>450</v>
      </c>
      <c r="C22" t="s">
        <v>11</v>
      </c>
      <c r="D22" t="s">
        <v>59</v>
      </c>
    </row>
    <row r="23" spans="1:8">
      <c r="A23" t="s">
        <v>47</v>
      </c>
      <c r="B23">
        <v>4.84</v>
      </c>
      <c r="C23" t="s">
        <v>20</v>
      </c>
      <c r="D23" t="s">
        <v>48</v>
      </c>
    </row>
    <row r="24" spans="1:8">
      <c r="A24" t="s">
        <v>21</v>
      </c>
      <c r="B24">
        <f>0.55*B13</f>
        <v>9.3394896486557126</v>
      </c>
      <c r="C24" t="s">
        <v>20</v>
      </c>
      <c r="D24" t="s">
        <v>22</v>
      </c>
    </row>
    <row r="25" spans="1:8">
      <c r="A25" t="s">
        <v>36</v>
      </c>
      <c r="B25" t="s">
        <v>37</v>
      </c>
    </row>
    <row r="28" spans="1:8">
      <c r="A28" s="7" t="s">
        <v>34</v>
      </c>
    </row>
    <row r="29" spans="1:8">
      <c r="A29" t="s">
        <v>23</v>
      </c>
      <c r="B29">
        <v>5</v>
      </c>
      <c r="C29" t="s">
        <v>24</v>
      </c>
      <c r="D29" t="s">
        <v>39</v>
      </c>
    </row>
    <row r="30" spans="1:8">
      <c r="A30" t="s">
        <v>28</v>
      </c>
      <c r="B30">
        <f>30000</f>
        <v>30000</v>
      </c>
      <c r="C30" t="s">
        <v>25</v>
      </c>
      <c r="D30" t="s">
        <v>40</v>
      </c>
    </row>
    <row r="31" spans="1:8">
      <c r="A31" t="s">
        <v>26</v>
      </c>
      <c r="B31">
        <v>85</v>
      </c>
      <c r="C31" s="4" t="s">
        <v>27</v>
      </c>
      <c r="D31" t="s">
        <v>41</v>
      </c>
    </row>
    <row r="38" spans="1:12">
      <c r="A38" s="10" t="s">
        <v>29</v>
      </c>
    </row>
    <row r="40" spans="1:12">
      <c r="A40" t="s">
        <v>51</v>
      </c>
      <c r="B40">
        <f>0.06*B13</f>
        <v>1.0188534162169867</v>
      </c>
      <c r="C40" t="s">
        <v>52</v>
      </c>
      <c r="D40" t="s">
        <v>56</v>
      </c>
    </row>
    <row r="42" spans="1:12">
      <c r="A42" t="s">
        <v>30</v>
      </c>
      <c r="B42">
        <v>1.3</v>
      </c>
      <c r="C42" t="s">
        <v>31</v>
      </c>
      <c r="K42" s="8" t="s">
        <v>44</v>
      </c>
      <c r="L42" s="8" t="s">
        <v>45</v>
      </c>
    </row>
    <row r="43" spans="1:12">
      <c r="A43" t="s">
        <v>32</v>
      </c>
      <c r="K43" s="8">
        <f>50</f>
        <v>50</v>
      </c>
      <c r="L43" s="8">
        <v>0.9</v>
      </c>
    </row>
    <row r="44" spans="1:12">
      <c r="A44" t="s">
        <v>42</v>
      </c>
      <c r="K44" s="8">
        <v>100</v>
      </c>
      <c r="L44" s="8">
        <v>1</v>
      </c>
    </row>
    <row r="45" spans="1:12">
      <c r="K45" s="8">
        <v>200</v>
      </c>
      <c r="L45" s="8">
        <v>1.2</v>
      </c>
    </row>
    <row r="46" spans="1:12">
      <c r="A46" t="s">
        <v>43</v>
      </c>
      <c r="B46">
        <v>1.5</v>
      </c>
      <c r="D46" t="s">
        <v>46</v>
      </c>
      <c r="K46" s="8">
        <v>400</v>
      </c>
      <c r="L46" s="8">
        <v>1.3</v>
      </c>
    </row>
    <row r="47" spans="1:12">
      <c r="K47" s="8">
        <v>1000</v>
      </c>
      <c r="L47" s="8">
        <v>1.4</v>
      </c>
    </row>
    <row r="48" spans="1:12">
      <c r="A48" t="s">
        <v>49</v>
      </c>
      <c r="B48">
        <f>B23*B42*B46</f>
        <v>9.4379999999999988</v>
      </c>
      <c r="C48" t="s">
        <v>20</v>
      </c>
      <c r="D48" t="s">
        <v>79</v>
      </c>
      <c r="K48" s="8">
        <v>10000</v>
      </c>
      <c r="L48" s="8">
        <v>1.5</v>
      </c>
    </row>
    <row r="49" spans="1:4">
      <c r="A49" t="s">
        <v>38</v>
      </c>
      <c r="B49">
        <f>B24/B48</f>
        <v>0.98956237006311865</v>
      </c>
      <c r="D49" t="s">
        <v>55</v>
      </c>
    </row>
    <row r="50" spans="1:4">
      <c r="A50" t="s">
        <v>38</v>
      </c>
      <c r="B50">
        <v>2</v>
      </c>
      <c r="D50" t="s">
        <v>62</v>
      </c>
    </row>
    <row r="51" spans="1:4">
      <c r="A51" t="s">
        <v>57</v>
      </c>
      <c r="B51">
        <f>B50*B21</f>
        <v>2.4</v>
      </c>
      <c r="C51" t="s">
        <v>52</v>
      </c>
      <c r="D51" t="s">
        <v>66</v>
      </c>
    </row>
    <row r="52" spans="1:4">
      <c r="A52" t="s">
        <v>60</v>
      </c>
      <c r="B52">
        <f>CEILING(B15/B22,1)</f>
        <v>2</v>
      </c>
      <c r="D52" t="s">
        <v>61</v>
      </c>
    </row>
    <row r="53" spans="1:4">
      <c r="A53" t="s">
        <v>67</v>
      </c>
      <c r="B53">
        <f>B52*B50</f>
        <v>4</v>
      </c>
      <c r="D53" t="s">
        <v>63</v>
      </c>
    </row>
    <row r="54" spans="1:4">
      <c r="A54" t="s">
        <v>64</v>
      </c>
      <c r="B54">
        <f>B21*B50/B52</f>
        <v>1.2</v>
      </c>
      <c r="C54" t="s">
        <v>52</v>
      </c>
      <c r="D54" t="s">
        <v>65</v>
      </c>
    </row>
  </sheetData>
  <conditionalFormatting sqref="B22">
    <cfRule type="cellIs" dxfId="5" priority="5" operator="lessThan">
      <formula>$B$40</formula>
    </cfRule>
  </conditionalFormatting>
  <conditionalFormatting sqref="B51">
    <cfRule type="cellIs" dxfId="4" priority="3" operator="greaterThan">
      <formula>$B$40</formula>
    </cfRule>
    <cfRule type="cellIs" dxfId="3" priority="4" operator="lessThan">
      <formula>$B$40</formula>
    </cfRule>
  </conditionalFormatting>
  <conditionalFormatting sqref="B48">
    <cfRule type="cellIs" dxfId="2" priority="1" operator="lessThan">
      <formula>$B$23</formula>
    </cfRule>
    <cfRule type="cellIs" dxfId="1" priority="2" operator="greaterThan">
      <formula>$B$23</formula>
    </cfRule>
  </conditionalFormatting>
  <hyperlinks>
    <hyperlink ref="A5" r:id="rId1"/>
  </hyperlinks>
  <pageMargins left="0.7" right="0.7" top="0.75" bottom="0.75" header="0.3" footer="0.3"/>
  <pageSetup paperSize="9" orientation="portrait" horizontalDpi="180" verticalDpi="18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0" sqref="B30"/>
    </sheetView>
  </sheetViews>
  <sheetFormatPr defaultRowHeight="15"/>
  <sheetData>
    <row r="1" spans="1:9">
      <c r="A1" t="s">
        <v>0</v>
      </c>
    </row>
    <row r="2" spans="1:9">
      <c r="A2" t="s">
        <v>69</v>
      </c>
    </row>
    <row r="3" spans="1:9">
      <c r="A3" t="s">
        <v>70</v>
      </c>
    </row>
    <row r="4" spans="1:9">
      <c r="A4" s="13" t="s">
        <v>78</v>
      </c>
    </row>
    <row r="6" spans="1:9">
      <c r="A6" t="s">
        <v>2</v>
      </c>
    </row>
    <row r="8" spans="1:9">
      <c r="A8" s="11" t="s">
        <v>68</v>
      </c>
    </row>
    <row r="11" spans="1:9">
      <c r="A11" s="10" t="s">
        <v>3</v>
      </c>
    </row>
    <row r="13" spans="1:9">
      <c r="A13" s="7" t="s">
        <v>35</v>
      </c>
    </row>
    <row r="14" spans="1:9">
      <c r="A14" s="1" t="s">
        <v>4</v>
      </c>
      <c r="B14" s="2">
        <f>15000*B15</f>
        <v>15000</v>
      </c>
      <c r="C14" s="2" t="s">
        <v>5</v>
      </c>
      <c r="D14" s="2" t="s">
        <v>6</v>
      </c>
      <c r="E14" s="2"/>
      <c r="F14" s="2"/>
      <c r="G14" s="2"/>
      <c r="H14" s="2"/>
      <c r="I14" s="2"/>
    </row>
    <row r="15" spans="1:9">
      <c r="A15" s="3" t="s">
        <v>7</v>
      </c>
      <c r="B15" s="2">
        <v>1</v>
      </c>
      <c r="C15" s="2"/>
      <c r="D15" s="2" t="s">
        <v>8</v>
      </c>
      <c r="E15" s="2"/>
      <c r="F15" s="2"/>
      <c r="G15" s="2"/>
      <c r="H15" s="2"/>
      <c r="I15" s="2"/>
    </row>
    <row r="16" spans="1:9">
      <c r="A16" s="3" t="s">
        <v>19</v>
      </c>
      <c r="B16" s="2">
        <f>B14/(B18*SQRT(3)*B20)</f>
        <v>25.471335405424668</v>
      </c>
      <c r="C16" s="2" t="s">
        <v>20</v>
      </c>
      <c r="D16" s="2" t="s">
        <v>9</v>
      </c>
      <c r="E16" s="2"/>
      <c r="F16" s="2"/>
      <c r="G16" s="2"/>
      <c r="H16" s="2"/>
      <c r="I16" s="2"/>
    </row>
    <row r="17" spans="1:9">
      <c r="A17" s="3" t="s">
        <v>10</v>
      </c>
      <c r="B17" s="2">
        <f>2.05</f>
        <v>2.0499999999999998</v>
      </c>
      <c r="C17" s="2" t="s">
        <v>11</v>
      </c>
      <c r="D17" s="2" t="s">
        <v>12</v>
      </c>
      <c r="E17" s="2"/>
      <c r="F17" s="2"/>
      <c r="G17" s="2"/>
      <c r="H17" s="2"/>
      <c r="I17" s="2"/>
    </row>
    <row r="18" spans="1:9">
      <c r="A18" s="3" t="s">
        <v>13</v>
      </c>
      <c r="B18" s="2">
        <v>400</v>
      </c>
      <c r="C18" s="2" t="s">
        <v>11</v>
      </c>
      <c r="D18" s="2" t="s">
        <v>14</v>
      </c>
      <c r="E18" s="2"/>
      <c r="F18" s="2"/>
      <c r="G18" s="2"/>
      <c r="H18" s="2"/>
      <c r="I18" s="2"/>
    </row>
    <row r="19" spans="1:9">
      <c r="A19" s="3" t="s">
        <v>15</v>
      </c>
      <c r="B19" s="2">
        <f>B18*SQRT(2)</f>
        <v>565.68542494923804</v>
      </c>
      <c r="C19" s="2" t="s">
        <v>11</v>
      </c>
      <c r="D19" s="2" t="s">
        <v>16</v>
      </c>
      <c r="E19" s="2"/>
      <c r="F19" s="2"/>
      <c r="G19" s="2"/>
      <c r="H19" s="2"/>
      <c r="I19" s="2"/>
    </row>
    <row r="20" spans="1:9">
      <c r="A20" s="3" t="s">
        <v>17</v>
      </c>
      <c r="B20" s="2">
        <v>0.85</v>
      </c>
      <c r="C20" s="2"/>
      <c r="D20" s="2" t="s">
        <v>18</v>
      </c>
      <c r="E20" s="2"/>
      <c r="F20" s="2"/>
      <c r="G20" s="2"/>
      <c r="H20" s="2"/>
    </row>
    <row r="21" spans="1:9">
      <c r="A21" s="12" t="s">
        <v>71</v>
      </c>
      <c r="B21" s="2">
        <v>6</v>
      </c>
      <c r="C21" s="2"/>
      <c r="D21" s="5" t="s">
        <v>72</v>
      </c>
      <c r="E21" s="2"/>
      <c r="F21" s="2"/>
      <c r="G21" s="2"/>
      <c r="H21" s="2"/>
    </row>
    <row r="22" spans="1:9">
      <c r="A22" s="2"/>
      <c r="B22" s="2"/>
      <c r="C22" s="2"/>
      <c r="D22" s="2"/>
      <c r="E22" s="2"/>
      <c r="F22" s="2"/>
      <c r="G22" s="2"/>
      <c r="H22" s="2"/>
    </row>
    <row r="23" spans="1:9">
      <c r="A23" s="6"/>
    </row>
    <row r="24" spans="1:9">
      <c r="A24" s="5" t="s">
        <v>73</v>
      </c>
    </row>
    <row r="26" spans="1:9" ht="15.75" thickBot="1">
      <c r="A26" t="s">
        <v>75</v>
      </c>
      <c r="B26">
        <f>2/(B21^2-1)</f>
        <v>5.7142857142857141E-2</v>
      </c>
      <c r="D26" t="s">
        <v>76</v>
      </c>
    </row>
    <row r="27" spans="1:9" ht="15.75" thickBot="1">
      <c r="A27" t="s">
        <v>74</v>
      </c>
      <c r="B27" s="14">
        <f>B16*0.55/(2*B19*B21*50*B26)*10^3</f>
        <v>0.72231430068284597</v>
      </c>
      <c r="C27" t="s">
        <v>52</v>
      </c>
      <c r="D27" t="s">
        <v>77</v>
      </c>
    </row>
    <row r="31" spans="1:9">
      <c r="A31" s="7"/>
    </row>
    <row r="34" spans="3:3">
      <c r="C34" s="4"/>
    </row>
  </sheetData>
  <conditionalFormatting sqref="B25">
    <cfRule type="cellIs" dxfId="0" priority="1" operator="lessThan">
      <formula>$B$42</formula>
    </cfRule>
  </conditionalFormatting>
  <hyperlinks>
    <hyperlink ref="A8" r:id="rId1"/>
  </hyperlinks>
  <pageMargins left="0.7" right="0.7" top="0.75" bottom="0.75" header="0.3" footer="0.3"/>
  <pageSetup paperSize="9" orientation="portrait" horizontalDpi="180" verticalDpi="18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Колпаков_32 кВт</vt:lpstr>
      <vt:lpstr>Колпаков_15 кВт</vt:lpstr>
      <vt:lpstr>Колпаков_10 кВт</vt:lpstr>
      <vt:lpstr>Горный №1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2019-09-19T11:59:52Z</dcterms:modified>
</cp:coreProperties>
</file>