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70" windowHeight="8220" activeTab="2"/>
  </bookViews>
  <sheets>
    <sheet name="Потери в MOSFET" sheetId="7" r:id="rId1"/>
    <sheet name="Тепловой расчет" sheetId="3" r:id="rId2"/>
    <sheet name="Драйвер" sheetId="8" r:id="rId3"/>
  </sheets>
  <calcPr calcId="125725"/>
</workbook>
</file>

<file path=xl/calcChain.xml><?xml version="1.0" encoding="utf-8"?>
<calcChain xmlns="http://schemas.openxmlformats.org/spreadsheetml/2006/main">
  <c r="B21" i="7"/>
  <c r="B20" i="8"/>
  <c r="K28" s="1"/>
  <c r="B54" i="7"/>
  <c r="B10" i="8"/>
  <c r="K24" s="1"/>
  <c r="K8"/>
  <c r="K9" s="1"/>
  <c r="K17"/>
  <c r="B17"/>
  <c r="B16"/>
  <c r="B9"/>
  <c r="B11"/>
  <c r="K11" l="1"/>
  <c r="K12" s="1"/>
  <c r="B8"/>
  <c r="B9" i="7"/>
  <c r="B8"/>
  <c r="B10"/>
  <c r="B22"/>
  <c r="B8" i="3"/>
  <c r="B7"/>
  <c r="B33" i="7"/>
  <c r="B30"/>
  <c r="B14"/>
  <c r="B12" l="1"/>
  <c r="B13"/>
  <c r="B15"/>
  <c r="B31" l="1"/>
  <c r="B60"/>
  <c r="B66" s="1"/>
  <c r="E50" s="1"/>
  <c r="I50" s="1"/>
  <c r="B11" i="3" l="1"/>
  <c r="B25" s="1"/>
</calcChain>
</file>

<file path=xl/comments1.xml><?xml version="1.0" encoding="utf-8"?>
<comments xmlns="http://schemas.openxmlformats.org/spreadsheetml/2006/main">
  <authors>
    <author>Tikhonov Eugene</author>
  </authors>
  <commentList>
    <comment ref="D24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Значение определяется по горизонтальному участку на графикке Vgs=f(Qg)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Tikhonov Eugene</author>
  </authors>
  <commentList>
    <comment ref="K11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8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Qg*Rg/Ug</t>
        </r>
      </text>
    </comment>
  </commentList>
</comments>
</file>

<file path=xl/sharedStrings.xml><?xml version="1.0" encoding="utf-8"?>
<sst xmlns="http://schemas.openxmlformats.org/spreadsheetml/2006/main" count="199" uniqueCount="158">
  <si>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</si>
  <si>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</si>
  <si>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</si>
  <si>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</si>
  <si>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</si>
  <si>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</si>
  <si>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</si>
  <si>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</si>
  <si>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</si>
  <si>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</si>
  <si>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линейное напряжение сети RMS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</si>
  <si>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</si>
  <si>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</si>
  <si>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</si>
  <si>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</si>
  <si>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</si>
  <si>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</si>
  <si>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</si>
  <si>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</si>
  <si>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</si>
  <si>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</si>
  <si>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</si>
  <si>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</si>
  <si>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</si>
  <si>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</si>
  <si>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</si>
  <si>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</si>
  <si>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</si>
  <si>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</si>
  <si>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</si>
  <si>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Для приблизительной оценки мощности потерь в режиме синусоидальной модуляции можно восопользоваться рекомендациями фирмы Mitsubishi</t>
  </si>
  <si>
    <t>ссылка</t>
  </si>
  <si>
    <t>1.1 Статические потери 1-го ключа</t>
  </si>
  <si>
    <t>резистор затвора (внешний + внутренний)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</si>
  <si>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</si>
  <si>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</si>
  <si>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</si>
  <si>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</si>
  <si>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</si>
  <si>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</si>
  <si>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</si>
  <si>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</si>
  <si>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</si>
  <si>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</si>
  <si>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</si>
  <si>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</si>
  <si>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Тепловой расчет по методике Semicron-Semisel</t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</si>
  <si>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</si>
  <si>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</si>
  <si>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</si>
  <si>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</si>
  <si>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</si>
  <si>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</si>
  <si>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</si>
  <si>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ta=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</si>
  <si>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</si>
  <si>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</si>
  <si>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</si>
  <si>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</si>
  <si>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</si>
  <si>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</si>
  <si>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</si>
  <si>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</si>
  <si>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</si>
  <si>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>2П7169Б91 Ангстрем</t>
  </si>
  <si>
    <t xml:space="preserve">аналог: </t>
  </si>
  <si>
    <t>IRF1310NS</t>
  </si>
  <si>
    <t>среднее значение синусоидального выходного тока (rms)</t>
  </si>
  <si>
    <t>сопротивление перехода  (из  в pdf)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</si>
  <si>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</si>
  <si>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</si>
  <si>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</si>
  <si>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</si>
  <si>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</si>
  <si>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</si>
  <si>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</si>
  <si>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</si>
  <si>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</si>
  <si>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температура кристалла</t>
  </si>
  <si>
    <t>Ig=</t>
  </si>
  <si>
    <t>Ugs=</t>
  </si>
  <si>
    <t>напряжение на затворе</t>
  </si>
  <si>
    <t>Ugm=</t>
  </si>
  <si>
    <t>напряжение соотв-ее заряду емкости Миллера</t>
  </si>
  <si>
    <t>Pупр=</t>
  </si>
  <si>
    <t>Km=</t>
  </si>
  <si>
    <t>коэфф. момент - ток</t>
  </si>
  <si>
    <t>Nm/A</t>
  </si>
  <si>
    <t>движок</t>
  </si>
  <si>
    <t>ДБУ 36-33-3.2-24-С40 "МЭЛ"</t>
  </si>
  <si>
    <t>Nm</t>
  </si>
  <si>
    <t>Iпик=</t>
  </si>
  <si>
    <t>Iср=</t>
  </si>
  <si>
    <t>пиковое значение синусоидального выходного тока (rms)</t>
  </si>
  <si>
    <t>пиковый момент на движке</t>
  </si>
  <si>
    <t>Nmax =</t>
  </si>
  <si>
    <t>Navr =</t>
  </si>
  <si>
    <t>средний момент на движке</t>
  </si>
  <si>
    <t>Расчет требуемого тока для управления ключами</t>
  </si>
  <si>
    <t>Qg =</t>
  </si>
  <si>
    <t>total gate charge</t>
  </si>
  <si>
    <t xml:space="preserve">Ug = </t>
  </si>
  <si>
    <t>gate voltage</t>
  </si>
  <si>
    <t>f =</t>
  </si>
  <si>
    <t>PWM</t>
  </si>
  <si>
    <t xml:space="preserve"> </t>
  </si>
  <si>
    <t>Вт</t>
  </si>
  <si>
    <t>Iqbs=</t>
  </si>
  <si>
    <t>Quiescent VBS supply current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</si>
  <si>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</si>
  <si>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</si>
  <si>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</si>
  <si>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</si>
  <si>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</si>
  <si>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</si>
  <si>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</si>
  <si>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</si>
  <si>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</si>
  <si>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</si>
  <si>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</si>
  <si>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</si>
  <si>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</si>
  <si>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</si>
  <si>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</si>
  <si>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</si>
  <si>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</si>
  <si>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</si>
  <si>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</si>
  <si>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</si>
  <si>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Бустрепный каскад</t>
  </si>
  <si>
    <t>Затворный резистор</t>
  </si>
  <si>
    <t>Bootstrap Capacitor * k</t>
  </si>
  <si>
    <t>запас</t>
  </si>
  <si>
    <t>пиковый ток через Rg</t>
  </si>
  <si>
    <t>Бустрепный диод</t>
  </si>
  <si>
    <t>Vrpm=</t>
  </si>
  <si>
    <t>max trr=</t>
  </si>
  <si>
    <t>ns</t>
  </si>
  <si>
    <t>If=</t>
  </si>
  <si>
    <t>Qbs=</t>
  </si>
  <si>
    <t>minimum charge for bootstrap capacitor</t>
  </si>
  <si>
    <t>mA</t>
  </si>
  <si>
    <t>ток через диод</t>
  </si>
  <si>
    <t>reverse voltage</t>
  </si>
  <si>
    <t>Динамика</t>
  </si>
  <si>
    <t>ton(off)=</t>
  </si>
  <si>
    <t>время включения(выкл) MOSFET</t>
  </si>
  <si>
    <t>turn-on delay time@Rg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</si>
  <si>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</si>
  <si>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</si>
  <si>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</si>
  <si>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</si>
  <si>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</si>
  <si>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</si>
  <si>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</si>
  <si>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</si>
  <si>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1308ЕУ4БУ КремнийЭл</t>
  </si>
  <si>
    <t>Пример использования здесь: ИТЦЯ.468362.049</t>
  </si>
</sst>
</file>

<file path=xl/styles.xml><?xml version="1.0" encoding="utf-8"?>
<styleSheet xmlns="http://schemas.openxmlformats.org/spreadsheetml/2006/main">
  <numFmts count="2">
    <numFmt numFmtId="167" formatCode="0.00000000"/>
    <numFmt numFmtId="171" formatCode="0.000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7" fontId="0" fillId="0" borderId="0" xfId="0" applyNumberFormat="1"/>
    <xf numFmtId="171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</xdr:row>
      <xdr:rowOff>0</xdr:rowOff>
    </xdr:from>
    <xdr:to>
      <xdr:col>0</xdr:col>
      <xdr:colOff>609600</xdr:colOff>
      <xdr:row>64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609600</xdr:colOff>
      <xdr:row>52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0</xdr:col>
      <xdr:colOff>695325</xdr:colOff>
      <xdr:row>58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904875</xdr:colOff>
      <xdr:row>64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1257300</xdr:colOff>
      <xdr:row>52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1</xdr:col>
      <xdr:colOff>85725</xdr:colOff>
      <xdr:row>58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4</xdr:row>
      <xdr:rowOff>28575</xdr:rowOff>
    </xdr:from>
    <xdr:to>
      <xdr:col>19</xdr:col>
      <xdr:colOff>161702</xdr:colOff>
      <xdr:row>6</xdr:row>
      <xdr:rowOff>107144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29925" y="600075"/>
          <a:ext cx="1342802" cy="459569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11</xdr:row>
      <xdr:rowOff>76200</xdr:rowOff>
    </xdr:from>
    <xdr:to>
      <xdr:col>22</xdr:col>
      <xdr:colOff>561975</xdr:colOff>
      <xdr:row>17</xdr:row>
      <xdr:rowOff>66675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20400" y="1409700"/>
          <a:ext cx="3581400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28575</xdr:colOff>
      <xdr:row>19</xdr:row>
      <xdr:rowOff>76200</xdr:rowOff>
    </xdr:from>
    <xdr:to>
      <xdr:col>29</xdr:col>
      <xdr:colOff>476250</xdr:colOff>
      <xdr:row>33</xdr:row>
      <xdr:rowOff>85725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20400" y="2743200"/>
          <a:ext cx="7762875" cy="2676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mitsubishielectric.com/semiconductors/files/manuals/powermos3_0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S66"/>
  <sheetViews>
    <sheetView topLeftCell="A42" workbookViewId="0">
      <selection activeCell="E50" sqref="E50"/>
    </sheetView>
  </sheetViews>
  <sheetFormatPr defaultRowHeight="15"/>
  <cols>
    <col min="1" max="1" width="27" customWidth="1"/>
    <col min="2" max="2" width="12" bestFit="1" customWidth="1"/>
    <col min="6" max="6" width="10" bestFit="1" customWidth="1"/>
  </cols>
  <sheetData>
    <row r="1" spans="1:11">
      <c r="A1" s="15" t="s">
        <v>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>
      <c r="A2" s="7" t="s">
        <v>51</v>
      </c>
      <c r="B2" s="8"/>
      <c r="C2" s="9" t="s">
        <v>64</v>
      </c>
      <c r="D2" s="9"/>
      <c r="E2" s="9"/>
      <c r="F2" s="9"/>
      <c r="G2" s="9"/>
      <c r="H2" s="9"/>
      <c r="I2" s="9"/>
      <c r="J2" s="9"/>
      <c r="K2" s="10"/>
    </row>
    <row r="3" spans="1:11">
      <c r="A3" s="7"/>
      <c r="B3" s="9"/>
      <c r="C3" s="9" t="s">
        <v>65</v>
      </c>
      <c r="D3" s="9" t="s">
        <v>66</v>
      </c>
      <c r="E3" s="9"/>
      <c r="F3" s="9"/>
      <c r="G3" s="9"/>
      <c r="H3" s="9"/>
      <c r="I3" s="9"/>
      <c r="J3" s="9"/>
      <c r="K3" s="10"/>
    </row>
    <row r="4" spans="1:11">
      <c r="A4" s="7" t="s">
        <v>88</v>
      </c>
      <c r="B4" s="9"/>
      <c r="C4" s="9" t="s">
        <v>89</v>
      </c>
      <c r="D4" s="9"/>
      <c r="E4" s="9"/>
      <c r="F4" s="9"/>
      <c r="G4" s="9"/>
      <c r="H4" s="9"/>
      <c r="I4" s="9"/>
      <c r="J4" s="9"/>
      <c r="K4" s="10"/>
    </row>
    <row r="5" spans="1:11">
      <c r="A5" s="7"/>
      <c r="B5" s="9"/>
      <c r="C5" s="9"/>
      <c r="D5" s="9"/>
      <c r="E5" s="9"/>
      <c r="F5" s="9"/>
      <c r="G5" s="9"/>
      <c r="H5" s="9"/>
      <c r="I5" s="9"/>
      <c r="J5" s="9"/>
      <c r="K5" s="10"/>
    </row>
    <row r="6" spans="1:11">
      <c r="A6" s="11" t="s">
        <v>52</v>
      </c>
      <c r="B6" s="9"/>
      <c r="C6" s="9"/>
      <c r="D6" s="9"/>
      <c r="E6" s="9"/>
      <c r="F6" s="9"/>
      <c r="G6" s="9"/>
      <c r="H6" s="9"/>
      <c r="I6" s="9"/>
      <c r="J6" s="9"/>
      <c r="K6" s="10"/>
    </row>
    <row r="7" spans="1:11">
      <c r="A7" s="11"/>
      <c r="B7" s="9"/>
      <c r="C7" s="9"/>
      <c r="D7" s="9"/>
      <c r="E7" s="9"/>
      <c r="F7" s="9"/>
      <c r="G7" s="9"/>
      <c r="H7" s="9"/>
      <c r="I7" s="9"/>
      <c r="J7" s="9"/>
      <c r="K7" s="10"/>
    </row>
    <row r="8" spans="1:11">
      <c r="A8" s="7" t="s">
        <v>95</v>
      </c>
      <c r="B8" s="9">
        <f>0.45</f>
        <v>0.45</v>
      </c>
      <c r="C8" s="9" t="s">
        <v>90</v>
      </c>
      <c r="D8" s="9" t="s">
        <v>94</v>
      </c>
      <c r="E8" s="9"/>
      <c r="F8" s="9"/>
      <c r="G8" s="9"/>
      <c r="H8" s="9"/>
      <c r="I8" s="9"/>
      <c r="J8" s="9"/>
      <c r="K8" s="10"/>
    </row>
    <row r="9" spans="1:11">
      <c r="A9" s="7" t="s">
        <v>96</v>
      </c>
      <c r="B9" s="9">
        <f>0.16</f>
        <v>0.16</v>
      </c>
      <c r="C9" s="9" t="s">
        <v>90</v>
      </c>
      <c r="D9" s="9" t="s">
        <v>97</v>
      </c>
      <c r="E9" s="9"/>
      <c r="F9" s="9"/>
      <c r="G9" s="9"/>
      <c r="H9" s="9"/>
      <c r="I9" s="9"/>
      <c r="J9" s="9"/>
      <c r="K9" s="10"/>
    </row>
    <row r="10" spans="1:11">
      <c r="A10" s="7" t="s">
        <v>85</v>
      </c>
      <c r="B10" s="9">
        <f>0.039</f>
        <v>3.9E-2</v>
      </c>
      <c r="C10" s="9" t="s">
        <v>87</v>
      </c>
      <c r="D10" s="9" t="s">
        <v>86</v>
      </c>
      <c r="E10" s="9"/>
      <c r="F10" s="9"/>
      <c r="G10" s="9"/>
      <c r="H10" s="9"/>
      <c r="I10" s="9"/>
      <c r="J10" s="9"/>
      <c r="K10" s="10"/>
    </row>
    <row r="11" spans="1:11">
      <c r="A11" s="7" t="s">
        <v>48</v>
      </c>
      <c r="B11" s="9">
        <v>1</v>
      </c>
      <c r="C11" s="9"/>
      <c r="D11" s="9" t="s">
        <v>49</v>
      </c>
      <c r="E11" s="9"/>
      <c r="F11" s="9"/>
      <c r="G11" s="9"/>
      <c r="H11" s="9"/>
      <c r="I11" s="9"/>
      <c r="J11" s="9"/>
      <c r="K11" s="10"/>
    </row>
    <row r="12" spans="1:11">
      <c r="A12" s="7" t="s">
        <v>91</v>
      </c>
      <c r="B12" s="9">
        <f>B8/B10</f>
        <v>11.538461538461538</v>
      </c>
      <c r="C12" s="9" t="s">
        <v>7</v>
      </c>
      <c r="D12" s="9" t="s">
        <v>93</v>
      </c>
      <c r="E12" s="9"/>
      <c r="F12" s="9"/>
      <c r="G12" s="9"/>
      <c r="H12" s="9"/>
      <c r="I12" s="9"/>
      <c r="J12" s="9"/>
      <c r="K12" s="10"/>
    </row>
    <row r="13" spans="1:11">
      <c r="A13" s="17" t="s">
        <v>92</v>
      </c>
      <c r="B13">
        <f>B9/B10</f>
        <v>4.1025641025641031</v>
      </c>
      <c r="C13" s="9" t="s">
        <v>7</v>
      </c>
      <c r="D13" s="9" t="s">
        <v>67</v>
      </c>
      <c r="J13" s="9"/>
      <c r="K13" s="10"/>
    </row>
    <row r="14" spans="1:11">
      <c r="A14" t="s">
        <v>53</v>
      </c>
      <c r="B14">
        <f>36*10^(-3)</f>
        <v>3.6000000000000004E-2</v>
      </c>
      <c r="C14" t="s">
        <v>13</v>
      </c>
      <c r="D14" t="s">
        <v>68</v>
      </c>
      <c r="J14" s="9"/>
      <c r="K14" s="10"/>
    </row>
    <row r="15" spans="1:11">
      <c r="A15" s="7" t="s">
        <v>8</v>
      </c>
      <c r="B15" s="9">
        <f>B12^2*B14</f>
        <v>4.7928994082840237</v>
      </c>
      <c r="C15" s="9" t="s">
        <v>3</v>
      </c>
      <c r="D15" s="9" t="s">
        <v>69</v>
      </c>
      <c r="E15" s="9"/>
      <c r="F15" s="9"/>
      <c r="G15" s="9"/>
      <c r="H15" s="9"/>
      <c r="I15" s="9"/>
      <c r="J15" s="9"/>
      <c r="K15" s="10"/>
    </row>
    <row r="16" spans="1:11">
      <c r="A16" s="7" t="s">
        <v>9</v>
      </c>
      <c r="B16" s="9">
        <v>23</v>
      </c>
      <c r="C16" s="9" t="s">
        <v>3</v>
      </c>
      <c r="D16" s="9" t="s">
        <v>10</v>
      </c>
      <c r="E16" s="9"/>
      <c r="F16" s="9"/>
      <c r="G16" s="9"/>
      <c r="H16" s="9"/>
      <c r="I16" s="9"/>
      <c r="J16" s="9"/>
      <c r="K16" s="10"/>
    </row>
    <row r="17" spans="1:11">
      <c r="A17" s="7"/>
      <c r="B17" s="9"/>
      <c r="C17" s="9"/>
      <c r="D17" s="9"/>
      <c r="E17" s="9"/>
      <c r="F17" s="9"/>
      <c r="G17" s="9"/>
      <c r="H17" s="9"/>
      <c r="I17" s="9"/>
      <c r="J17" s="9"/>
      <c r="K17" s="10"/>
    </row>
    <row r="18" spans="1:11">
      <c r="A18" s="7"/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>
      <c r="A19" s="7" t="s">
        <v>12</v>
      </c>
      <c r="B19" s="9">
        <v>12</v>
      </c>
      <c r="C19" s="9" t="s">
        <v>13</v>
      </c>
      <c r="D19" s="9" t="s">
        <v>33</v>
      </c>
      <c r="E19" s="9"/>
      <c r="F19" s="9"/>
      <c r="G19" s="9"/>
      <c r="H19" s="9"/>
      <c r="I19" s="9"/>
      <c r="J19" s="9"/>
      <c r="K19" s="10"/>
    </row>
    <row r="20" spans="1:11">
      <c r="A20" s="7" t="s">
        <v>0</v>
      </c>
      <c r="B20" s="9">
        <v>32000</v>
      </c>
      <c r="C20" s="9" t="s">
        <v>14</v>
      </c>
      <c r="D20" s="9" t="s">
        <v>6</v>
      </c>
      <c r="E20" s="9"/>
      <c r="F20" s="9"/>
      <c r="G20" s="9"/>
      <c r="H20" s="9"/>
      <c r="I20" s="9"/>
      <c r="J20" s="9"/>
      <c r="K20" s="10"/>
    </row>
    <row r="21" spans="1:11">
      <c r="A21" s="7" t="s">
        <v>54</v>
      </c>
      <c r="B21" s="9">
        <f>B22*B19/B23</f>
        <v>8.8000000000000007E-8</v>
      </c>
      <c r="C21" s="18" t="s">
        <v>55</v>
      </c>
      <c r="D21" t="s">
        <v>147</v>
      </c>
      <c r="E21" s="9"/>
      <c r="F21" s="9"/>
      <c r="G21" s="9"/>
      <c r="H21" s="9"/>
      <c r="I21" s="9"/>
      <c r="J21" s="9"/>
      <c r="K21" s="10"/>
    </row>
    <row r="22" spans="1:11">
      <c r="A22" s="7" t="s">
        <v>11</v>
      </c>
      <c r="B22" s="9">
        <f>110*10^(-9)</f>
        <v>1.1000000000000001E-7</v>
      </c>
      <c r="C22" s="18" t="s">
        <v>59</v>
      </c>
      <c r="D22" s="9" t="s">
        <v>100</v>
      </c>
      <c r="E22" s="9"/>
      <c r="F22" s="9"/>
      <c r="G22" s="9"/>
      <c r="H22" s="9"/>
      <c r="I22" s="9"/>
      <c r="J22" s="9"/>
      <c r="K22" s="10"/>
    </row>
    <row r="23" spans="1:11">
      <c r="A23" s="7" t="s">
        <v>80</v>
      </c>
      <c r="B23" s="9">
        <v>15</v>
      </c>
      <c r="C23" s="18" t="s">
        <v>3</v>
      </c>
      <c r="D23" s="18" t="s">
        <v>81</v>
      </c>
      <c r="E23" s="9"/>
      <c r="F23" s="9"/>
      <c r="G23" s="9"/>
      <c r="H23" s="9"/>
      <c r="I23" s="9"/>
      <c r="J23" s="9"/>
      <c r="K23" s="10"/>
    </row>
    <row r="24" spans="1:11">
      <c r="A24" s="7" t="s">
        <v>82</v>
      </c>
      <c r="B24" s="9">
        <v>5</v>
      </c>
      <c r="C24" s="18" t="s">
        <v>3</v>
      </c>
      <c r="D24" s="18" t="s">
        <v>83</v>
      </c>
      <c r="E24" s="9"/>
      <c r="F24" s="9"/>
      <c r="G24" s="9"/>
      <c r="H24" s="9"/>
      <c r="I24" s="9"/>
      <c r="J24" s="9"/>
      <c r="K24" s="10"/>
    </row>
    <row r="25" spans="1:11">
      <c r="A25" s="7"/>
      <c r="B25" s="9"/>
      <c r="C25" s="18"/>
      <c r="D25" s="18"/>
      <c r="E25" s="9"/>
      <c r="F25" s="9"/>
      <c r="G25" s="9"/>
      <c r="H25" s="9"/>
      <c r="I25" s="9"/>
      <c r="J25" s="9"/>
      <c r="K25" s="10"/>
    </row>
    <row r="26" spans="1:11">
      <c r="A26" s="7"/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>
      <c r="A27" s="11" t="s">
        <v>34</v>
      </c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>
      <c r="A28" s="7" t="s">
        <v>15</v>
      </c>
      <c r="B28" s="9">
        <v>1</v>
      </c>
      <c r="C28" s="9" t="s">
        <v>3</v>
      </c>
      <c r="D28" s="9" t="s">
        <v>16</v>
      </c>
      <c r="E28" s="9"/>
      <c r="F28" s="9"/>
      <c r="G28" s="9"/>
      <c r="H28" s="9"/>
      <c r="I28" s="9"/>
      <c r="J28" s="9"/>
      <c r="K28" s="10"/>
    </row>
    <row r="29" spans="1:11">
      <c r="A29" s="17"/>
      <c r="C29" s="18"/>
      <c r="D29" s="18"/>
      <c r="I29" s="9"/>
      <c r="J29" s="9"/>
      <c r="K29" s="10"/>
    </row>
    <row r="30" spans="1:11">
      <c r="A30" s="17" t="s">
        <v>56</v>
      </c>
      <c r="B30">
        <f>180*10^(-9)</f>
        <v>1.8000000000000002E-7</v>
      </c>
      <c r="C30" s="18" t="s">
        <v>55</v>
      </c>
      <c r="D30" s="18" t="s">
        <v>57</v>
      </c>
      <c r="I30" s="9"/>
      <c r="J30" s="9"/>
      <c r="K30" s="10"/>
    </row>
    <row r="31" spans="1:11">
      <c r="A31" s="7" t="s">
        <v>17</v>
      </c>
      <c r="B31" s="9">
        <f>B13</f>
        <v>4.1025641025641031</v>
      </c>
      <c r="C31" s="9" t="s">
        <v>7</v>
      </c>
      <c r="D31" s="9" t="s">
        <v>18</v>
      </c>
      <c r="E31" s="9"/>
      <c r="F31" s="9"/>
      <c r="G31" s="9"/>
      <c r="H31" s="9"/>
      <c r="I31" s="9"/>
      <c r="J31" s="9"/>
      <c r="K31" s="10"/>
    </row>
    <row r="32" spans="1:11">
      <c r="A32" s="7"/>
      <c r="B32" s="9"/>
      <c r="C32" s="9"/>
      <c r="D32" s="9"/>
      <c r="E32" s="9"/>
      <c r="F32" s="9"/>
      <c r="G32" s="9"/>
      <c r="H32" s="9"/>
      <c r="I32" s="9"/>
      <c r="J32" s="9"/>
      <c r="K32" s="10"/>
    </row>
    <row r="33" spans="1:19">
      <c r="A33" s="7" t="s">
        <v>58</v>
      </c>
      <c r="B33" s="9">
        <f>1.2*10^(-9)</f>
        <v>1.2E-9</v>
      </c>
      <c r="C33" s="18" t="s">
        <v>59</v>
      </c>
      <c r="D33" t="s">
        <v>60</v>
      </c>
      <c r="E33" s="9"/>
      <c r="F33" s="9"/>
      <c r="G33" s="9"/>
      <c r="H33" s="9"/>
      <c r="I33" s="9"/>
      <c r="J33" s="9"/>
      <c r="K33" s="10"/>
    </row>
    <row r="34" spans="1:19">
      <c r="A34" s="7"/>
      <c r="B34" s="9"/>
      <c r="C34" s="9"/>
      <c r="D34" s="9"/>
      <c r="E34" s="9"/>
      <c r="F34" s="9"/>
      <c r="G34" s="9"/>
      <c r="H34" s="9"/>
      <c r="I34" s="9"/>
      <c r="J34" s="9"/>
      <c r="K34" s="10"/>
    </row>
    <row r="35" spans="1:19">
      <c r="A35" s="11" t="s">
        <v>35</v>
      </c>
      <c r="B35" s="9"/>
      <c r="C35" s="9"/>
      <c r="D35" s="9"/>
      <c r="E35" s="9"/>
      <c r="F35" s="9"/>
      <c r="G35" s="9"/>
      <c r="H35" s="9"/>
      <c r="I35" s="9"/>
      <c r="J35" s="9"/>
      <c r="K35" s="10"/>
    </row>
    <row r="36" spans="1:19">
      <c r="A36" s="7" t="s">
        <v>19</v>
      </c>
      <c r="B36" s="9">
        <v>0.9</v>
      </c>
      <c r="C36" s="9"/>
      <c r="D36" s="9" t="s">
        <v>36</v>
      </c>
      <c r="E36" s="9"/>
      <c r="F36" s="9"/>
      <c r="G36" s="9"/>
      <c r="H36" s="9"/>
      <c r="I36" s="9"/>
      <c r="J36" s="9"/>
      <c r="K36" s="10"/>
    </row>
    <row r="37" spans="1:19">
      <c r="A37" s="7" t="s">
        <v>20</v>
      </c>
      <c r="B37" s="9">
        <v>0.85</v>
      </c>
      <c r="C37" s="9"/>
      <c r="D37" s="9" t="s">
        <v>21</v>
      </c>
      <c r="E37" s="9"/>
      <c r="F37" s="9"/>
      <c r="G37" s="9"/>
      <c r="H37" s="9"/>
      <c r="I37" s="9"/>
      <c r="J37" s="9"/>
      <c r="K37" s="10"/>
    </row>
    <row r="38" spans="1:19">
      <c r="A38" s="7" t="s">
        <v>22</v>
      </c>
      <c r="B38" s="9">
        <v>1</v>
      </c>
      <c r="C38" s="9"/>
      <c r="D38" s="9" t="s">
        <v>23</v>
      </c>
      <c r="E38" s="9"/>
      <c r="F38" s="9"/>
      <c r="G38" s="9"/>
      <c r="H38" s="9"/>
      <c r="I38" s="9"/>
      <c r="J38" s="9"/>
      <c r="K38" s="10"/>
    </row>
    <row r="39" spans="1:19">
      <c r="A39" s="7" t="s">
        <v>5</v>
      </c>
      <c r="B39" s="9">
        <v>2</v>
      </c>
      <c r="C39" s="9"/>
      <c r="D39" s="9" t="s">
        <v>61</v>
      </c>
      <c r="E39" s="9"/>
      <c r="F39" s="9"/>
      <c r="G39" s="9"/>
      <c r="H39" s="9"/>
      <c r="I39" s="9"/>
      <c r="J39" s="9"/>
      <c r="K39" s="10"/>
    </row>
    <row r="40" spans="1:19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4"/>
    </row>
    <row r="43" spans="1:19">
      <c r="A43" s="4" t="s">
        <v>24</v>
      </c>
    </row>
    <row r="44" spans="1:19">
      <c r="S44" s="2"/>
    </row>
    <row r="45" spans="1:19">
      <c r="A45" t="s">
        <v>30</v>
      </c>
    </row>
    <row r="46" spans="1:19">
      <c r="A46" s="3" t="s">
        <v>31</v>
      </c>
    </row>
    <row r="48" spans="1:19">
      <c r="A48" t="s">
        <v>62</v>
      </c>
      <c r="D48" t="s">
        <v>148</v>
      </c>
      <c r="H48" t="s">
        <v>149</v>
      </c>
    </row>
    <row r="50" spans="1:14">
      <c r="A50" t="s">
        <v>32</v>
      </c>
      <c r="D50" s="2" t="s">
        <v>70</v>
      </c>
      <c r="E50">
        <f>B66</f>
        <v>0.87207363155818562</v>
      </c>
      <c r="F50" t="s">
        <v>4</v>
      </c>
      <c r="H50" s="2" t="s">
        <v>25</v>
      </c>
      <c r="I50" s="20">
        <f>E50*B39</f>
        <v>1.7441472631163712</v>
      </c>
      <c r="J50" t="s">
        <v>4</v>
      </c>
    </row>
    <row r="52" spans="1:14">
      <c r="M52" s="2"/>
      <c r="N52" s="2"/>
    </row>
    <row r="54" spans="1:14">
      <c r="A54" t="s">
        <v>26</v>
      </c>
      <c r="B54">
        <f>B14*B13^2</f>
        <v>0.60591715976331384</v>
      </c>
      <c r="C54" t="s">
        <v>4</v>
      </c>
    </row>
    <row r="56" spans="1:14" ht="45">
      <c r="A56" s="23" t="s">
        <v>63</v>
      </c>
      <c r="B56" s="23"/>
    </row>
    <row r="60" spans="1:14">
      <c r="A60" t="s">
        <v>27</v>
      </c>
      <c r="B60">
        <f>B16*(B13*B21+0.5*B33)*B20</f>
        <v>0.26615647179487179</v>
      </c>
      <c r="C60" t="s">
        <v>4</v>
      </c>
    </row>
    <row r="62" spans="1:14">
      <c r="A62" t="s">
        <v>28</v>
      </c>
    </row>
    <row r="63" spans="1:14">
      <c r="E63" s="2"/>
      <c r="F63" s="2"/>
    </row>
    <row r="66" spans="1:3">
      <c r="A66" s="2" t="s">
        <v>29</v>
      </c>
      <c r="B66" s="2">
        <f>B54+B60</f>
        <v>0.87207363155818562</v>
      </c>
      <c r="C66" t="s">
        <v>4</v>
      </c>
    </row>
  </sheetData>
  <hyperlinks>
    <hyperlink ref="A46" r:id="rId1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2"/>
  <sheetViews>
    <sheetView workbookViewId="0">
      <selection activeCell="K16" sqref="K16"/>
    </sheetView>
  </sheetViews>
  <sheetFormatPr defaultRowHeight="15"/>
  <cols>
    <col min="2" max="2" width="11" customWidth="1"/>
    <col min="8" max="8" width="12.85546875" customWidth="1"/>
  </cols>
  <sheetData>
    <row r="1" spans="1:8">
      <c r="A1" t="s">
        <v>46</v>
      </c>
    </row>
    <row r="2" spans="1:8">
      <c r="A2" s="9"/>
    </row>
    <row r="3" spans="1:8">
      <c r="A3" s="15" t="s">
        <v>2</v>
      </c>
      <c r="B3" s="5"/>
      <c r="C3" s="5"/>
      <c r="D3" s="5"/>
      <c r="E3" s="5"/>
      <c r="F3" s="5"/>
      <c r="G3" s="5"/>
      <c r="H3" s="6"/>
    </row>
    <row r="4" spans="1:8">
      <c r="A4" s="7"/>
      <c r="B4" s="9"/>
      <c r="C4" s="9"/>
      <c r="D4" s="9"/>
      <c r="E4" s="9"/>
      <c r="F4" s="9"/>
      <c r="G4" s="9"/>
      <c r="H4" s="10"/>
    </row>
    <row r="5" spans="1:8">
      <c r="A5" s="11" t="s">
        <v>52</v>
      </c>
      <c r="B5" s="9"/>
      <c r="C5" s="9"/>
      <c r="D5" s="9"/>
      <c r="E5" s="9"/>
      <c r="F5" s="9"/>
      <c r="G5" s="9"/>
      <c r="H5" s="10"/>
    </row>
    <row r="6" spans="1:8">
      <c r="A6" s="7"/>
      <c r="B6" s="9"/>
      <c r="C6" s="9"/>
      <c r="D6" s="9"/>
      <c r="E6" s="9"/>
      <c r="F6" s="9"/>
      <c r="G6" s="9"/>
      <c r="H6" s="10"/>
    </row>
    <row r="7" spans="1:8">
      <c r="A7" s="21" t="s">
        <v>37</v>
      </c>
      <c r="B7" s="22">
        <f>1</f>
        <v>1</v>
      </c>
      <c r="C7" s="9" t="s">
        <v>71</v>
      </c>
      <c r="D7" s="9" t="s">
        <v>76</v>
      </c>
      <c r="E7" s="9"/>
      <c r="F7" s="9"/>
      <c r="G7" s="9"/>
      <c r="H7" s="10"/>
    </row>
    <row r="8" spans="1:8">
      <c r="A8" s="21" t="s">
        <v>74</v>
      </c>
      <c r="B8" s="22">
        <f>40</f>
        <v>40</v>
      </c>
      <c r="C8" s="9" t="s">
        <v>71</v>
      </c>
      <c r="D8" s="9" t="s">
        <v>75</v>
      </c>
      <c r="E8" s="9"/>
      <c r="F8" s="9"/>
      <c r="G8" s="9"/>
      <c r="H8" s="10"/>
    </row>
    <row r="9" spans="1:8">
      <c r="A9" s="7" t="s">
        <v>41</v>
      </c>
      <c r="B9" s="9">
        <v>175</v>
      </c>
      <c r="C9" s="9" t="s">
        <v>45</v>
      </c>
      <c r="D9" s="9" t="s">
        <v>38</v>
      </c>
      <c r="E9" s="9"/>
      <c r="F9" s="9"/>
      <c r="G9" s="9"/>
      <c r="H9" s="10"/>
    </row>
    <row r="10" spans="1:8">
      <c r="A10" s="7" t="s">
        <v>43</v>
      </c>
      <c r="B10" s="9">
        <v>1</v>
      </c>
      <c r="C10" s="9"/>
      <c r="D10" s="9" t="s">
        <v>72</v>
      </c>
      <c r="E10" s="9"/>
      <c r="F10" s="9"/>
      <c r="G10" s="9"/>
      <c r="H10" s="10"/>
    </row>
    <row r="11" spans="1:8">
      <c r="A11" s="7" t="s">
        <v>44</v>
      </c>
      <c r="B11" s="9">
        <f>'Потери в MOSFET'!E50</f>
        <v>0.87207363155818562</v>
      </c>
      <c r="C11" s="9" t="s">
        <v>4</v>
      </c>
      <c r="D11" s="9" t="s">
        <v>73</v>
      </c>
      <c r="E11" s="9"/>
      <c r="F11" s="9"/>
      <c r="G11" s="9"/>
      <c r="H11" s="10"/>
    </row>
    <row r="12" spans="1:8">
      <c r="A12" s="7"/>
      <c r="B12" s="9"/>
      <c r="C12" s="9"/>
      <c r="D12" s="9"/>
      <c r="E12" s="9"/>
      <c r="F12" s="9"/>
      <c r="G12" s="9"/>
      <c r="H12" s="10"/>
    </row>
    <row r="13" spans="1:8">
      <c r="A13" s="7"/>
      <c r="B13" s="9"/>
      <c r="C13" s="9"/>
      <c r="D13" s="9"/>
      <c r="E13" s="9"/>
      <c r="F13" s="9"/>
      <c r="G13" s="9"/>
      <c r="H13" s="10"/>
    </row>
    <row r="14" spans="1:8">
      <c r="A14" s="7"/>
      <c r="B14" s="9"/>
      <c r="C14" s="9"/>
      <c r="D14" s="9"/>
      <c r="E14" s="9"/>
      <c r="F14" s="9"/>
      <c r="G14" s="9"/>
      <c r="H14" s="10"/>
    </row>
    <row r="15" spans="1:8">
      <c r="A15" s="7"/>
      <c r="B15" s="9"/>
      <c r="C15" s="9"/>
      <c r="D15" s="9"/>
      <c r="E15" s="9"/>
      <c r="F15" s="9"/>
      <c r="G15" s="9"/>
      <c r="H15" s="10"/>
    </row>
    <row r="16" spans="1:8">
      <c r="A16" s="11" t="s">
        <v>35</v>
      </c>
      <c r="B16" s="9"/>
      <c r="C16" s="9"/>
      <c r="D16" s="9"/>
      <c r="E16" s="9"/>
      <c r="F16" s="9"/>
      <c r="G16" s="9"/>
      <c r="H16" s="10"/>
    </row>
    <row r="17" spans="1:8">
      <c r="A17" s="7"/>
      <c r="B17" s="9"/>
      <c r="C17" s="9"/>
      <c r="D17" s="9"/>
      <c r="E17" s="9"/>
      <c r="F17" s="9"/>
      <c r="G17" s="9"/>
      <c r="H17" s="10"/>
    </row>
    <row r="18" spans="1:8">
      <c r="A18" s="7" t="s">
        <v>39</v>
      </c>
      <c r="B18" s="9">
        <v>50</v>
      </c>
      <c r="C18" s="9" t="s">
        <v>45</v>
      </c>
      <c r="D18" s="9" t="s">
        <v>40</v>
      </c>
      <c r="E18" s="9"/>
      <c r="F18" s="9"/>
      <c r="G18" s="9"/>
      <c r="H18" s="10"/>
    </row>
    <row r="19" spans="1:8">
      <c r="A19" s="7"/>
      <c r="B19" s="9"/>
      <c r="C19" s="9"/>
      <c r="D19" s="9"/>
      <c r="E19" s="9"/>
      <c r="F19" s="9"/>
      <c r="G19" s="9"/>
      <c r="H19" s="10"/>
    </row>
    <row r="20" spans="1:8">
      <c r="F20" s="9"/>
      <c r="G20" s="9"/>
      <c r="H20" s="10"/>
    </row>
    <row r="21" spans="1:8">
      <c r="A21" s="12"/>
      <c r="B21" s="13"/>
      <c r="C21" s="13"/>
      <c r="D21" s="13"/>
      <c r="E21" s="13"/>
      <c r="F21" s="13"/>
      <c r="G21" s="13"/>
      <c r="H21" s="14"/>
    </row>
    <row r="23" spans="1:8">
      <c r="A23" s="4" t="s">
        <v>1</v>
      </c>
    </row>
    <row r="25" spans="1:8">
      <c r="A25" t="s">
        <v>42</v>
      </c>
      <c r="B25">
        <f>B11*B8+B18</f>
        <v>84.882945262327425</v>
      </c>
      <c r="C25" t="s">
        <v>77</v>
      </c>
      <c r="D25" t="s">
        <v>78</v>
      </c>
      <c r="E25" s="19"/>
    </row>
    <row r="29" spans="1:8">
      <c r="A29" s="16"/>
      <c r="B29" t="s">
        <v>50</v>
      </c>
    </row>
    <row r="30" spans="1:8">
      <c r="A30" s="1"/>
      <c r="B30" t="s">
        <v>47</v>
      </c>
    </row>
    <row r="32" spans="1:8">
      <c r="A32" t="s">
        <v>155</v>
      </c>
    </row>
  </sheetData>
  <conditionalFormatting sqref="B25">
    <cfRule type="cellIs" dxfId="1" priority="1" operator="lessThan">
      <formula>$B$9-25</formula>
    </cfRule>
    <cfRule type="cellIs" dxfId="0" priority="2" operator="greaterThan">
      <formula>$B$9-25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M28"/>
  <sheetViews>
    <sheetView tabSelected="1" workbookViewId="0">
      <selection activeCell="K19" sqref="K19"/>
    </sheetView>
  </sheetViews>
  <sheetFormatPr defaultRowHeight="15"/>
  <cols>
    <col min="2" max="2" width="13.7109375" bestFit="1" customWidth="1"/>
    <col min="11" max="11" width="12" bestFit="1" customWidth="1"/>
  </cols>
  <sheetData>
    <row r="1" spans="1:13">
      <c r="A1" t="s">
        <v>98</v>
      </c>
    </row>
    <row r="3" spans="1:13">
      <c r="A3" s="2" t="s">
        <v>2</v>
      </c>
      <c r="J3" s="2" t="s">
        <v>1</v>
      </c>
    </row>
    <row r="4" spans="1:13">
      <c r="A4" s="2"/>
      <c r="J4" s="2"/>
    </row>
    <row r="5" spans="1:13">
      <c r="A5" t="s">
        <v>156</v>
      </c>
      <c r="J5" s="27" t="s">
        <v>130</v>
      </c>
    </row>
    <row r="6" spans="1:13">
      <c r="A6" t="s">
        <v>157</v>
      </c>
    </row>
    <row r="8" spans="1:13">
      <c r="A8" t="s">
        <v>99</v>
      </c>
      <c r="B8" s="24">
        <f>110*10^(-9)</f>
        <v>1.1000000000000001E-7</v>
      </c>
      <c r="C8" t="s">
        <v>59</v>
      </c>
      <c r="D8" t="s">
        <v>100</v>
      </c>
      <c r="H8" t="s">
        <v>105</v>
      </c>
      <c r="J8" t="s">
        <v>84</v>
      </c>
      <c r="K8" s="25">
        <f>B8*B14*B24</f>
        <v>1.32E-2</v>
      </c>
      <c r="L8" t="s">
        <v>106</v>
      </c>
      <c r="M8" t="s">
        <v>125</v>
      </c>
    </row>
    <row r="9" spans="1:13">
      <c r="A9" t="s">
        <v>111</v>
      </c>
      <c r="B9" s="24">
        <f>1*10^(-9)</f>
        <v>1.0000000000000001E-9</v>
      </c>
      <c r="C9" t="s">
        <v>59</v>
      </c>
      <c r="D9" t="s">
        <v>112</v>
      </c>
      <c r="J9" t="s">
        <v>124</v>
      </c>
      <c r="K9" s="25">
        <f>K8/2</f>
        <v>6.6E-3</v>
      </c>
      <c r="L9" t="s">
        <v>106</v>
      </c>
      <c r="M9" t="s">
        <v>126</v>
      </c>
    </row>
    <row r="10" spans="1:13">
      <c r="A10" t="s">
        <v>139</v>
      </c>
      <c r="B10" s="24">
        <f>2*B8+B11/B24+B9+B12/B24</f>
        <v>2.4850000000000003E-7</v>
      </c>
      <c r="C10" t="s">
        <v>59</v>
      </c>
      <c r="D10" s="28" t="s">
        <v>140</v>
      </c>
      <c r="K10" s="26"/>
    </row>
    <row r="11" spans="1:13">
      <c r="A11" t="s">
        <v>107</v>
      </c>
      <c r="B11">
        <f>220*10^(-6)</f>
        <v>2.1999999999999998E-4</v>
      </c>
      <c r="C11" t="s">
        <v>7</v>
      </c>
      <c r="D11" t="s">
        <v>108</v>
      </c>
      <c r="J11" t="s">
        <v>79</v>
      </c>
      <c r="K11">
        <f>B15/B20</f>
        <v>1.25</v>
      </c>
      <c r="L11" t="s">
        <v>7</v>
      </c>
      <c r="M11" t="s">
        <v>133</v>
      </c>
    </row>
    <row r="12" spans="1:13">
      <c r="A12" t="s">
        <v>109</v>
      </c>
      <c r="B12">
        <v>0</v>
      </c>
      <c r="C12" t="s">
        <v>7</v>
      </c>
      <c r="D12" t="s">
        <v>110</v>
      </c>
      <c r="J12" t="s">
        <v>150</v>
      </c>
      <c r="K12">
        <f>K11/B22*100</f>
        <v>62.5</v>
      </c>
      <c r="L12" t="s">
        <v>151</v>
      </c>
      <c r="M12" t="s">
        <v>154</v>
      </c>
    </row>
    <row r="14" spans="1:13">
      <c r="A14" t="s">
        <v>101</v>
      </c>
      <c r="B14">
        <v>15</v>
      </c>
      <c r="C14" t="s">
        <v>3</v>
      </c>
      <c r="D14" t="s">
        <v>102</v>
      </c>
    </row>
    <row r="15" spans="1:13">
      <c r="A15" t="s">
        <v>113</v>
      </c>
      <c r="B15">
        <v>15</v>
      </c>
      <c r="C15" t="s">
        <v>3</v>
      </c>
      <c r="D15" t="s">
        <v>114</v>
      </c>
      <c r="J15" s="27" t="s">
        <v>129</v>
      </c>
    </row>
    <row r="16" spans="1:13">
      <c r="A16" t="s">
        <v>115</v>
      </c>
      <c r="B16">
        <f>1</f>
        <v>1</v>
      </c>
      <c r="C16" t="s">
        <v>3</v>
      </c>
      <c r="D16" t="s">
        <v>116</v>
      </c>
    </row>
    <row r="17" spans="1:13">
      <c r="A17" t="s">
        <v>117</v>
      </c>
      <c r="B17">
        <f>0</f>
        <v>0</v>
      </c>
      <c r="C17" t="s">
        <v>3</v>
      </c>
      <c r="D17" t="s">
        <v>118</v>
      </c>
      <c r="J17" t="s">
        <v>120</v>
      </c>
      <c r="K17">
        <f>2*(2*B8+B11/B24+B9+B12/B24)/(B15-B16-B17-B18)*10^6*K18</f>
        <v>1.733720930232558</v>
      </c>
      <c r="L17" t="s">
        <v>122</v>
      </c>
      <c r="M17" t="s">
        <v>131</v>
      </c>
    </row>
    <row r="18" spans="1:13">
      <c r="A18" t="s">
        <v>119</v>
      </c>
      <c r="B18">
        <v>9.6999999999999993</v>
      </c>
      <c r="C18" t="s">
        <v>3</v>
      </c>
      <c r="D18" t="s">
        <v>123</v>
      </c>
      <c r="J18" t="s">
        <v>121</v>
      </c>
      <c r="K18">
        <v>15</v>
      </c>
      <c r="M18" t="s">
        <v>132</v>
      </c>
    </row>
    <row r="20" spans="1:13">
      <c r="A20" t="s">
        <v>12</v>
      </c>
      <c r="B20">
        <f>'Потери в MOSFET'!B19</f>
        <v>12</v>
      </c>
      <c r="C20" t="s">
        <v>127</v>
      </c>
      <c r="D20" t="s">
        <v>128</v>
      </c>
      <c r="J20" s="27" t="s">
        <v>134</v>
      </c>
    </row>
    <row r="22" spans="1:13">
      <c r="A22" t="s">
        <v>152</v>
      </c>
      <c r="B22">
        <v>2</v>
      </c>
      <c r="C22" t="s">
        <v>7</v>
      </c>
      <c r="D22" t="s">
        <v>153</v>
      </c>
      <c r="J22" t="s">
        <v>135</v>
      </c>
      <c r="K22">
        <v>100</v>
      </c>
      <c r="L22" t="s">
        <v>3</v>
      </c>
      <c r="M22" t="s">
        <v>143</v>
      </c>
    </row>
    <row r="23" spans="1:13">
      <c r="J23" t="s">
        <v>136</v>
      </c>
      <c r="K23">
        <v>100</v>
      </c>
      <c r="L23" t="s">
        <v>137</v>
      </c>
      <c r="M23" t="s">
        <v>57</v>
      </c>
    </row>
    <row r="24" spans="1:13">
      <c r="A24" t="s">
        <v>103</v>
      </c>
      <c r="B24">
        <v>8000</v>
      </c>
      <c r="C24" t="s">
        <v>14</v>
      </c>
      <c r="D24" t="s">
        <v>104</v>
      </c>
      <c r="J24" t="s">
        <v>138</v>
      </c>
      <c r="K24" s="30">
        <f>B10*B24*1000</f>
        <v>1.9880000000000002</v>
      </c>
      <c r="L24" t="s">
        <v>141</v>
      </c>
      <c r="M24" t="s">
        <v>142</v>
      </c>
    </row>
    <row r="26" spans="1:13">
      <c r="J26" s="27" t="s">
        <v>144</v>
      </c>
    </row>
    <row r="28" spans="1:13">
      <c r="J28" t="s">
        <v>145</v>
      </c>
      <c r="K28" s="29">
        <f>B8*B20/B14*10^(9)</f>
        <v>88.000000000000014</v>
      </c>
      <c r="L28" t="s">
        <v>137</v>
      </c>
      <c r="M28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Потери в MOSFET</vt:lpstr>
      <vt:lpstr>Тепловой расчет</vt:lpstr>
      <vt:lpstr>Драйвер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2018-05-18T07:40:58Z</cp:lastPrinted>
  <dcterms:created xsi:type="dcterms:W3CDTF">2017-12-25T11:57:50Z</dcterms:created>
  <dcterms:modified xsi:type="dcterms:W3CDTF">2019-10-27T15:55:52Z</dcterms:modified>
</cp:coreProperties>
</file>